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updateLinks="never" codeName="Denne_projektmappe" defaultThemeVersion="124226"/>
  <xr:revisionPtr revIDLastSave="0" documentId="13_ncr:1_{CA650082-8A9F-4306-ABA1-2342F6FB1A9F}" xr6:coauthVersionLast="41" xr6:coauthVersionMax="41" xr10:uidLastSave="{00000000-0000-0000-0000-000000000000}"/>
  <bookViews>
    <workbookView xWindow="28680" yWindow="-120" windowWidth="29040" windowHeight="16440" tabRatio="598" activeTab="2" xr2:uid="{00000000-000D-0000-FFFF-FFFF00000000}"/>
  </bookViews>
  <sheets>
    <sheet name="LOG" sheetId="87" r:id="rId1"/>
    <sheet name="Description" sheetId="23" r:id="rId2"/>
    <sheet name="TRA__Eroad_Infra" sheetId="19" r:id="rId3"/>
    <sheet name="TRA__EroadTrucks" sheetId="94" r:id="rId4"/>
    <sheet name="CAP2ACT investigation" sheetId="96" r:id="rId5"/>
    <sheet name="Eroad potential" sheetId="97" r:id="rId6"/>
    <sheet name="Assumptions regarding ERS" sheetId="95" r:id="rId7"/>
    <sheet name="EU Varebil benzin" sheetId="49" r:id="rId8"/>
    <sheet name="EU varebil diesel" sheetId="51" r:id="rId9"/>
    <sheet name="EU Varebil CNG" sheetId="50" r:id="rId10"/>
    <sheet name="EU varebil el" sheetId="52" r:id="rId11"/>
    <sheet name="EU Lastbil" sheetId="53" r:id="rId12"/>
    <sheet name="EU Lastbil El" sheetId="93" r:id="rId13"/>
    <sheet name="EU Lastbil El_2" sheetId="98" r:id="rId14"/>
    <sheet name="EU Lastbil DME" sheetId="54" r:id="rId15"/>
    <sheet name="EU Lastbil RME" sheetId="55" r:id="rId16"/>
    <sheet name="EU Lastbil Gas" sheetId="56"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Sort" localSheetId="12" hidden="1">#REF!</definedName>
    <definedName name="_Sort" localSheetId="16" hidden="1">#REF!</definedName>
    <definedName name="_Sort" localSheetId="3" hidden="1">#REF!</definedName>
    <definedName name="_Sort" hidden="1">#REF!</definedName>
    <definedName name="A4chosenYear" localSheetId="12">#REF!</definedName>
    <definedName name="A4chosenYear" localSheetId="3">#REF!</definedName>
    <definedName name="A4chosenYear">#REF!</definedName>
    <definedName name="A4colActive" localSheetId="12">#REF!</definedName>
    <definedName name="A4colActive" localSheetId="3">#REF!</definedName>
    <definedName name="A4colActive">#REF!</definedName>
    <definedName name="A4colCount" localSheetId="12">#REF!</definedName>
    <definedName name="A4colCount" localSheetId="3">#REF!</definedName>
    <definedName name="A4colCount">#REF!</definedName>
    <definedName name="A4filePath" localSheetId="12">#REF!</definedName>
    <definedName name="A4filePath" localSheetId="3">#REF!</definedName>
    <definedName name="A4filePath">#REF!</definedName>
    <definedName name="A4firstRow" localSheetId="12">#REF!</definedName>
    <definedName name="A4firstRow" localSheetId="3">#REF!</definedName>
    <definedName name="A4firstRow">#REF!</definedName>
    <definedName name="A4resultCol" localSheetId="12">#REF!</definedName>
    <definedName name="A4resultCol" localSheetId="3">#REF!</definedName>
    <definedName name="A4resultCol">#REF!</definedName>
    <definedName name="A4rowActive">[1]A4results!$X$7</definedName>
    <definedName name="A4rowCount" localSheetId="12">#REF!</definedName>
    <definedName name="A4rowCount" localSheetId="3">#REF!</definedName>
    <definedName name="A4rowCount">#REF!</definedName>
    <definedName name="A4sensitivity" localSheetId="12">#REF!</definedName>
    <definedName name="A4sensitivity" localSheetId="3">#REF!</definedName>
    <definedName name="A4sensitivity">#REF!</definedName>
    <definedName name="A4yearTable" localSheetId="12">#REF!</definedName>
    <definedName name="A4yearTable" localSheetId="3">#REF!</definedName>
    <definedName name="A4yearTable">#REF!</definedName>
    <definedName name="BG_valg">'[1]Biogas ENS'!$T$201</definedName>
    <definedName name="chosenLUC">[1]Cockpit!$B$8</definedName>
    <definedName name="chosenYear">[1]Cockpit!$B$5</definedName>
    <definedName name="dkkPerEUR">'[2]Centrale data'!$C$34</definedName>
    <definedName name="dkkPerUSD">[1]Supplementary!$C$38</definedName>
    <definedName name="EmissionOil">[3]Sheet1!$B$17</definedName>
    <definedName name="FID_1" localSheetId="1">[4]AGR_Fuels!$A$2</definedName>
    <definedName name="FID_1">[5]AGR_Fuels!$A$2</definedName>
    <definedName name="HTML_CodePage" hidden="1">1252</definedName>
    <definedName name="HTML_Control" hidden="1">{"'Ark1'!$A$8:$M$33"}</definedName>
    <definedName name="HTML_Control_2" hidden="1">{"'Ark1'!$A$8:$M$33"}</definedName>
    <definedName name="HTML_Control_3"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[1]Supplementary!$C$40</definedName>
    <definedName name="_xlnm.Print_Area" localSheetId="11">'EU Lastbil'!$B$1:$P$61,'EU Lastbil'!$B$64:$J$81</definedName>
    <definedName name="_xlnm.Print_Area" localSheetId="14">'EU Lastbil DME'!$B$1:$P$61,'EU Lastbil DME'!$B$64:$J$81</definedName>
    <definedName name="_xlnm.Print_Area" localSheetId="12">'EU Lastbil El'!$B$1:$P$69,'EU Lastbil El'!$B$72:$J$99</definedName>
    <definedName name="_xlnm.Print_Area" localSheetId="16">'EU Lastbil Gas'!$B$1:$P$61,'EU Lastbil Gas'!$B$64:$J$82</definedName>
    <definedName name="referencer" localSheetId="12">#REF!</definedName>
    <definedName name="referencer" localSheetId="3">#REF!</definedName>
    <definedName name="referencer">#REF!</definedName>
    <definedName name="rSØK">'[2]Centrale data'!$C$32</definedName>
    <definedName name="vehicleproductionemissions">[3]Sheet1!$B$14</definedName>
    <definedName name="x">[6]AGR_Fuels!$A$2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5" i="94" l="1"/>
  <c r="M16" i="94"/>
  <c r="M14" i="94"/>
  <c r="M12" i="94"/>
  <c r="M13" i="94"/>
  <c r="M11" i="94"/>
  <c r="L16" i="94"/>
  <c r="L15" i="94"/>
  <c r="L14" i="94"/>
  <c r="L13" i="94"/>
  <c r="L12" i="94"/>
  <c r="L11" i="94"/>
  <c r="AH127" i="94"/>
  <c r="AG126" i="94"/>
  <c r="AG125" i="94"/>
  <c r="AG127" i="94"/>
  <c r="AN129" i="94"/>
  <c r="AN130" i="94"/>
  <c r="AN131" i="94"/>
  <c r="AM99" i="94"/>
  <c r="AI102" i="94"/>
  <c r="AI119" i="94"/>
  <c r="AI104" i="94" s="1"/>
  <c r="AM100" i="94" s="1"/>
  <c r="AI118" i="94"/>
  <c r="AI103" i="94" s="1"/>
  <c r="AM98" i="94" s="1"/>
  <c r="AM115" i="94"/>
  <c r="AM114" i="94"/>
  <c r="AM113" i="94"/>
  <c r="AM112" i="94"/>
  <c r="AO131" i="94" l="1"/>
  <c r="AN113" i="94"/>
  <c r="AN115" i="94"/>
  <c r="AN112" i="94"/>
  <c r="AN114" i="94"/>
  <c r="Q5" i="94" l="1"/>
  <c r="Q11" i="94"/>
  <c r="AM97" i="94" l="1"/>
  <c r="AN98" i="94" s="1"/>
  <c r="AN126" i="94" l="1"/>
  <c r="AN125" i="94"/>
  <c r="AN99" i="94"/>
  <c r="AN100" i="94"/>
  <c r="AN97" i="94"/>
  <c r="AN127" i="94" s="1"/>
  <c r="L5" i="94"/>
  <c r="AO127" i="94" l="1"/>
  <c r="R34" i="94"/>
  <c r="R33" i="94"/>
  <c r="C48" i="94"/>
  <c r="C45" i="94"/>
  <c r="C42" i="94"/>
  <c r="F129" i="98"/>
  <c r="E129" i="98"/>
  <c r="D129" i="98"/>
  <c r="F128" i="98"/>
  <c r="E128" i="98"/>
  <c r="D128" i="98"/>
  <c r="F127" i="98"/>
  <c r="E127" i="98"/>
  <c r="D127" i="98"/>
  <c r="F126" i="98"/>
  <c r="E126" i="98"/>
  <c r="D126" i="98"/>
  <c r="F125" i="98"/>
  <c r="E125" i="98"/>
  <c r="D125" i="98"/>
  <c r="F124" i="98"/>
  <c r="E124" i="98"/>
  <c r="D124" i="98"/>
  <c r="F110" i="98"/>
  <c r="G110" i="98" s="1"/>
  <c r="G100" i="98" s="1"/>
  <c r="G60" i="98" s="1"/>
  <c r="G68" i="98" s="1"/>
  <c r="E110" i="98"/>
  <c r="E100" i="98" s="1"/>
  <c r="E60" i="98" s="1"/>
  <c r="E68" i="98" s="1"/>
  <c r="D110" i="98"/>
  <c r="D100" i="98" s="1"/>
  <c r="D60" i="98" s="1"/>
  <c r="D68" i="98" s="1"/>
  <c r="F109" i="98"/>
  <c r="G109" i="98" s="1"/>
  <c r="G99" i="98" s="1"/>
  <c r="G59" i="98" s="1"/>
  <c r="G67" i="98" s="1"/>
  <c r="E109" i="98"/>
  <c r="E99" i="98" s="1"/>
  <c r="E59" i="98" s="1"/>
  <c r="E67" i="98" s="1"/>
  <c r="D109" i="98"/>
  <c r="D99" i="98" s="1"/>
  <c r="D59" i="98" s="1"/>
  <c r="D67" i="98" s="1"/>
  <c r="F108" i="98"/>
  <c r="G108" i="98" s="1"/>
  <c r="G98" i="98" s="1"/>
  <c r="G58" i="98" s="1"/>
  <c r="G66" i="98" s="1"/>
  <c r="E108" i="98"/>
  <c r="E98" i="98" s="1"/>
  <c r="E58" i="98" s="1"/>
  <c r="E66" i="98" s="1"/>
  <c r="D108" i="98"/>
  <c r="D98" i="98" s="1"/>
  <c r="D58" i="98" s="1"/>
  <c r="D66" i="98" s="1"/>
  <c r="F107" i="98"/>
  <c r="G107" i="98" s="1"/>
  <c r="G97" i="98" s="1"/>
  <c r="G57" i="98" s="1"/>
  <c r="G65" i="98" s="1"/>
  <c r="E107" i="98"/>
  <c r="E97" i="98" s="1"/>
  <c r="E57" i="98" s="1"/>
  <c r="E65" i="98" s="1"/>
  <c r="D107" i="98"/>
  <c r="D97" i="98" s="1"/>
  <c r="D57" i="98" s="1"/>
  <c r="D65" i="98" s="1"/>
  <c r="F106" i="98"/>
  <c r="G106" i="98" s="1"/>
  <c r="G96" i="98" s="1"/>
  <c r="G56" i="98" s="1"/>
  <c r="G64" i="98" s="1"/>
  <c r="E106" i="98"/>
  <c r="E96" i="98" s="1"/>
  <c r="E56" i="98" s="1"/>
  <c r="E64" i="98" s="1"/>
  <c r="D106" i="98"/>
  <c r="D96" i="98" s="1"/>
  <c r="D56" i="98" s="1"/>
  <c r="D64" i="98" s="1"/>
  <c r="F97" i="98"/>
  <c r="F57" i="98" s="1"/>
  <c r="F65" i="98" s="1"/>
  <c r="G88" i="98"/>
  <c r="F88" i="98"/>
  <c r="E88" i="98"/>
  <c r="D88" i="98"/>
  <c r="D87" i="98"/>
  <c r="G85" i="98"/>
  <c r="F85" i="98"/>
  <c r="E85" i="98"/>
  <c r="D85" i="98"/>
  <c r="R79" i="98"/>
  <c r="R71" i="98" s="1"/>
  <c r="Q79" i="98"/>
  <c r="Q73" i="98" s="1"/>
  <c r="Q33" i="98" s="1"/>
  <c r="P79" i="98"/>
  <c r="O79" i="98"/>
  <c r="R78" i="98"/>
  <c r="R74" i="98" s="1"/>
  <c r="Q78" i="98"/>
  <c r="Q74" i="98" s="1"/>
  <c r="Q34" i="98" s="1"/>
  <c r="G77" i="98"/>
  <c r="F77" i="98"/>
  <c r="E77" i="98"/>
  <c r="D77" i="98"/>
  <c r="D49" i="98" s="1"/>
  <c r="D47" i="98" s="1"/>
  <c r="P75" i="98"/>
  <c r="G75" i="98"/>
  <c r="F75" i="98"/>
  <c r="F28" i="98" s="1"/>
  <c r="F49" i="98" s="1"/>
  <c r="F47" i="98" s="1"/>
  <c r="E75" i="98"/>
  <c r="E28" i="98" s="1"/>
  <c r="E49" i="98" s="1"/>
  <c r="E47" i="98" s="1"/>
  <c r="D75" i="98"/>
  <c r="P74" i="98"/>
  <c r="P34" i="98" s="1"/>
  <c r="O74" i="98"/>
  <c r="R73" i="98"/>
  <c r="P73" i="98"/>
  <c r="O73" i="98"/>
  <c r="R72" i="98"/>
  <c r="P72" i="98"/>
  <c r="P32" i="98" s="1"/>
  <c r="O72" i="98"/>
  <c r="P71" i="98"/>
  <c r="P33" i="98"/>
  <c r="G28" i="98"/>
  <c r="G49" i="98" s="1"/>
  <c r="G47" i="98" s="1"/>
  <c r="D28" i="98"/>
  <c r="G27" i="98"/>
  <c r="F27" i="98"/>
  <c r="E27" i="98"/>
  <c r="D27" i="98"/>
  <c r="G25" i="98"/>
  <c r="G86" i="98" s="1"/>
  <c r="F25" i="98"/>
  <c r="F86" i="98" s="1"/>
  <c r="F90" i="98" s="1"/>
  <c r="E25" i="98"/>
  <c r="E86" i="98" s="1"/>
  <c r="D25" i="98"/>
  <c r="D86" i="98" s="1"/>
  <c r="G23" i="98"/>
  <c r="G24" i="98" s="1"/>
  <c r="F23" i="98"/>
  <c r="F24" i="98" s="1"/>
  <c r="E23" i="98"/>
  <c r="E24" i="98" s="1"/>
  <c r="D23" i="98"/>
  <c r="D24" i="98" s="1"/>
  <c r="F98" i="98" l="1"/>
  <c r="F58" i="98" s="1"/>
  <c r="F66" i="98" s="1"/>
  <c r="F99" i="98"/>
  <c r="F59" i="98" s="1"/>
  <c r="F67" i="98" s="1"/>
  <c r="F96" i="98"/>
  <c r="F56" i="98" s="1"/>
  <c r="F64" i="98" s="1"/>
  <c r="F100" i="98"/>
  <c r="F60" i="98" s="1"/>
  <c r="F68" i="98" s="1"/>
  <c r="F84" i="98"/>
  <c r="F31" i="98" s="1"/>
  <c r="G90" i="98"/>
  <c r="G84" i="98"/>
  <c r="G31" i="98" s="1"/>
  <c r="D90" i="98"/>
  <c r="D84" i="98"/>
  <c r="D31" i="98" s="1"/>
  <c r="E84" i="98"/>
  <c r="E31" i="98" s="1"/>
  <c r="E90" i="98"/>
  <c r="Q71" i="98"/>
  <c r="Q72" i="98"/>
  <c r="Q32" i="98" s="1"/>
  <c r="C68" i="95" l="1"/>
  <c r="E39" i="96" l="1"/>
  <c r="M13" i="96"/>
  <c r="M14" i="96"/>
  <c r="M15" i="96"/>
  <c r="M12" i="96"/>
  <c r="N50" i="96"/>
  <c r="M50" i="96"/>
  <c r="L50" i="96"/>
  <c r="U51" i="96" l="1"/>
  <c r="T51" i="96"/>
  <c r="U44" i="96"/>
  <c r="T44" i="96"/>
  <c r="V44" i="96" s="1"/>
  <c r="L34" i="96" s="1"/>
  <c r="W36" i="96"/>
  <c r="V36" i="96"/>
  <c r="U36" i="96"/>
  <c r="T36" i="96"/>
  <c r="X36" i="96" s="1"/>
  <c r="M34" i="96" s="1"/>
  <c r="K23" i="96"/>
  <c r="K24" i="96"/>
  <c r="K25" i="96"/>
  <c r="K26" i="96"/>
  <c r="K22" i="96"/>
  <c r="K21" i="96"/>
  <c r="H26" i="97"/>
  <c r="G26" i="97"/>
  <c r="C26" i="97"/>
  <c r="E26" i="97" s="1"/>
  <c r="D25" i="97"/>
  <c r="I25" i="97" s="1"/>
  <c r="D24" i="97"/>
  <c r="H24" i="97" s="1"/>
  <c r="E23" i="97"/>
  <c r="D23" i="97"/>
  <c r="G23" i="97" s="1"/>
  <c r="D22" i="97"/>
  <c r="E22" i="97" s="1"/>
  <c r="G21" i="97"/>
  <c r="D21" i="97"/>
  <c r="I21" i="97" s="1"/>
  <c r="D20" i="97"/>
  <c r="H20" i="97" s="1"/>
  <c r="M20" i="97" s="1"/>
  <c r="F9" i="97"/>
  <c r="I26" i="97" s="1"/>
  <c r="I23" i="96"/>
  <c r="E19" i="96"/>
  <c r="C6" i="19"/>
  <c r="D6" i="19"/>
  <c r="C7" i="19"/>
  <c r="D7" i="19"/>
  <c r="C8" i="19"/>
  <c r="D8" i="19"/>
  <c r="C9" i="19"/>
  <c r="D9" i="19"/>
  <c r="C10" i="19"/>
  <c r="D10" i="19"/>
  <c r="C11" i="19"/>
  <c r="D11" i="19"/>
  <c r="M39" i="96" l="1"/>
  <c r="M54" i="96" s="1"/>
  <c r="M66" i="96" s="1"/>
  <c r="M43" i="96"/>
  <c r="M58" i="96" s="1"/>
  <c r="M70" i="96" s="1"/>
  <c r="M41" i="96"/>
  <c r="M56" i="96" s="1"/>
  <c r="M68" i="96" s="1"/>
  <c r="M38" i="96"/>
  <c r="M53" i="96" s="1"/>
  <c r="M65" i="96" s="1"/>
  <c r="M42" i="96"/>
  <c r="M57" i="96" s="1"/>
  <c r="M69" i="96" s="1"/>
  <c r="M40" i="96"/>
  <c r="M55" i="96" s="1"/>
  <c r="M67" i="96" s="1"/>
  <c r="L40" i="96"/>
  <c r="L55" i="96" s="1"/>
  <c r="L67" i="96" s="1"/>
  <c r="L41" i="96"/>
  <c r="L56" i="96" s="1"/>
  <c r="L68" i="96" s="1"/>
  <c r="L42" i="96"/>
  <c r="L57" i="96" s="1"/>
  <c r="L69" i="96" s="1"/>
  <c r="L39" i="96"/>
  <c r="L54" i="96" s="1"/>
  <c r="L66" i="96" s="1"/>
  <c r="L43" i="96"/>
  <c r="L58" i="96" s="1"/>
  <c r="L70" i="96" s="1"/>
  <c r="L38" i="96"/>
  <c r="L53" i="96" s="1"/>
  <c r="L65" i="96" s="1"/>
  <c r="R20" i="97"/>
  <c r="M21" i="96"/>
  <c r="M24" i="97"/>
  <c r="G25" i="97"/>
  <c r="K27" i="96"/>
  <c r="L44" i="96" s="1"/>
  <c r="L59" i="96" s="1"/>
  <c r="L71" i="96" s="1"/>
  <c r="E21" i="97"/>
  <c r="G24" i="97"/>
  <c r="L25" i="97" s="1"/>
  <c r="H25" i="97"/>
  <c r="V51" i="96"/>
  <c r="N34" i="96" s="1"/>
  <c r="G20" i="97"/>
  <c r="L20" i="97" s="1"/>
  <c r="H21" i="97"/>
  <c r="M21" i="97" s="1"/>
  <c r="H23" i="97"/>
  <c r="E25" i="97"/>
  <c r="L26" i="97"/>
  <c r="M25" i="97"/>
  <c r="N26" i="97"/>
  <c r="I20" i="97"/>
  <c r="N20" i="97" s="1"/>
  <c r="G22" i="97"/>
  <c r="L22" i="97" s="1"/>
  <c r="I24" i="97"/>
  <c r="M26" i="97"/>
  <c r="E20" i="97"/>
  <c r="H22" i="97"/>
  <c r="M22" i="97" s="1"/>
  <c r="I23" i="97"/>
  <c r="E24" i="97"/>
  <c r="I22" i="97"/>
  <c r="N22" i="97" s="1"/>
  <c r="E40" i="96"/>
  <c r="R21" i="97" l="1"/>
  <c r="M22" i="96"/>
  <c r="Q25" i="97"/>
  <c r="L26" i="96"/>
  <c r="M82" i="96"/>
  <c r="W17" i="19" s="1"/>
  <c r="Q22" i="97"/>
  <c r="L23" i="96"/>
  <c r="Q26" i="97"/>
  <c r="L27" i="96"/>
  <c r="L83" i="96" s="1"/>
  <c r="L24" i="97"/>
  <c r="L79" i="96"/>
  <c r="L77" i="96"/>
  <c r="S22" i="97"/>
  <c r="N23" i="96"/>
  <c r="R25" i="97"/>
  <c r="M26" i="96"/>
  <c r="Q20" i="97"/>
  <c r="L21" i="96"/>
  <c r="R26" i="97"/>
  <c r="M27" i="96"/>
  <c r="L21" i="97"/>
  <c r="N42" i="96"/>
  <c r="N57" i="96" s="1"/>
  <c r="N69" i="96" s="1"/>
  <c r="N43" i="96"/>
  <c r="N58" i="96" s="1"/>
  <c r="N70" i="96" s="1"/>
  <c r="N40" i="96"/>
  <c r="N55" i="96" s="1"/>
  <c r="N67" i="96" s="1"/>
  <c r="N79" i="96" s="1"/>
  <c r="W21" i="19" s="1"/>
  <c r="N44" i="96"/>
  <c r="N59" i="96" s="1"/>
  <c r="N71" i="96" s="1"/>
  <c r="N83" i="96" s="1"/>
  <c r="W25" i="19" s="1"/>
  <c r="N39" i="96"/>
  <c r="N54" i="96" s="1"/>
  <c r="N66" i="96" s="1"/>
  <c r="N41" i="96"/>
  <c r="N56" i="96" s="1"/>
  <c r="N68" i="96" s="1"/>
  <c r="N38" i="96"/>
  <c r="N53" i="96" s="1"/>
  <c r="N65" i="96" s="1"/>
  <c r="N77" i="96" s="1"/>
  <c r="N23" i="97"/>
  <c r="S20" i="97"/>
  <c r="N21" i="96"/>
  <c r="L23" i="97"/>
  <c r="K30" i="96"/>
  <c r="M79" i="96"/>
  <c r="W14" i="19" s="1"/>
  <c r="M44" i="96"/>
  <c r="M59" i="96" s="1"/>
  <c r="M71" i="96" s="1"/>
  <c r="M83" i="96" s="1"/>
  <c r="W18" i="19" s="1"/>
  <c r="R22" i="97"/>
  <c r="M23" i="96"/>
  <c r="S26" i="97"/>
  <c r="N27" i="96"/>
  <c r="R24" i="97"/>
  <c r="M25" i="96"/>
  <c r="M81" i="96" s="1"/>
  <c r="W16" i="19" s="1"/>
  <c r="L82" i="96"/>
  <c r="M77" i="96"/>
  <c r="N24" i="97"/>
  <c r="N21" i="97"/>
  <c r="N25" i="97"/>
  <c r="M23" i="97"/>
  <c r="AE25" i="96"/>
  <c r="AE24" i="96"/>
  <c r="AE23" i="96"/>
  <c r="AE22" i="96"/>
  <c r="AE21" i="96"/>
  <c r="AE20" i="96"/>
  <c r="AE19" i="96"/>
  <c r="AE18" i="96"/>
  <c r="E35" i="96" s="1"/>
  <c r="E41" i="96" s="1"/>
  <c r="E47" i="96" s="1"/>
  <c r="W11" i="19" l="1"/>
  <c r="L94" i="96"/>
  <c r="O83" i="96" s="1"/>
  <c r="Q23" i="97"/>
  <c r="L24" i="96"/>
  <c r="L80" i="96" s="1"/>
  <c r="Q21" i="97"/>
  <c r="L22" i="96"/>
  <c r="L78" i="96" s="1"/>
  <c r="W5" i="19"/>
  <c r="L88" i="96"/>
  <c r="O77" i="96" s="1"/>
  <c r="L85" i="96"/>
  <c r="L90" i="96"/>
  <c r="O79" i="96" s="1"/>
  <c r="W7" i="19"/>
  <c r="S24" i="97"/>
  <c r="N25" i="96"/>
  <c r="W10" i="19"/>
  <c r="R23" i="97"/>
  <c r="R28" i="97" s="1"/>
  <c r="M24" i="96"/>
  <c r="N28" i="96"/>
  <c r="S25" i="97"/>
  <c r="N26" i="96"/>
  <c r="N30" i="96" s="1"/>
  <c r="M78" i="96"/>
  <c r="W13" i="19" s="1"/>
  <c r="S21" i="97"/>
  <c r="N22" i="96"/>
  <c r="W12" i="19"/>
  <c r="S23" i="97"/>
  <c r="N24" i="96"/>
  <c r="N80" i="96" s="1"/>
  <c r="N78" i="96"/>
  <c r="W20" i="19" s="1"/>
  <c r="N81" i="96"/>
  <c r="W23" i="19" s="1"/>
  <c r="Q24" i="97"/>
  <c r="L25" i="96"/>
  <c r="L81" i="96" s="1"/>
  <c r="W19" i="19"/>
  <c r="L30" i="96"/>
  <c r="L28" i="96"/>
  <c r="D30" i="94"/>
  <c r="C30" i="94"/>
  <c r="D29" i="94"/>
  <c r="C29" i="94"/>
  <c r="AO46" i="94"/>
  <c r="AO45" i="94"/>
  <c r="AO44" i="94"/>
  <c r="AM46" i="94"/>
  <c r="AL46" i="94"/>
  <c r="AM45" i="94"/>
  <c r="AL45" i="94"/>
  <c r="AM44" i="94"/>
  <c r="AL44" i="94"/>
  <c r="AK46" i="94"/>
  <c r="AK45" i="94"/>
  <c r="AK44" i="94"/>
  <c r="AH46" i="94"/>
  <c r="AH52" i="94" s="1"/>
  <c r="AH45" i="94"/>
  <c r="AH44" i="94"/>
  <c r="AF46" i="94"/>
  <c r="AF52" i="94" s="1"/>
  <c r="P14" i="94" s="1"/>
  <c r="AF45" i="94"/>
  <c r="AF44" i="94"/>
  <c r="AE46" i="94"/>
  <c r="AE45" i="94"/>
  <c r="AE51" i="94" s="1"/>
  <c r="AE44" i="94"/>
  <c r="AD46" i="94"/>
  <c r="AD52" i="94" s="1"/>
  <c r="AD45" i="94"/>
  <c r="AD51" i="94" s="1"/>
  <c r="AD44" i="94"/>
  <c r="AD50" i="94" s="1"/>
  <c r="AF81" i="94"/>
  <c r="AE81" i="94"/>
  <c r="AE79" i="94"/>
  <c r="AF70" i="94"/>
  <c r="AF71" i="94" s="1"/>
  <c r="AE70" i="94"/>
  <c r="AE71" i="94" s="1"/>
  <c r="AG69" i="94"/>
  <c r="AE65" i="94"/>
  <c r="AE66" i="94" s="1"/>
  <c r="AF66" i="94" s="1"/>
  <c r="AG66" i="94" s="1"/>
  <c r="AF64" i="94"/>
  <c r="AG64" i="94" s="1"/>
  <c r="AE60" i="94"/>
  <c r="AF59" i="94"/>
  <c r="AG59" i="94" s="1"/>
  <c r="AE52" i="94"/>
  <c r="AH51" i="94"/>
  <c r="AF51" i="94"/>
  <c r="P11" i="94" s="1"/>
  <c r="AH50" i="94"/>
  <c r="AE50" i="94"/>
  <c r="W22" i="19" l="1"/>
  <c r="N85" i="96"/>
  <c r="M80" i="96"/>
  <c r="M30" i="96"/>
  <c r="N82" i="96"/>
  <c r="S28" i="97"/>
  <c r="Q28" i="97"/>
  <c r="AG70" i="94"/>
  <c r="AF50" i="94"/>
  <c r="W9" i="19"/>
  <c r="L92" i="96"/>
  <c r="O81" i="96" s="1"/>
  <c r="L89" i="96"/>
  <c r="O78" i="96" s="1"/>
  <c r="W6" i="19"/>
  <c r="W8" i="19"/>
  <c r="L91" i="96"/>
  <c r="O80" i="96" s="1"/>
  <c r="M28" i="96"/>
  <c r="AI60" i="94"/>
  <c r="AE74" i="94" s="1"/>
  <c r="AF60" i="94"/>
  <c r="AG60" i="94" s="1"/>
  <c r="AH60" i="94" s="1"/>
  <c r="AG65" i="94"/>
  <c r="AG71" i="94"/>
  <c r="AE61" i="94"/>
  <c r="AF61" i="94" s="1"/>
  <c r="AG61" i="94" s="1"/>
  <c r="AH61" i="94" s="1"/>
  <c r="AF65" i="94"/>
  <c r="AH59" i="94"/>
  <c r="AI59" i="94" s="1"/>
  <c r="AE73" i="94" s="1"/>
  <c r="E45" i="96"/>
  <c r="E20" i="96"/>
  <c r="E46" i="96" s="1"/>
  <c r="W15" i="19" l="1"/>
  <c r="M85" i="96"/>
  <c r="E51" i="96"/>
  <c r="W24" i="19"/>
  <c r="L93" i="96"/>
  <c r="O82" i="96" s="1"/>
  <c r="AI61" i="94"/>
  <c r="AE75" i="94" s="1"/>
  <c r="M8" i="94"/>
  <c r="E137" i="95" l="1"/>
  <c r="E138" i="95"/>
  <c r="E139" i="95"/>
  <c r="E140" i="95"/>
  <c r="F140" i="95" l="1"/>
  <c r="F139" i="95"/>
  <c r="F138" i="95"/>
  <c r="F137" i="95"/>
  <c r="C122" i="95"/>
  <c r="C123" i="95" s="1"/>
  <c r="C126" i="95" s="1"/>
  <c r="C128" i="95" s="1"/>
  <c r="C132" i="95" s="1"/>
  <c r="G138" i="95" l="1"/>
  <c r="H138" i="95" s="1"/>
  <c r="G139" i="95"/>
  <c r="H139" i="95" s="1"/>
  <c r="G137" i="95"/>
  <c r="H137" i="95" s="1"/>
  <c r="G140" i="95"/>
  <c r="H140" i="95" s="1"/>
  <c r="C54" i="19"/>
  <c r="E6" i="94" l="1"/>
  <c r="E9" i="94" l="1"/>
  <c r="E13" i="94" s="1"/>
  <c r="E16" i="94" s="1"/>
  <c r="D5" i="19"/>
  <c r="C5" i="19"/>
  <c r="E59" i="95" l="1"/>
  <c r="U5" i="94" s="1"/>
  <c r="H50" i="95"/>
  <c r="G50" i="95"/>
  <c r="F50" i="95"/>
  <c r="E50" i="95"/>
  <c r="H46" i="95"/>
  <c r="G46" i="95"/>
  <c r="F46" i="95"/>
  <c r="E46" i="95"/>
  <c r="C38" i="95"/>
  <c r="F52" i="95" s="1"/>
  <c r="F55" i="95" s="1"/>
  <c r="Q6" i="95"/>
  <c r="R6" i="95" s="1"/>
  <c r="S6" i="95" s="1"/>
  <c r="T6" i="95" s="1"/>
  <c r="U6" i="95" s="1"/>
  <c r="V6" i="95" s="1"/>
  <c r="W6" i="95" s="1"/>
  <c r="X6" i="95" s="1"/>
  <c r="Y6" i="95" s="1"/>
  <c r="Z6" i="95" s="1"/>
  <c r="AA6" i="95" s="1"/>
  <c r="AB6" i="95" s="1"/>
  <c r="AC6" i="95" s="1"/>
  <c r="AD6" i="95" s="1"/>
  <c r="AE6" i="95" s="1"/>
  <c r="AF6" i="95" s="1"/>
  <c r="AG6" i="95" s="1"/>
  <c r="AH6" i="95" s="1"/>
  <c r="AI6" i="95" s="1"/>
  <c r="AJ6" i="95" s="1"/>
  <c r="AK6" i="95" s="1"/>
  <c r="AL6" i="95" s="1"/>
  <c r="O6" i="95"/>
  <c r="I21" i="95"/>
  <c r="I22" i="95" s="1"/>
  <c r="H21" i="95"/>
  <c r="H22" i="95" s="1"/>
  <c r="G21" i="95"/>
  <c r="G22" i="95" s="1"/>
  <c r="F21" i="95"/>
  <c r="F22" i="95" s="1"/>
  <c r="E21" i="95"/>
  <c r="E22" i="95" s="1"/>
  <c r="D21" i="95"/>
  <c r="D22" i="95" s="1"/>
  <c r="C21" i="95"/>
  <c r="C22" i="95" s="1"/>
  <c r="C5" i="94"/>
  <c r="C28" i="94" s="1"/>
  <c r="D28" i="94"/>
  <c r="H8" i="94"/>
  <c r="H5" i="94"/>
  <c r="Y27" i="94"/>
  <c r="Y26" i="94"/>
  <c r="Y25" i="94"/>
  <c r="V30" i="94"/>
  <c r="C70" i="95" l="1"/>
  <c r="Q5" i="19" s="1"/>
  <c r="G52" i="95"/>
  <c r="G55" i="95" s="1"/>
  <c r="E52" i="95"/>
  <c r="E55" i="95" s="1"/>
  <c r="H52" i="95"/>
  <c r="H55" i="95" s="1"/>
  <c r="N6" i="95"/>
  <c r="M6" i="95" s="1"/>
  <c r="L6" i="95" s="1"/>
  <c r="K6" i="95" s="1"/>
  <c r="E27" i="93"/>
  <c r="N5" i="94" s="1"/>
  <c r="F27" i="93"/>
  <c r="N8" i="94" s="1"/>
  <c r="G27" i="93"/>
  <c r="D87" i="93"/>
  <c r="D27" i="93" s="1"/>
  <c r="G88" i="93"/>
  <c r="F88" i="93"/>
  <c r="E88" i="93"/>
  <c r="D88" i="93"/>
  <c r="F129" i="93"/>
  <c r="F110" i="93" s="1"/>
  <c r="E129" i="93"/>
  <c r="D129" i="93"/>
  <c r="D110" i="93" s="1"/>
  <c r="D100" i="93" s="1"/>
  <c r="D60" i="93" s="1"/>
  <c r="D68" i="93" s="1"/>
  <c r="F128" i="93"/>
  <c r="E128" i="93"/>
  <c r="E109" i="93" s="1"/>
  <c r="E99" i="93" s="1"/>
  <c r="E59" i="93" s="1"/>
  <c r="E67" i="93" s="1"/>
  <c r="D128" i="93"/>
  <c r="F127" i="93"/>
  <c r="F108" i="93" s="1"/>
  <c r="E127" i="93"/>
  <c r="E108" i="93" s="1"/>
  <c r="E98" i="93" s="1"/>
  <c r="E58" i="93" s="1"/>
  <c r="E66" i="93" s="1"/>
  <c r="D127" i="93"/>
  <c r="D108" i="93" s="1"/>
  <c r="D98" i="93" s="1"/>
  <c r="D58" i="93" s="1"/>
  <c r="D66" i="93" s="1"/>
  <c r="F126" i="93"/>
  <c r="E126" i="93"/>
  <c r="E107" i="93" s="1"/>
  <c r="E97" i="93" s="1"/>
  <c r="E57" i="93" s="1"/>
  <c r="E65" i="93" s="1"/>
  <c r="D126" i="93"/>
  <c r="F125" i="93"/>
  <c r="F106" i="93" s="1"/>
  <c r="E125" i="93"/>
  <c r="D125" i="93"/>
  <c r="D106" i="93" s="1"/>
  <c r="D96" i="93" s="1"/>
  <c r="D56" i="93" s="1"/>
  <c r="D64" i="93" s="1"/>
  <c r="F124" i="93"/>
  <c r="E124" i="93"/>
  <c r="D124" i="93"/>
  <c r="E110" i="93"/>
  <c r="E100" i="93" s="1"/>
  <c r="E60" i="93" s="1"/>
  <c r="E68" i="93" s="1"/>
  <c r="F109" i="93"/>
  <c r="G109" i="93" s="1"/>
  <c r="G99" i="93" s="1"/>
  <c r="G59" i="93" s="1"/>
  <c r="G67" i="93" s="1"/>
  <c r="D109" i="93"/>
  <c r="D99" i="93" s="1"/>
  <c r="D59" i="93" s="1"/>
  <c r="D67" i="93" s="1"/>
  <c r="F107" i="93"/>
  <c r="G107" i="93" s="1"/>
  <c r="G97" i="93" s="1"/>
  <c r="G57" i="93" s="1"/>
  <c r="G65" i="93" s="1"/>
  <c r="D107" i="93"/>
  <c r="E106" i="93"/>
  <c r="D97" i="93"/>
  <c r="D57" i="93" s="1"/>
  <c r="D65" i="93" s="1"/>
  <c r="E96" i="93"/>
  <c r="E56" i="93" s="1"/>
  <c r="E64" i="93" s="1"/>
  <c r="G77" i="93"/>
  <c r="F77" i="93"/>
  <c r="E77" i="93"/>
  <c r="D77" i="93"/>
  <c r="G75" i="93"/>
  <c r="G28" i="93" s="1"/>
  <c r="G49" i="93" s="1"/>
  <c r="G47" i="93" s="1"/>
  <c r="F75" i="93"/>
  <c r="F28" i="93" s="1"/>
  <c r="F49" i="93" s="1"/>
  <c r="F47" i="93" s="1"/>
  <c r="E75" i="93"/>
  <c r="E28" i="93" s="1"/>
  <c r="D75" i="93"/>
  <c r="D28" i="93"/>
  <c r="D49" i="93" s="1"/>
  <c r="D47" i="93" s="1"/>
  <c r="G23" i="93"/>
  <c r="G24" i="93"/>
  <c r="F23" i="93"/>
  <c r="F24" i="93" s="1"/>
  <c r="E23" i="93"/>
  <c r="E24" i="93" s="1"/>
  <c r="D23" i="93"/>
  <c r="D24" i="93" s="1"/>
  <c r="D27" i="52"/>
  <c r="G81" i="52"/>
  <c r="G85" i="93" s="1"/>
  <c r="F81" i="52"/>
  <c r="F85" i="93" s="1"/>
  <c r="D81" i="52"/>
  <c r="D25" i="53"/>
  <c r="D25" i="52"/>
  <c r="D25" i="93" s="1"/>
  <c r="AG23" i="94" s="1"/>
  <c r="AF23" i="94" s="1"/>
  <c r="AE23" i="94" s="1"/>
  <c r="D24" i="52"/>
  <c r="H23" i="51"/>
  <c r="D23" i="56"/>
  <c r="D24" i="56"/>
  <c r="E23" i="56"/>
  <c r="E24" i="56" s="1"/>
  <c r="F23" i="56"/>
  <c r="F24" i="56" s="1"/>
  <c r="G23" i="56"/>
  <c r="G24" i="56"/>
  <c r="D70" i="56"/>
  <c r="E70" i="56"/>
  <c r="F70" i="56"/>
  <c r="G70" i="56"/>
  <c r="B100" i="56"/>
  <c r="D89" i="56"/>
  <c r="F89" i="56"/>
  <c r="G89" i="56"/>
  <c r="B102" i="56"/>
  <c r="D23" i="55"/>
  <c r="D24" i="55" s="1"/>
  <c r="E23" i="55"/>
  <c r="E24" i="55"/>
  <c r="F23" i="55"/>
  <c r="G23" i="55"/>
  <c r="G24" i="55" s="1"/>
  <c r="F24" i="55"/>
  <c r="D68" i="55"/>
  <c r="E68" i="55"/>
  <c r="F68" i="55"/>
  <c r="G68" i="55"/>
  <c r="D23" i="54"/>
  <c r="D24" i="54" s="1"/>
  <c r="E23" i="54"/>
  <c r="E24" i="54" s="1"/>
  <c r="F23" i="54"/>
  <c r="F24" i="54" s="1"/>
  <c r="G23" i="54"/>
  <c r="G24" i="54"/>
  <c r="D68" i="54"/>
  <c r="E68" i="54"/>
  <c r="F68" i="54"/>
  <c r="G68" i="54"/>
  <c r="D23" i="53"/>
  <c r="D24" i="53" s="1"/>
  <c r="E23" i="53"/>
  <c r="E24" i="53" s="1"/>
  <c r="F23" i="53"/>
  <c r="F24" i="53"/>
  <c r="G23" i="53"/>
  <c r="G24" i="53"/>
  <c r="E25" i="53"/>
  <c r="AG27" i="94" s="1"/>
  <c r="AF27" i="94" s="1"/>
  <c r="AE27" i="94" s="1"/>
  <c r="F25" i="53"/>
  <c r="AG28" i="94" s="1"/>
  <c r="AF28" i="94" s="1"/>
  <c r="AE28" i="94" s="1"/>
  <c r="G25" i="53"/>
  <c r="D67" i="53"/>
  <c r="D28" i="53" s="1"/>
  <c r="E67" i="53"/>
  <c r="E67" i="54" s="1"/>
  <c r="F67" i="53"/>
  <c r="F67" i="55" s="1"/>
  <c r="G67" i="53"/>
  <c r="D69" i="53"/>
  <c r="E69" i="53"/>
  <c r="E69" i="54" s="1"/>
  <c r="F69" i="53"/>
  <c r="F69" i="55" s="1"/>
  <c r="G69" i="53"/>
  <c r="G69" i="55" s="1"/>
  <c r="D106" i="53"/>
  <c r="E106" i="53"/>
  <c r="F106" i="53"/>
  <c r="D107" i="53"/>
  <c r="D88" i="53" s="1"/>
  <c r="E107" i="53"/>
  <c r="E88" i="53" s="1"/>
  <c r="E88" i="54" s="1"/>
  <c r="F107" i="53"/>
  <c r="F88" i="53" s="1"/>
  <c r="D108" i="53"/>
  <c r="D89" i="53" s="1"/>
  <c r="E108" i="53"/>
  <c r="E89" i="53"/>
  <c r="F108" i="53"/>
  <c r="F89" i="53" s="1"/>
  <c r="G89" i="53" s="1"/>
  <c r="G79" i="53" s="1"/>
  <c r="G49" i="53" s="1"/>
  <c r="G57" i="53" s="1"/>
  <c r="D109" i="53"/>
  <c r="D90" i="53" s="1"/>
  <c r="D91" i="56" s="1"/>
  <c r="E109" i="53"/>
  <c r="E90" i="53" s="1"/>
  <c r="F109" i="53"/>
  <c r="F90" i="53"/>
  <c r="G90" i="53" s="1"/>
  <c r="D110" i="53"/>
  <c r="D91" i="53" s="1"/>
  <c r="D81" i="53" s="1"/>
  <c r="D51" i="53" s="1"/>
  <c r="D59" i="53" s="1"/>
  <c r="E110" i="53"/>
  <c r="E91" i="53" s="1"/>
  <c r="F110" i="53"/>
  <c r="F91" i="53" s="1"/>
  <c r="D111" i="53"/>
  <c r="D92" i="53"/>
  <c r="E111" i="53"/>
  <c r="E92" i="53" s="1"/>
  <c r="F111" i="53"/>
  <c r="F92" i="53" s="1"/>
  <c r="G24" i="52"/>
  <c r="D48" i="52"/>
  <c r="D56" i="52" s="1"/>
  <c r="E48" i="52"/>
  <c r="E56" i="52" s="1"/>
  <c r="F48" i="52"/>
  <c r="F56" i="52" s="1"/>
  <c r="G48" i="52"/>
  <c r="G56" i="52" s="1"/>
  <c r="D49" i="52"/>
  <c r="D57" i="52" s="1"/>
  <c r="E49" i="52"/>
  <c r="E57" i="52" s="1"/>
  <c r="F49" i="52"/>
  <c r="F57" i="52" s="1"/>
  <c r="G49" i="52"/>
  <c r="G57" i="52" s="1"/>
  <c r="D50" i="52"/>
  <c r="D58" i="52" s="1"/>
  <c r="E50" i="52"/>
  <c r="F50" i="52"/>
  <c r="F58" i="52" s="1"/>
  <c r="G50" i="52"/>
  <c r="G58" i="52" s="1"/>
  <c r="D51" i="52"/>
  <c r="D59" i="52" s="1"/>
  <c r="E51" i="52"/>
  <c r="E59" i="52" s="1"/>
  <c r="F51" i="52"/>
  <c r="G51" i="52"/>
  <c r="G59" i="52" s="1"/>
  <c r="D52" i="52"/>
  <c r="D60" i="52" s="1"/>
  <c r="E52" i="52"/>
  <c r="E60" i="52" s="1"/>
  <c r="F52" i="52"/>
  <c r="F60" i="52" s="1"/>
  <c r="G52" i="52"/>
  <c r="G60" i="52" s="1"/>
  <c r="E58" i="52"/>
  <c r="F59" i="52"/>
  <c r="D75" i="52"/>
  <c r="D28" i="52" s="1"/>
  <c r="D78" i="52" s="1"/>
  <c r="E75" i="52"/>
  <c r="E28" i="52" s="1"/>
  <c r="E78" i="52" s="1"/>
  <c r="F75" i="52"/>
  <c r="F28" i="52" s="1"/>
  <c r="F78" i="52" s="1"/>
  <c r="G75" i="52"/>
  <c r="G28" i="52" s="1"/>
  <c r="D76" i="52"/>
  <c r="D41" i="52" s="1"/>
  <c r="D39" i="52" s="1"/>
  <c r="E76" i="52"/>
  <c r="E41" i="52" s="1"/>
  <c r="F76" i="52"/>
  <c r="F41" i="52" s="1"/>
  <c r="F39" i="52" s="1"/>
  <c r="G76" i="52"/>
  <c r="G41" i="52" s="1"/>
  <c r="G39" i="52" s="1"/>
  <c r="S2" i="51"/>
  <c r="D48" i="51"/>
  <c r="D56" i="51" s="1"/>
  <c r="E48" i="51"/>
  <c r="E56" i="51" s="1"/>
  <c r="F48" i="51"/>
  <c r="G48" i="51"/>
  <c r="G56" i="51" s="1"/>
  <c r="D49" i="51"/>
  <c r="E49" i="51"/>
  <c r="E57" i="51" s="1"/>
  <c r="F49" i="51"/>
  <c r="F57" i="51" s="1"/>
  <c r="G49" i="51"/>
  <c r="G57" i="51"/>
  <c r="D50" i="51"/>
  <c r="D58" i="51" s="1"/>
  <c r="E50" i="51"/>
  <c r="E58" i="51" s="1"/>
  <c r="F50" i="51"/>
  <c r="G50" i="51"/>
  <c r="G58" i="51" s="1"/>
  <c r="D51" i="51"/>
  <c r="E51" i="51"/>
  <c r="E59" i="51" s="1"/>
  <c r="F51" i="51"/>
  <c r="F59" i="51" s="1"/>
  <c r="G51" i="51"/>
  <c r="G59" i="51"/>
  <c r="D52" i="51"/>
  <c r="D60" i="51" s="1"/>
  <c r="E52" i="51"/>
  <c r="E60" i="51" s="1"/>
  <c r="F52" i="51"/>
  <c r="G52" i="51"/>
  <c r="G60" i="51" s="1"/>
  <c r="F56" i="51"/>
  <c r="D57" i="51"/>
  <c r="F58" i="51"/>
  <c r="D59" i="51"/>
  <c r="F60" i="51"/>
  <c r="S2" i="50"/>
  <c r="D48" i="50"/>
  <c r="D56" i="50" s="1"/>
  <c r="E48" i="50"/>
  <c r="E56" i="50" s="1"/>
  <c r="F48" i="50"/>
  <c r="F56" i="50" s="1"/>
  <c r="G48" i="50"/>
  <c r="D49" i="50"/>
  <c r="D57" i="50" s="1"/>
  <c r="E49" i="50"/>
  <c r="E57" i="50"/>
  <c r="F49" i="50"/>
  <c r="G49" i="50"/>
  <c r="G57" i="50" s="1"/>
  <c r="D50" i="50"/>
  <c r="E50" i="50"/>
  <c r="E58" i="50" s="1"/>
  <c r="F50" i="50"/>
  <c r="F58" i="50" s="1"/>
  <c r="G50" i="50"/>
  <c r="D51" i="50"/>
  <c r="D59" i="50" s="1"/>
  <c r="E51" i="50"/>
  <c r="E59" i="50" s="1"/>
  <c r="F51" i="50"/>
  <c r="F59" i="50" s="1"/>
  <c r="G51" i="50"/>
  <c r="D52" i="50"/>
  <c r="D60" i="50" s="1"/>
  <c r="E52" i="50"/>
  <c r="E60" i="50" s="1"/>
  <c r="F52" i="50"/>
  <c r="F60" i="50" s="1"/>
  <c r="G52" i="50"/>
  <c r="G60" i="50" s="1"/>
  <c r="G56" i="50"/>
  <c r="F57" i="50"/>
  <c r="D58" i="50"/>
  <c r="G58" i="50"/>
  <c r="G59" i="50"/>
  <c r="D75" i="50"/>
  <c r="E75" i="50"/>
  <c r="F75" i="50"/>
  <c r="G75" i="50"/>
  <c r="S2" i="49"/>
  <c r="D48" i="49"/>
  <c r="D56" i="49"/>
  <c r="E48" i="49"/>
  <c r="F48" i="49"/>
  <c r="F56" i="49" s="1"/>
  <c r="G48" i="49"/>
  <c r="D49" i="49"/>
  <c r="D57" i="49" s="1"/>
  <c r="E49" i="49"/>
  <c r="E57" i="49" s="1"/>
  <c r="F49" i="49"/>
  <c r="G49" i="49"/>
  <c r="G57" i="49" s="1"/>
  <c r="D50" i="49"/>
  <c r="D58" i="49" s="1"/>
  <c r="E50" i="49"/>
  <c r="E58" i="49" s="1"/>
  <c r="F50" i="49"/>
  <c r="F58" i="49" s="1"/>
  <c r="G50" i="49"/>
  <c r="G58" i="49" s="1"/>
  <c r="D51" i="49"/>
  <c r="E51" i="49"/>
  <c r="E59" i="49" s="1"/>
  <c r="F51" i="49"/>
  <c r="F59" i="49" s="1"/>
  <c r="G51" i="49"/>
  <c r="G59" i="49" s="1"/>
  <c r="D52" i="49"/>
  <c r="D60" i="49" s="1"/>
  <c r="E52" i="49"/>
  <c r="F52" i="49"/>
  <c r="F60" i="49" s="1"/>
  <c r="G52" i="49"/>
  <c r="G60" i="49" s="1"/>
  <c r="E56" i="49"/>
  <c r="G56" i="49"/>
  <c r="F57" i="49"/>
  <c r="D59" i="49"/>
  <c r="E60" i="49"/>
  <c r="D67" i="49"/>
  <c r="D23" i="49" s="1"/>
  <c r="D24" i="49" s="1"/>
  <c r="G25" i="52"/>
  <c r="G25" i="93" s="1"/>
  <c r="F24" i="52"/>
  <c r="E24" i="52"/>
  <c r="E38" i="55"/>
  <c r="D69" i="54"/>
  <c r="D38" i="55"/>
  <c r="F79" i="53"/>
  <c r="F49" i="53" s="1"/>
  <c r="F57" i="53" s="1"/>
  <c r="G67" i="54"/>
  <c r="G28" i="54" s="1"/>
  <c r="G67" i="55"/>
  <c r="F25" i="52"/>
  <c r="F25" i="93" s="1"/>
  <c r="AG25" i="94" s="1"/>
  <c r="AF25" i="94" s="1"/>
  <c r="AE25" i="94" s="1"/>
  <c r="F81" i="53"/>
  <c r="F51" i="53" s="1"/>
  <c r="F59" i="53" s="1"/>
  <c r="G28" i="53"/>
  <c r="G41" i="53"/>
  <c r="G39" i="53" s="1"/>
  <c r="G67" i="56"/>
  <c r="G28" i="56" s="1"/>
  <c r="G41" i="56" s="1"/>
  <c r="G39" i="56" s="1"/>
  <c r="G79" i="56"/>
  <c r="E89" i="56"/>
  <c r="E90" i="55"/>
  <c r="E79" i="53"/>
  <c r="E49" i="53" s="1"/>
  <c r="E57" i="53" s="1"/>
  <c r="G78" i="52"/>
  <c r="D93" i="56"/>
  <c r="D78" i="53"/>
  <c r="D48" i="53" s="1"/>
  <c r="D56" i="53" s="1"/>
  <c r="E88" i="55"/>
  <c r="F38" i="55"/>
  <c r="D67" i="51"/>
  <c r="D74" i="51" s="1"/>
  <c r="D41" i="51" s="1"/>
  <c r="D39" i="51" s="1"/>
  <c r="D73" i="49"/>
  <c r="D28" i="49"/>
  <c r="E93" i="56"/>
  <c r="E92" i="55"/>
  <c r="E92" i="54"/>
  <c r="E82" i="53"/>
  <c r="E52" i="53" s="1"/>
  <c r="E60" i="53" s="1"/>
  <c r="G38" i="55"/>
  <c r="D69" i="55"/>
  <c r="E67" i="56"/>
  <c r="F90" i="56"/>
  <c r="E25" i="52"/>
  <c r="E25" i="93" s="1"/>
  <c r="AG24" i="94" s="1"/>
  <c r="AF24" i="94" s="1"/>
  <c r="AE24" i="94" s="1"/>
  <c r="G69" i="54"/>
  <c r="D67" i="56"/>
  <c r="E39" i="52"/>
  <c r="R2" i="52"/>
  <c r="R2" i="51"/>
  <c r="R2" i="50"/>
  <c r="R2" i="49"/>
  <c r="Q2" i="52"/>
  <c r="P5" i="19" l="1"/>
  <c r="P6" i="19" s="1"/>
  <c r="P7" i="19" s="1"/>
  <c r="P8" i="19" s="1"/>
  <c r="P9" i="19" s="1"/>
  <c r="P10" i="19" s="1"/>
  <c r="P11" i="19" s="1"/>
  <c r="Q6" i="19"/>
  <c r="Q7" i="19" s="1"/>
  <c r="Q8" i="19" s="1"/>
  <c r="Q9" i="19" s="1"/>
  <c r="Q10" i="19" s="1"/>
  <c r="Q11" i="19" s="1"/>
  <c r="E28" i="53"/>
  <c r="E41" i="53" s="1"/>
  <c r="E39" i="53" s="1"/>
  <c r="G76" i="56"/>
  <c r="E69" i="55"/>
  <c r="E67" i="49"/>
  <c r="D41" i="53"/>
  <c r="D39" i="53" s="1"/>
  <c r="F99" i="93"/>
  <c r="F59" i="93" s="1"/>
  <c r="F67" i="93" s="1"/>
  <c r="D23" i="51"/>
  <c r="D24" i="51" s="1"/>
  <c r="F28" i="53"/>
  <c r="F41" i="53" s="1"/>
  <c r="F39" i="53" s="1"/>
  <c r="AG26" i="94"/>
  <c r="AF26" i="94" s="1"/>
  <c r="AE26" i="94" s="1"/>
  <c r="L49" i="94"/>
  <c r="L45" i="94"/>
  <c r="L47" i="94"/>
  <c r="L43" i="94"/>
  <c r="L7" i="94"/>
  <c r="L9" i="94"/>
  <c r="L50" i="94"/>
  <c r="L46" i="94"/>
  <c r="L6" i="94"/>
  <c r="L8" i="94"/>
  <c r="L48" i="94"/>
  <c r="L44" i="94"/>
  <c r="L10" i="94"/>
  <c r="L42" i="94"/>
  <c r="G75" i="54"/>
  <c r="G25" i="54" s="1"/>
  <c r="E67" i="55"/>
  <c r="D74" i="49"/>
  <c r="D41" i="49" s="1"/>
  <c r="D39" i="49" s="1"/>
  <c r="D67" i="50"/>
  <c r="D84" i="52"/>
  <c r="F69" i="54"/>
  <c r="E91" i="54"/>
  <c r="E91" i="55"/>
  <c r="F88" i="55"/>
  <c r="F78" i="55" s="1"/>
  <c r="F48" i="55" s="1"/>
  <c r="F56" i="55" s="1"/>
  <c r="F88" i="54"/>
  <c r="E28" i="54"/>
  <c r="E41" i="54" s="1"/>
  <c r="E39" i="54" s="1"/>
  <c r="E75" i="54"/>
  <c r="E25" i="54" s="1"/>
  <c r="G108" i="93"/>
  <c r="G98" i="93" s="1"/>
  <c r="G58" i="93" s="1"/>
  <c r="G66" i="93" s="1"/>
  <c r="F98" i="93"/>
  <c r="F58" i="93" s="1"/>
  <c r="F66" i="93" s="1"/>
  <c r="F75" i="55"/>
  <c r="F25" i="55" s="1"/>
  <c r="F28" i="55"/>
  <c r="F41" i="55" s="1"/>
  <c r="F39" i="55" s="1"/>
  <c r="F82" i="53"/>
  <c r="F52" i="53" s="1"/>
  <c r="F60" i="53" s="1"/>
  <c r="G92" i="53"/>
  <c r="F92" i="54"/>
  <c r="F93" i="56"/>
  <c r="F67" i="49"/>
  <c r="F23" i="49" s="1"/>
  <c r="F24" i="49" s="1"/>
  <c r="F67" i="54"/>
  <c r="D67" i="54"/>
  <c r="D75" i="54" s="1"/>
  <c r="D25" i="54" s="1"/>
  <c r="J6" i="95"/>
  <c r="I6" i="95" s="1"/>
  <c r="H6" i="95" s="1"/>
  <c r="G6" i="95" s="1"/>
  <c r="F6" i="95" s="1"/>
  <c r="E6" i="95" s="1"/>
  <c r="D6" i="95" s="1"/>
  <c r="C6" i="95" s="1"/>
  <c r="H23" i="95"/>
  <c r="D23" i="95"/>
  <c r="F23" i="95"/>
  <c r="Q14" i="94" s="1"/>
  <c r="G23" i="95"/>
  <c r="C23" i="95"/>
  <c r="I23" i="95"/>
  <c r="E23" i="95"/>
  <c r="E67" i="50"/>
  <c r="E74" i="50" s="1"/>
  <c r="E41" i="50" s="1"/>
  <c r="E39" i="50" s="1"/>
  <c r="F67" i="56"/>
  <c r="F91" i="56"/>
  <c r="E79" i="56"/>
  <c r="E48" i="56" s="1"/>
  <c r="E56" i="56" s="1"/>
  <c r="D67" i="55"/>
  <c r="G41" i="54"/>
  <c r="G39" i="54" s="1"/>
  <c r="D79" i="56"/>
  <c r="F97" i="93"/>
  <c r="F57" i="93" s="1"/>
  <c r="F65" i="93" s="1"/>
  <c r="D82" i="52"/>
  <c r="D86" i="52" s="1"/>
  <c r="F84" i="52"/>
  <c r="G84" i="52"/>
  <c r="E78" i="53"/>
  <c r="E48" i="53" s="1"/>
  <c r="E56" i="53" s="1"/>
  <c r="I31" i="52"/>
  <c r="I32" i="52" s="1"/>
  <c r="D86" i="93"/>
  <c r="D90" i="93" s="1"/>
  <c r="G90" i="55"/>
  <c r="G91" i="56"/>
  <c r="G81" i="56" s="1"/>
  <c r="G50" i="56" s="1"/>
  <c r="G58" i="56" s="1"/>
  <c r="G90" i="54"/>
  <c r="G80" i="54" s="1"/>
  <c r="G50" i="54" s="1"/>
  <c r="G58" i="54" s="1"/>
  <c r="G80" i="53"/>
  <c r="G50" i="53" s="1"/>
  <c r="G58" i="53" s="1"/>
  <c r="G25" i="56"/>
  <c r="G68" i="56"/>
  <c r="G48" i="56"/>
  <c r="G56" i="56" s="1"/>
  <c r="G89" i="55"/>
  <c r="G89" i="54"/>
  <c r="G79" i="54" s="1"/>
  <c r="G49" i="54" s="1"/>
  <c r="G57" i="54" s="1"/>
  <c r="G90" i="56"/>
  <c r="G80" i="56" s="1"/>
  <c r="G49" i="56" s="1"/>
  <c r="G57" i="56" s="1"/>
  <c r="D91" i="55"/>
  <c r="D92" i="56"/>
  <c r="D90" i="54"/>
  <c r="D80" i="53"/>
  <c r="D50" i="53" s="1"/>
  <c r="D58" i="53" s="1"/>
  <c r="G67" i="49"/>
  <c r="D28" i="56"/>
  <c r="D41" i="56" s="1"/>
  <c r="D39" i="56" s="1"/>
  <c r="D76" i="56"/>
  <c r="D48" i="56" s="1"/>
  <c r="D56" i="56" s="1"/>
  <c r="F79" i="56"/>
  <c r="F76" i="56"/>
  <c r="F80" i="56" s="1"/>
  <c r="F49" i="56" s="1"/>
  <c r="F57" i="56" s="1"/>
  <c r="F28" i="56"/>
  <c r="F41" i="56" s="1"/>
  <c r="F39" i="56" s="1"/>
  <c r="D68" i="50"/>
  <c r="D73" i="51"/>
  <c r="D28" i="51" s="1"/>
  <c r="F80" i="53"/>
  <c r="F50" i="53" s="1"/>
  <c r="F58" i="53" s="1"/>
  <c r="F90" i="54"/>
  <c r="F90" i="55"/>
  <c r="F80" i="55" s="1"/>
  <c r="F50" i="55" s="1"/>
  <c r="F58" i="55" s="1"/>
  <c r="D89" i="55"/>
  <c r="D89" i="54"/>
  <c r="D79" i="53"/>
  <c r="D49" i="53" s="1"/>
  <c r="D57" i="53" s="1"/>
  <c r="E82" i="52"/>
  <c r="E86" i="52" s="1"/>
  <c r="E84" i="52"/>
  <c r="G28" i="55"/>
  <c r="G41" i="55" s="1"/>
  <c r="G39" i="55" s="1"/>
  <c r="G75" i="55"/>
  <c r="G25" i="55" s="1"/>
  <c r="D92" i="54"/>
  <c r="D82" i="53"/>
  <c r="D52" i="53" s="1"/>
  <c r="D60" i="53" s="1"/>
  <c r="E90" i="54"/>
  <c r="E91" i="56"/>
  <c r="E89" i="55"/>
  <c r="E90" i="56"/>
  <c r="E89" i="54"/>
  <c r="E76" i="56"/>
  <c r="E28" i="56"/>
  <c r="G92" i="55"/>
  <c r="G93" i="56"/>
  <c r="G83" i="56" s="1"/>
  <c r="G52" i="56" s="1"/>
  <c r="G60" i="56" s="1"/>
  <c r="G92" i="54"/>
  <c r="G82" i="54" s="1"/>
  <c r="G52" i="54" s="1"/>
  <c r="G60" i="54" s="1"/>
  <c r="F91" i="54"/>
  <c r="F92" i="56"/>
  <c r="G91" i="53"/>
  <c r="F91" i="55"/>
  <c r="E41" i="56"/>
  <c r="E39" i="56" s="1"/>
  <c r="G82" i="53"/>
  <c r="G52" i="53" s="1"/>
  <c r="G60" i="53" s="1"/>
  <c r="D90" i="55"/>
  <c r="D90" i="56"/>
  <c r="D92" i="55"/>
  <c r="D91" i="54"/>
  <c r="D81" i="54" s="1"/>
  <c r="D51" i="54" s="1"/>
  <c r="D59" i="54" s="1"/>
  <c r="E80" i="53"/>
  <c r="E50" i="53" s="1"/>
  <c r="E58" i="53" s="1"/>
  <c r="E92" i="56"/>
  <c r="E81" i="53"/>
  <c r="E51" i="53" s="1"/>
  <c r="E59" i="53" s="1"/>
  <c r="F89" i="54"/>
  <c r="F89" i="55"/>
  <c r="F79" i="55" s="1"/>
  <c r="F49" i="55" s="1"/>
  <c r="F57" i="55" s="1"/>
  <c r="F78" i="53"/>
  <c r="F48" i="53" s="1"/>
  <c r="F56" i="53" s="1"/>
  <c r="G88" i="53"/>
  <c r="D88" i="55"/>
  <c r="D88" i="54"/>
  <c r="F92" i="55"/>
  <c r="F82" i="55" s="1"/>
  <c r="F52" i="55" s="1"/>
  <c r="F60" i="55" s="1"/>
  <c r="G86" i="93"/>
  <c r="G90" i="93" s="1"/>
  <c r="G82" i="52"/>
  <c r="F82" i="52"/>
  <c r="E49" i="93"/>
  <c r="E47" i="93" s="1"/>
  <c r="D85" i="93"/>
  <c r="E81" i="52"/>
  <c r="G106" i="93"/>
  <c r="G96" i="93" s="1"/>
  <c r="G56" i="93" s="1"/>
  <c r="G64" i="93" s="1"/>
  <c r="F96" i="93"/>
  <c r="F56" i="93" s="1"/>
  <c r="F64" i="93" s="1"/>
  <c r="G110" i="93"/>
  <c r="G100" i="93" s="1"/>
  <c r="G60" i="93" s="1"/>
  <c r="G68" i="93" s="1"/>
  <c r="F100" i="93"/>
  <c r="F60" i="93" s="1"/>
  <c r="F68" i="93" s="1"/>
  <c r="E67" i="51" l="1"/>
  <c r="E73" i="49"/>
  <c r="E28" i="49" s="1"/>
  <c r="E23" i="49"/>
  <c r="E24" i="49" s="1"/>
  <c r="E79" i="55"/>
  <c r="E49" i="55" s="1"/>
  <c r="E57" i="55" s="1"/>
  <c r="F74" i="49"/>
  <c r="F41" i="49" s="1"/>
  <c r="F39" i="49" s="1"/>
  <c r="E28" i="55"/>
  <c r="E75" i="55"/>
  <c r="D80" i="52"/>
  <c r="D38" i="52" s="1"/>
  <c r="F82" i="56"/>
  <c r="F51" i="56" s="1"/>
  <c r="F59" i="56" s="1"/>
  <c r="E81" i="56"/>
  <c r="E50" i="56" s="1"/>
  <c r="E58" i="56" s="1"/>
  <c r="F67" i="50"/>
  <c r="E74" i="49"/>
  <c r="E41" i="49" s="1"/>
  <c r="E39" i="49" s="1"/>
  <c r="D73" i="50"/>
  <c r="D28" i="50" s="1"/>
  <c r="D74" i="50"/>
  <c r="D41" i="50" s="1"/>
  <c r="D39" i="50" s="1"/>
  <c r="D23" i="50"/>
  <c r="D24" i="50" s="1"/>
  <c r="E73" i="50"/>
  <c r="E28" i="50" s="1"/>
  <c r="E81" i="55"/>
  <c r="E51" i="55" s="1"/>
  <c r="E59" i="55" s="1"/>
  <c r="E41" i="55"/>
  <c r="E39" i="55" s="1"/>
  <c r="E23" i="50"/>
  <c r="E24" i="50" s="1"/>
  <c r="E79" i="54"/>
  <c r="E49" i="54" s="1"/>
  <c r="E57" i="54" s="1"/>
  <c r="E80" i="54"/>
  <c r="E50" i="54" s="1"/>
  <c r="E58" i="54" s="1"/>
  <c r="E82" i="56"/>
  <c r="E51" i="56" s="1"/>
  <c r="E59" i="56" s="1"/>
  <c r="G82" i="55"/>
  <c r="G52" i="55" s="1"/>
  <c r="G60" i="55" s="1"/>
  <c r="E80" i="56"/>
  <c r="E49" i="56" s="1"/>
  <c r="E57" i="56" s="1"/>
  <c r="D79" i="54"/>
  <c r="D49" i="54" s="1"/>
  <c r="D57" i="54" s="1"/>
  <c r="F83" i="56"/>
  <c r="F52" i="56" s="1"/>
  <c r="F60" i="56" s="1"/>
  <c r="E82" i="54"/>
  <c r="E52" i="54" s="1"/>
  <c r="E60" i="54" s="1"/>
  <c r="F28" i="54"/>
  <c r="F41" i="54" s="1"/>
  <c r="F39" i="54" s="1"/>
  <c r="F75" i="54"/>
  <c r="F25" i="54" s="1"/>
  <c r="E81" i="54"/>
  <c r="E51" i="54" s="1"/>
  <c r="E59" i="54" s="1"/>
  <c r="D28" i="54"/>
  <c r="D41" i="54" s="1"/>
  <c r="D39" i="54" s="1"/>
  <c r="G84" i="93"/>
  <c r="G31" i="93" s="1"/>
  <c r="D78" i="54"/>
  <c r="D48" i="54" s="1"/>
  <c r="D56" i="54" s="1"/>
  <c r="D80" i="56"/>
  <c r="D49" i="56" s="1"/>
  <c r="D57" i="56" s="1"/>
  <c r="E78" i="54"/>
  <c r="E48" i="54" s="1"/>
  <c r="E56" i="54" s="1"/>
  <c r="F81" i="54"/>
  <c r="F51" i="54" s="1"/>
  <c r="F59" i="54" s="1"/>
  <c r="D82" i="54"/>
  <c r="D52" i="54" s="1"/>
  <c r="D60" i="54" s="1"/>
  <c r="D80" i="54"/>
  <c r="D50" i="54" s="1"/>
  <c r="D58" i="54" s="1"/>
  <c r="D75" i="55"/>
  <c r="D25" i="55" s="1"/>
  <c r="D28" i="55"/>
  <c r="D41" i="55" s="1"/>
  <c r="D39" i="55" s="1"/>
  <c r="F67" i="51"/>
  <c r="F73" i="49"/>
  <c r="F28" i="49" s="1"/>
  <c r="F78" i="54"/>
  <c r="F48" i="54" s="1"/>
  <c r="F56" i="54" s="1"/>
  <c r="F80" i="52"/>
  <c r="F38" i="52" s="1"/>
  <c r="F86" i="52"/>
  <c r="G86" i="52"/>
  <c r="G80" i="52"/>
  <c r="G38" i="52" s="1"/>
  <c r="G91" i="54"/>
  <c r="G81" i="54" s="1"/>
  <c r="G51" i="54" s="1"/>
  <c r="G59" i="54" s="1"/>
  <c r="G81" i="53"/>
  <c r="G51" i="53" s="1"/>
  <c r="G59" i="53" s="1"/>
  <c r="G92" i="56"/>
  <c r="G82" i="56" s="1"/>
  <c r="G51" i="56" s="1"/>
  <c r="G59" i="56" s="1"/>
  <c r="G91" i="55"/>
  <c r="E83" i="56"/>
  <c r="E52" i="56" s="1"/>
  <c r="E60" i="56" s="1"/>
  <c r="E68" i="56"/>
  <c r="E25" i="56"/>
  <c r="E86" i="93"/>
  <c r="E90" i="93" s="1"/>
  <c r="G73" i="49"/>
  <c r="G28" i="49" s="1"/>
  <c r="G23" i="49"/>
  <c r="G24" i="49" s="1"/>
  <c r="G67" i="50"/>
  <c r="G67" i="51"/>
  <c r="G74" i="49"/>
  <c r="G41" i="49" s="1"/>
  <c r="G39" i="49" s="1"/>
  <c r="D82" i="56"/>
  <c r="D51" i="56" s="1"/>
  <c r="D59" i="56" s="1"/>
  <c r="G79" i="55"/>
  <c r="G49" i="55" s="1"/>
  <c r="G57" i="55" s="1"/>
  <c r="E85" i="93"/>
  <c r="D84" i="93" s="1"/>
  <c r="D31" i="93" s="1"/>
  <c r="E80" i="52"/>
  <c r="E38" i="52" s="1"/>
  <c r="F86" i="93"/>
  <c r="F68" i="56"/>
  <c r="F25" i="56"/>
  <c r="F48" i="56"/>
  <c r="F56" i="56" s="1"/>
  <c r="G80" i="55"/>
  <c r="G50" i="55" s="1"/>
  <c r="G58" i="55" s="1"/>
  <c r="G88" i="55"/>
  <c r="G78" i="55" s="1"/>
  <c r="G48" i="55" s="1"/>
  <c r="G56" i="55" s="1"/>
  <c r="G88" i="54"/>
  <c r="G78" i="54" s="1"/>
  <c r="G48" i="54" s="1"/>
  <c r="G56" i="54" s="1"/>
  <c r="G78" i="53"/>
  <c r="G48" i="53" s="1"/>
  <c r="G56" i="53" s="1"/>
  <c r="G81" i="55"/>
  <c r="G51" i="55" s="1"/>
  <c r="G59" i="55" s="1"/>
  <c r="F81" i="55"/>
  <c r="F51" i="55" s="1"/>
  <c r="F59" i="55" s="1"/>
  <c r="D68" i="56"/>
  <c r="D25" i="56"/>
  <c r="F73" i="50"/>
  <c r="F28" i="50" s="1"/>
  <c r="F23" i="50"/>
  <c r="F24" i="50" s="1"/>
  <c r="F74" i="50"/>
  <c r="F41" i="50" s="1"/>
  <c r="F39" i="50" s="1"/>
  <c r="D83" i="56"/>
  <c r="D52" i="56" s="1"/>
  <c r="D60" i="56" s="1"/>
  <c r="D81" i="56"/>
  <c r="D50" i="56" s="1"/>
  <c r="D58" i="56" s="1"/>
  <c r="F81" i="56"/>
  <c r="F50" i="56" s="1"/>
  <c r="F58" i="56" s="1"/>
  <c r="D79" i="55" l="1"/>
  <c r="D49" i="55" s="1"/>
  <c r="D57" i="55" s="1"/>
  <c r="D82" i="55"/>
  <c r="D52" i="55" s="1"/>
  <c r="D60" i="55" s="1"/>
  <c r="D81" i="55"/>
  <c r="D51" i="55" s="1"/>
  <c r="D59" i="55" s="1"/>
  <c r="E82" i="55"/>
  <c r="E52" i="55" s="1"/>
  <c r="E60" i="55" s="1"/>
  <c r="E25" i="55"/>
  <c r="E78" i="55"/>
  <c r="E48" i="55" s="1"/>
  <c r="E56" i="55" s="1"/>
  <c r="E80" i="55"/>
  <c r="E50" i="55" s="1"/>
  <c r="E58" i="55" s="1"/>
  <c r="E23" i="51"/>
  <c r="E24" i="51" s="1"/>
  <c r="E73" i="51"/>
  <c r="E28" i="51" s="1"/>
  <c r="E74" i="51"/>
  <c r="E41" i="51" s="1"/>
  <c r="E39" i="51" s="1"/>
  <c r="F74" i="51"/>
  <c r="F41" i="51" s="1"/>
  <c r="F39" i="51" s="1"/>
  <c r="F73" i="51"/>
  <c r="F28" i="51" s="1"/>
  <c r="F23" i="51"/>
  <c r="F24" i="51" s="1"/>
  <c r="F82" i="54"/>
  <c r="F52" i="54" s="1"/>
  <c r="F60" i="54" s="1"/>
  <c r="F80" i="54"/>
  <c r="F50" i="54" s="1"/>
  <c r="F58" i="54" s="1"/>
  <c r="D80" i="55"/>
  <c r="D50" i="55" s="1"/>
  <c r="D58" i="55" s="1"/>
  <c r="F79" i="54"/>
  <c r="F49" i="54" s="1"/>
  <c r="F57" i="54" s="1"/>
  <c r="D78" i="55"/>
  <c r="D48" i="55" s="1"/>
  <c r="D56" i="55" s="1"/>
  <c r="F90" i="93"/>
  <c r="F84" i="93"/>
  <c r="F31" i="93" s="1"/>
  <c r="Q8" i="94" s="1"/>
  <c r="Q29" i="94" s="1"/>
  <c r="E84" i="93"/>
  <c r="E31" i="93" s="1"/>
  <c r="Q28" i="94" s="1"/>
  <c r="G74" i="51"/>
  <c r="G41" i="51" s="1"/>
  <c r="G39" i="51" s="1"/>
  <c r="G23" i="51"/>
  <c r="G24" i="51" s="1"/>
  <c r="G73" i="51"/>
  <c r="G28" i="51" s="1"/>
  <c r="G23" i="50"/>
  <c r="G24" i="50" s="1"/>
  <c r="G74" i="50"/>
  <c r="G41" i="50" s="1"/>
  <c r="G39" i="50" s="1"/>
  <c r="G73" i="50"/>
  <c r="G28"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N3" authorId="0" shapeId="0" xr:uid="{89042D41-C49C-4375-ACD8-31646EF4DB1B}">
      <text>
        <r>
          <rPr>
            <b/>
            <sz val="9"/>
            <color indexed="81"/>
            <rFont val="Tahoma"/>
            <family val="2"/>
          </rPr>
          <t>Author:</t>
        </r>
        <r>
          <rPr>
            <sz val="9"/>
            <color indexed="81"/>
            <rFont val="Tahoma"/>
            <family val="2"/>
          </rPr>
          <t xml:space="preserve">
originally , it was 10 here. It seems very low,. Taljegård mfl suggest 35 as for railways. I put 20 for now.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03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L3" authorId="0" shapeId="0" xr:uid="{00000000-0006-0000-0300-000002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M3" authorId="0" shapeId="0" xr:uid="{00000000-0006-0000-0300-000003000000}">
      <text>
        <r>
          <rPr>
            <b/>
            <sz val="9"/>
            <color indexed="81"/>
            <rFont val="Tahoma"/>
            <family val="2"/>
          </rPr>
          <t>Author:</t>
        </r>
        <r>
          <rPr>
            <sz val="9"/>
            <color indexed="81"/>
            <rFont val="Tahoma"/>
            <family val="2"/>
          </rPr>
          <t xml:space="preserve">
This states the demand of electricity for Eroad trucks delivering to far from the Eroad and thus need recharging through plug-in</t>
        </r>
      </text>
    </comment>
    <comment ref="K40" authorId="0" shapeId="0" xr:uid="{A32C0AC7-43FF-4367-AA8A-EDF4DD89B2F1}">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L40" authorId="0" shapeId="0" xr:uid="{0772C4D7-44DB-4601-A267-163882FE2F64}">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7" authorId="0" shapeId="0" xr:uid="{904DACAF-FCE7-480F-BB08-2B4BAAC60B16}">
      <text>
        <r>
          <rPr>
            <b/>
            <sz val="9"/>
            <color indexed="81"/>
            <rFont val="Tahoma"/>
            <family val="2"/>
          </rPr>
          <t>Author:</t>
        </r>
        <r>
          <rPr>
            <sz val="9"/>
            <color indexed="81"/>
            <rFont val="Tahoma"/>
            <family val="2"/>
          </rPr>
          <t xml:space="preserve">
i dont think road length shoudl be doubled for both ways. I think investment cost already reflects both ways . 
I do not use this.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0E00-000001000000}">
      <text>
        <r>
          <rPr>
            <b/>
            <sz val="8"/>
            <color indexed="81"/>
            <rFont val="Tahoma"/>
            <family val="2"/>
          </rPr>
          <t>Author:</t>
        </r>
        <r>
          <rPr>
            <sz val="8"/>
            <color indexed="81"/>
            <rFont val="Tahoma"/>
            <family val="2"/>
          </rPr>
          <t xml:space="preserve">
 0,36 for engines &gt; 85 kW</t>
        </r>
      </text>
    </comment>
    <comment ref="G99" authorId="0" shapeId="0" xr:uid="{00000000-0006-0000-0E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sharedStrings.xml><?xml version="1.0" encoding="utf-8"?>
<sst xmlns="http://schemas.openxmlformats.org/spreadsheetml/2006/main" count="2329" uniqueCount="514">
  <si>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</si>
  <si>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</si>
  <si>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</si>
  <si>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</si>
  <si>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</si>
  <si>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</si>
  <si>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</si>
  <si>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</si>
  <si>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</si>
  <si>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</si>
  <si>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</si>
  <si>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</si>
  <si>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</si>
  <si>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</si>
  <si>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</si>
  <si>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</si>
  <si>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</si>
  <si>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</si>
  <si>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</si>
  <si>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</si>
  <si>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</si>
  <si>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</si>
  <si>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</si>
  <si>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</si>
  <si>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</si>
  <si>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</si>
  <si>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</si>
  <si>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</si>
  <si>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</si>
  <si>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</si>
  <si>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</si>
  <si>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</si>
  <si>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</si>
  <si>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</si>
  <si>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</si>
  <si>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DKK/km</t>
  </si>
  <si>
    <t>NOx</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</si>
  <si>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</si>
  <si>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</si>
  <si>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</si>
  <si>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</si>
  <si>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</si>
  <si>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</si>
  <si>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</si>
  <si>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</si>
  <si>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</si>
  <si>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</si>
  <si>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</si>
  <si>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</si>
  <si>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</si>
  <si>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</si>
  <si>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</si>
  <si>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</si>
  <si>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</si>
  <si>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</si>
  <si>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</si>
  <si>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kvehicles</t>
  </si>
  <si>
    <t>Mkr/(kvehicle*km)</t>
  </si>
  <si>
    <t>Conversion factors</t>
  </si>
  <si>
    <t>kr/vehicle =</t>
  </si>
  <si>
    <t>Mt-km</t>
  </si>
  <si>
    <t>Relative eff (see also the TRANS)</t>
  </si>
  <si>
    <t>EFF</t>
  </si>
  <si>
    <t>Share-O~LO~0</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</si>
  <si>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</si>
  <si>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</si>
  <si>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</si>
  <si>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</si>
  <si>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</si>
  <si>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</si>
  <si>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</si>
  <si>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</si>
  <si>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</si>
  <si>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</si>
  <si>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</si>
  <si>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</si>
  <si>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</si>
  <si>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</si>
  <si>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</si>
  <si>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</si>
  <si>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</si>
  <si>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</si>
  <si>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</si>
  <si>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</si>
  <si>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</si>
  <si>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</si>
  <si>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</si>
  <si>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</si>
  <si>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</si>
  <si>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</si>
  <si>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</si>
  <si>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</si>
  <si>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</si>
  <si>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</si>
  <si>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</si>
  <si>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</si>
  <si>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</si>
  <si>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</si>
  <si>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</si>
  <si>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</si>
  <si>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</si>
  <si>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</si>
  <si>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</si>
  <si>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</si>
  <si>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</si>
  <si>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</si>
  <si>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</si>
  <si>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</si>
  <si>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</si>
  <si>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</si>
  <si>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</si>
  <si>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</si>
  <si>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</si>
  <si>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</si>
  <si>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</si>
  <si>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</si>
  <si>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</si>
  <si>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</si>
  <si>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</si>
  <si>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</si>
  <si>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</si>
  <si>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</si>
  <si>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</si>
  <si>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</si>
  <si>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MJ/km</t>
  </si>
  <si>
    <t>Dæk, vask, vedligehold</t>
  </si>
  <si>
    <t>Brændstofforbrug</t>
  </si>
  <si>
    <t>km/l</t>
  </si>
  <si>
    <t>Motorvirkningsgrad</t>
  </si>
  <si>
    <t>Emissioner fra lastbiler</t>
  </si>
  <si>
    <t>g/GJ</t>
  </si>
  <si>
    <t>GJ mek/GJ CNG</t>
  </si>
  <si>
    <t>kg/GJ CNG</t>
  </si>
  <si>
    <t>Gap i motorvirkningsgrad til diesel</t>
  </si>
  <si>
    <t>km/m^3</t>
  </si>
  <si>
    <t>OBS! anden formel</t>
  </si>
  <si>
    <t>Aftalt mellem COWI og ENS, per energi leveret - IKKE per energi indfyret</t>
  </si>
  <si>
    <t>Scania P280 (distribution)</t>
  </si>
  <si>
    <t xml:space="preserve">          m `M=MMMMMMMMMMMMMMMMMMMMMMMMMMMM;;;;;;;;;;;;;;;;;;;;;;;;;;;;;;;;;;;;;;;?==============MomO;OaAMOå+;OAOOOOOOL</t>
  </si>
  <si>
    <t>g/kWh</t>
  </si>
  <si>
    <t>Currency year</t>
  </si>
  <si>
    <t>CURR</t>
  </si>
  <si>
    <t>Efficiency index</t>
  </si>
  <si>
    <t>Start year offset:</t>
  </si>
  <si>
    <t>END</t>
  </si>
  <si>
    <t>Last available year for installation</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</si>
  <si>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</si>
  <si>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</si>
  <si>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</si>
  <si>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</si>
  <si>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</si>
  <si>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</si>
  <si>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</si>
  <si>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</si>
  <si>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</si>
  <si>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</si>
  <si>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</si>
  <si>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</si>
  <si>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</si>
  <si>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</si>
  <si>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</si>
  <si>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</si>
  <si>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</si>
  <si>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</si>
  <si>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</si>
  <si>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</si>
  <si>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</si>
  <si>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</si>
  <si>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</si>
  <si>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</si>
  <si>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</si>
  <si>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</si>
  <si>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</si>
  <si>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</si>
  <si>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</si>
  <si>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</si>
  <si>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</si>
  <si>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</si>
  <si>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</si>
  <si>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</si>
  <si>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</si>
  <si>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</si>
  <si>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</si>
  <si>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</si>
  <si>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</si>
  <si>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</si>
  <si>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</si>
  <si>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</si>
  <si>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</si>
  <si>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</si>
  <si>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</si>
  <si>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</si>
  <si>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</si>
  <si>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</si>
  <si>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</si>
  <si>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</si>
  <si>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</si>
  <si>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</si>
  <si>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</si>
  <si>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</si>
  <si>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</si>
  <si>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</si>
  <si>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</si>
  <si>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</si>
  <si>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</si>
  <si>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</si>
  <si>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</si>
  <si>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</si>
  <si>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</si>
  <si>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</si>
  <si>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</si>
  <si>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</si>
  <si>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</si>
  <si>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</si>
  <si>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</si>
  <si>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</si>
  <si>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</si>
  <si>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</si>
  <si>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</si>
  <si>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15, Oplysninger per email fra Steffen Müller, produktionschef i Volvo Danmark, november 2011</t>
  </si>
  <si>
    <t>TFTRN</t>
  </si>
  <si>
    <t>TFTRI</t>
  </si>
  <si>
    <t>Date</t>
  </si>
  <si>
    <t>Name</t>
  </si>
  <si>
    <t>Sheet Name</t>
  </si>
  <si>
    <t>Cells</t>
  </si>
  <si>
    <t>Comments</t>
  </si>
  <si>
    <t>Fuel</t>
  </si>
  <si>
    <t>Unit</t>
  </si>
  <si>
    <t>TRAELCEV</t>
  </si>
  <si>
    <t xml:space="preserve">Reference of efficiency for busses, taken from the VT_DK_TRA </t>
  </si>
  <si>
    <t>Type</t>
  </si>
  <si>
    <t>Truck</t>
  </si>
  <si>
    <t>Van</t>
  </si>
  <si>
    <t>Gasoline</t>
  </si>
  <si>
    <t>https://data.bloomberglp.com/bnef/sites/14/2017/07/BNEF-Lithium-ion-battery-costs-and-market.pdf</t>
  </si>
  <si>
    <t>assumed vans must be able to drive 400 km per charge</t>
  </si>
  <si>
    <t>kWh/KM</t>
  </si>
  <si>
    <t>kWh capacity</t>
  </si>
  <si>
    <t>Electric truck is based on standard plus battery costs similar to 500 km drive</t>
  </si>
  <si>
    <t>Adjusted according to relation between diesel and EV vans</t>
  </si>
  <si>
    <t>Assumed trucks must be able to drive 500 km per charge, general rules is maximum 4 hour driving a truk before break, which allows for possibility of charging batteries</t>
  </si>
  <si>
    <t>Loss in efficiency due to increasing weight of batteries</t>
  </si>
  <si>
    <t>Simon Brøndum Andersen (COWI)</t>
  </si>
  <si>
    <t>EROAD_Infra</t>
  </si>
  <si>
    <t>All</t>
  </si>
  <si>
    <t>Adding the Eroad infrastructure</t>
  </si>
  <si>
    <t>EROAD_Trucks</t>
  </si>
  <si>
    <t>Adding the Eroad compatible with Eroad's</t>
  </si>
  <si>
    <t>Transport Freight Truck -Electric - EROAD - New</t>
  </si>
  <si>
    <t>Upper bound on input share</t>
  </si>
  <si>
    <t>This is w.o. pantograph</t>
  </si>
  <si>
    <t>Inv ratio (EV-ERS/EV)</t>
  </si>
  <si>
    <t>Costs are in 2015</t>
  </si>
  <si>
    <t>The cost of the pantograph (EUR)</t>
  </si>
  <si>
    <t>The cost of the pantograph (MDKK/vehicle)</t>
  </si>
  <si>
    <t>The cost of the pantograph (MDKK/kvehicle)</t>
  </si>
  <si>
    <t>Truck related costs</t>
  </si>
  <si>
    <t xml:space="preserve">Inflation </t>
  </si>
  <si>
    <t xml:space="preserve">Efficiency loss factor adjustment due to smaller battery </t>
  </si>
  <si>
    <t>http://www.theatrecrafts.com/archive/documents/3_2_3_pantograph.pdf</t>
  </si>
  <si>
    <t xml:space="preserve">Heaviest panthographs </t>
  </si>
  <si>
    <t>Average weight</t>
  </si>
  <si>
    <t>Assumed lowered size of batteries</t>
  </si>
  <si>
    <t>Battery pack (kWh)</t>
  </si>
  <si>
    <t>Assumed current size of batteries</t>
  </si>
  <si>
    <t>Chapter 2 Electric Vehicle Battery Technologies</t>
  </si>
  <si>
    <t>Kwo Young, Caisheng Wang, Le Yi Wang, and Kai Strunz</t>
  </si>
  <si>
    <t xml:space="preserve">Assuming same specific energy of batteries </t>
  </si>
  <si>
    <t>Ratios</t>
  </si>
  <si>
    <t>Thus the battery size is lowered and it can be argued that the factor should increase</t>
  </si>
  <si>
    <t>Total weight for electricity supply for normal EV trucks</t>
  </si>
  <si>
    <t>Total weight for electricity supply for Eroad EV trucks</t>
  </si>
  <si>
    <t>Ratio</t>
  </si>
  <si>
    <t>PRE</t>
  </si>
  <si>
    <t>Eroad infrastructure</t>
  </si>
  <si>
    <t>ELCEROAD</t>
  </si>
  <si>
    <t xml:space="preserve">Output/Input </t>
  </si>
  <si>
    <t>PJ</t>
  </si>
  <si>
    <t>km</t>
  </si>
  <si>
    <t>DAYNITE</t>
  </si>
  <si>
    <t>MEUR/km on way</t>
  </si>
  <si>
    <t>Economical information - Eroad</t>
  </si>
  <si>
    <t>Investment costs</t>
  </si>
  <si>
    <t>MDKK/km</t>
  </si>
  <si>
    <t>Investment costs - in MDKK16</t>
  </si>
  <si>
    <t>Mkr17</t>
  </si>
  <si>
    <t>Mkr/km</t>
  </si>
  <si>
    <t>Mkr/km/year</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</si>
  <si>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</si>
  <si>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</si>
  <si>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</si>
  <si>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</si>
  <si>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</si>
  <si>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</si>
  <si>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</si>
  <si>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</si>
  <si>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</si>
  <si>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</si>
  <si>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</si>
  <si>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</si>
  <si>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</si>
  <si>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</si>
  <si>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</si>
  <si>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</si>
  <si>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Electricity - Eroad</t>
  </si>
  <si>
    <t>ELC</t>
  </si>
  <si>
    <t>CAP2ACT</t>
  </si>
  <si>
    <t>PJ/km</t>
  </si>
  <si>
    <t>CAP2ACT factor</t>
  </si>
  <si>
    <t>vehicles on traffic per day on highway</t>
  </si>
  <si>
    <t>vehicles on traffic per day on highway one lane</t>
  </si>
  <si>
    <t>Divided on an hour (Assuming uniformly distributed)</t>
  </si>
  <si>
    <t>Assuming this for a whole year</t>
  </si>
  <si>
    <t>vehicle km</t>
  </si>
  <si>
    <t>Million vehicle km</t>
  </si>
  <si>
    <t>Ratio of maximal number of trucks assumed on highways</t>
  </si>
  <si>
    <t>Scania P280 (distribution) - electrical truck - taken from SubRes transport</t>
  </si>
  <si>
    <t>PJ/vehicle-km</t>
  </si>
  <si>
    <t>PJ/Mvehicle-km</t>
  </si>
  <si>
    <t>AFA~2020</t>
  </si>
  <si>
    <t>AFA~2030</t>
  </si>
  <si>
    <t>AFA~2050</t>
  </si>
  <si>
    <t>Max km converted/year</t>
  </si>
  <si>
    <t>Share-I~FX</t>
  </si>
  <si>
    <t>TIMES-Nordic</t>
  </si>
  <si>
    <t>SWEDEN</t>
  </si>
  <si>
    <t>TFTRS</t>
  </si>
  <si>
    <t>NORWAY</t>
  </si>
  <si>
    <t>Sweden</t>
  </si>
  <si>
    <t>Norway</t>
  </si>
  <si>
    <t>Denmark</t>
  </si>
  <si>
    <t>DENMARK</t>
  </si>
  <si>
    <t>ACT_FLO (Load (tonnes per vehicle) - Assumed</t>
  </si>
  <si>
    <t>SE1</t>
  </si>
  <si>
    <t>SE2</t>
  </si>
  <si>
    <t>SE3</t>
  </si>
  <si>
    <t>SE4</t>
  </si>
  <si>
    <t>NO1</t>
  </si>
  <si>
    <t>NO₂</t>
  </si>
  <si>
    <t>DK1</t>
  </si>
  <si>
    <t>DK2</t>
  </si>
  <si>
    <t>Average</t>
  </si>
  <si>
    <t>Eroad potential in (Only european roads are covered in Norway and Sweden)</t>
  </si>
  <si>
    <t xml:space="preserve">https://ieeexplore.ieee.org/stamp/stamp.jsp?arnumber=8080779 </t>
  </si>
  <si>
    <t>PARAMTERS USED FOR FORMULATION OF PLUG-IN HYBRID TRUCKS (DIESEL)</t>
  </si>
  <si>
    <t>Electricity</t>
  </si>
  <si>
    <t>Of gasoline</t>
  </si>
  <si>
    <t>Of diesel</t>
  </si>
  <si>
    <t xml:space="preserve">Car gasoline </t>
  </si>
  <si>
    <t>Efficiency</t>
  </si>
  <si>
    <t>Car diesel</t>
  </si>
  <si>
    <t>years</t>
  </si>
  <si>
    <t>Of Gasoline</t>
  </si>
  <si>
    <t>Car gasoline hybrid</t>
  </si>
  <si>
    <t>TAKEN FROM SUBRES_TRA Truck sheet</t>
  </si>
  <si>
    <t>Ratio (Hybrid/GSL)</t>
  </si>
  <si>
    <t>Ratio (DSL/GSL)</t>
  </si>
  <si>
    <t>Ratio (Hybrid/DSL)</t>
  </si>
  <si>
    <t>ton/vehicle</t>
  </si>
  <si>
    <t>AVERAGE</t>
  </si>
  <si>
    <t>Share of input</t>
  </si>
  <si>
    <t>The same is assumed for dieseel as for gasoline cars/trucks</t>
  </si>
  <si>
    <t>Total</t>
  </si>
  <si>
    <t>MKr13</t>
  </si>
  <si>
    <t>CEFF-I</t>
  </si>
  <si>
    <t>Mton*km/PJ</t>
  </si>
  <si>
    <t>TRADSBL4</t>
  </si>
  <si>
    <t>TRADSBL3</t>
  </si>
  <si>
    <t>Transport Freight Truck - Hybrid Electric Vehicle Diesel 3  - EROAD- New</t>
  </si>
  <si>
    <t>Transport Freight Truck - Hybrid Electric Vehicle Diesel 4 - EROAD - New</t>
  </si>
  <si>
    <t>TFTREVX1HDSBL4N-ERS</t>
  </si>
  <si>
    <t>TFTREVX1HDSBL3N-ERS</t>
  </si>
  <si>
    <t>Share-I~FX~0</t>
  </si>
  <si>
    <t xml:space="preserve">Based on meeting with Raffaele and Martin </t>
  </si>
  <si>
    <t>Simon Brøndum Andersen, SIAR@COWI.dk</t>
  </si>
  <si>
    <t>Road traffic volume [Mvkm/yr] - European roads only]</t>
  </si>
  <si>
    <t>https://www.dst.dk/en/Statistik/emner/erhvervslivets-sektorer/transport/godstransport-med-lastbil</t>
  </si>
  <si>
    <t>Total travelled km (mio. km)</t>
  </si>
  <si>
    <t>ALL TYPES OF TRANSPORT</t>
  </si>
  <si>
    <t>National transport</t>
  </si>
  <si>
    <t>For hire or reward</t>
  </si>
  <si>
    <t>For own account</t>
  </si>
  <si>
    <t>International transport, total</t>
  </si>
  <si>
    <t>To Denmark from abroad</t>
  </si>
  <si>
    <t>From Denmark to abroad</t>
  </si>
  <si>
    <t>Other international transport</t>
  </si>
  <si>
    <t>2017Q4</t>
  </si>
  <si>
    <t>2018Q1</t>
  </si>
  <si>
    <t>2018Q2</t>
  </si>
  <si>
    <t>2018Q3</t>
  </si>
  <si>
    <t>2018Q4</t>
  </si>
  <si>
    <t>&lt;--- This covers both national and european roads</t>
  </si>
  <si>
    <t>Energy consumption [PJ]</t>
  </si>
  <si>
    <t>CAP2ACT [PJ/km]</t>
  </si>
  <si>
    <t>Weighted CAP2ACT [PJ/km]</t>
  </si>
  <si>
    <t>EROAD1</t>
  </si>
  <si>
    <t>EROAD2</t>
  </si>
  <si>
    <t>EROAD3</t>
  </si>
  <si>
    <t>EROAD4</t>
  </si>
  <si>
    <t>EROAD5</t>
  </si>
  <si>
    <t>EROAD6</t>
  </si>
  <si>
    <t>EROAD7</t>
  </si>
  <si>
    <t>[km]</t>
  </si>
  <si>
    <t>NO</t>
  </si>
  <si>
    <t>SE</t>
  </si>
  <si>
    <t>DK</t>
  </si>
  <si>
    <t>European roads</t>
  </si>
  <si>
    <t>National roads</t>
  </si>
  <si>
    <t>E + N</t>
  </si>
  <si>
    <t>All roads</t>
  </si>
  <si>
    <t>road length (km)</t>
  </si>
  <si>
    <t>Multiplied with 2 (both ways)</t>
  </si>
  <si>
    <t>share</t>
  </si>
  <si>
    <t xml:space="preserve">share </t>
  </si>
  <si>
    <t>vkm</t>
  </si>
  <si>
    <t>road length (N + E)</t>
  </si>
  <si>
    <t>0-0.1</t>
  </si>
  <si>
    <t>0.1-0.2</t>
  </si>
  <si>
    <t>0.2-0.3</t>
  </si>
  <si>
    <t>0.3-0.4</t>
  </si>
  <si>
    <t>0.4-0.5</t>
  </si>
  <si>
    <t>0.5-0.6</t>
  </si>
  <si>
    <t>0.6-0.65</t>
  </si>
  <si>
    <t>cm</t>
  </si>
  <si>
    <t>Share vkm</t>
  </si>
  <si>
    <t>share road lenght</t>
  </si>
  <si>
    <t>Assumed representative electricity use for truck</t>
  </si>
  <si>
    <t>Share of vkm (heavy vehicles)</t>
  </si>
  <si>
    <t>Potential E-road infrastructure in km (road lenght multiplied by 2, due to both ways)</t>
  </si>
  <si>
    <t>Share of total vkm (heavy vehicles)</t>
  </si>
  <si>
    <t>Share of total road length</t>
  </si>
  <si>
    <t>*Description</t>
  </si>
  <si>
    <t>DEMAND~SE1</t>
  </si>
  <si>
    <t>DEMAND~SE2</t>
  </si>
  <si>
    <t>DEMAND~SE3</t>
  </si>
  <si>
    <t>DEMAND~SE4</t>
  </si>
  <si>
    <t>Transport Freight Truck Short Distance (&lt;50 km)</t>
  </si>
  <si>
    <t>Transport Freight Truck Long Distance National (&gt;50 km)</t>
  </si>
  <si>
    <t>Transport Freight Truck Long Distance International (&gt;50 km)</t>
  </si>
  <si>
    <t>DEMAND~NO1</t>
  </si>
  <si>
    <t>DEMAND~NO2</t>
  </si>
  <si>
    <t>DEMAND~DKE</t>
  </si>
  <si>
    <t>DEMAND~DKW</t>
  </si>
  <si>
    <t>Road traffic volume</t>
  </si>
  <si>
    <t>Truck Mt-km in model base year total</t>
  </si>
  <si>
    <t>Truck Mt-km in model base year total per road segment</t>
  </si>
  <si>
    <t>Per road segment</t>
  </si>
  <si>
    <t>ACT_FLO (Load (tonnes per vehicle) - from VT files</t>
  </si>
  <si>
    <t>DKW</t>
  </si>
  <si>
    <t>DKE</t>
  </si>
  <si>
    <t>Truck Mv-km in model base year total per road segment</t>
  </si>
  <si>
    <t>PJ/Mvkm</t>
  </si>
  <si>
    <t>MJ/vkm</t>
  </si>
  <si>
    <t>CAP2ACT (PJ electricity per km e-road)</t>
  </si>
  <si>
    <t>country average</t>
  </si>
  <si>
    <t>road segmnent average</t>
  </si>
  <si>
    <t>Updated version by Martin Hagberg 2019-06-03</t>
  </si>
  <si>
    <t>https://www.tandfonline.com/doi/full/10.1080/15568318.2019.1595227</t>
  </si>
  <si>
    <t>From TIMES-DK, December 2018 Klimaaftalen branch</t>
  </si>
  <si>
    <t>Based on assumption that Tesla truck consumes 2 kWh/mile (1000 kwh to 500 miles range) and a 0.7 reality factor as for cars</t>
  </si>
  <si>
    <t>Based on Tesla EV truck with 800 km range or approx. 500 km real life range, assumed battery pack price of 120 in 2020 and decreasing according to studies to 75 US dollars in 2030</t>
  </si>
  <si>
    <r>
      <t xml:space="preserve">Investment </t>
    </r>
    <r>
      <rPr>
        <b/>
        <sz val="10"/>
        <rFont val="Arial"/>
        <family val="2"/>
      </rPr>
      <t>MIN</t>
    </r>
  </si>
  <si>
    <r>
      <t xml:space="preserve">Investment </t>
    </r>
    <r>
      <rPr>
        <b/>
        <sz val="10"/>
        <rFont val="Arial"/>
        <family val="2"/>
      </rPr>
      <t>MAX</t>
    </r>
  </si>
  <si>
    <r>
      <t xml:space="preserve">Investment </t>
    </r>
    <r>
      <rPr>
        <b/>
        <sz val="10"/>
        <rFont val="Arial"/>
        <family val="2"/>
      </rPr>
      <t>AVR</t>
    </r>
  </si>
  <si>
    <t>Økonomi data of ICE Truck</t>
  </si>
  <si>
    <t>Battery cost (IEA)</t>
  </si>
  <si>
    <t>Min</t>
  </si>
  <si>
    <t>Max</t>
  </si>
  <si>
    <t>Avg</t>
  </si>
  <si>
    <t>TIMES-DK, December 2018</t>
  </si>
  <si>
    <t>IEA</t>
  </si>
  <si>
    <t>SHARE-I</t>
  </si>
  <si>
    <t>Share-I~0</t>
  </si>
  <si>
    <t>Share-O~UP~0</t>
  </si>
  <si>
    <t>Transport Freight Truck - Diesel Engine - Blending 2 - New</t>
  </si>
  <si>
    <t>TRADSBL2</t>
  </si>
  <si>
    <t>Transport Freight Truck - Diesel Engine - Blending 3 - New</t>
  </si>
  <si>
    <t>Transport Freight Truck - Diesel Engine - Blending 4 - New</t>
  </si>
  <si>
    <t>COPIED FROM SUBRES</t>
  </si>
  <si>
    <t>MH: what reference is used???</t>
  </si>
  <si>
    <t>MH: Assumptions seems to be more or less consistent with this source</t>
  </si>
  <si>
    <t>Taljegård mfl (see full reference below)</t>
  </si>
  <si>
    <t>CAP2ACT PARAMETER HAS BEEN MOVED TO "Scen__MERGED_EROAD_Assumpt.xls"</t>
  </si>
  <si>
    <t>cap2act parameter has been moved to scebario file</t>
  </si>
  <si>
    <t>Martin Hagberg</t>
  </si>
  <si>
    <t>Several  updates</t>
  </si>
  <si>
    <t>Efficiency and input shares for plug in hybrid trucks (updated by Martin Hagberg 2019- 09-20)</t>
  </si>
  <si>
    <t>diesel</t>
  </si>
  <si>
    <t>input share</t>
  </si>
  <si>
    <t>electricity</t>
  </si>
  <si>
    <t>Transport Freight Truck -Electric - New</t>
  </si>
  <si>
    <t>TFTREVX1HDSBL3N</t>
  </si>
  <si>
    <t>Transport Freight Truck - Hybrid Electric Vehicle Diesel 3 - New</t>
  </si>
  <si>
    <t>TFTREVX1HDSBL4N</t>
  </si>
  <si>
    <t>Transport Freight Truck - Hybrid Electric Vehicle Diesel 4 - New</t>
  </si>
  <si>
    <t>TFTREVX1N</t>
  </si>
  <si>
    <t>tkm</t>
  </si>
  <si>
    <t>Efficiencies</t>
  </si>
  <si>
    <t>diesel ref</t>
  </si>
  <si>
    <t>electric</t>
  </si>
  <si>
    <t>tkm covered by ELCROAD (output share)</t>
  </si>
  <si>
    <t>tkm covered by hybrid driving  (output share)</t>
  </si>
  <si>
    <t>electricity E-road</t>
  </si>
  <si>
    <t>tkm covered by ELC</t>
  </si>
  <si>
    <t>tkm covered by diesel</t>
  </si>
  <si>
    <t>HYBRID DRIVING</t>
  </si>
  <si>
    <t>Hybrid EFF</t>
  </si>
  <si>
    <t>hybrid elc/diesel</t>
  </si>
  <si>
    <t xml:space="preserve">electricity </t>
  </si>
  <si>
    <t>ELC Road driving</t>
  </si>
  <si>
    <t>TRADSBL</t>
  </si>
  <si>
    <t>Assumption</t>
  </si>
  <si>
    <t>output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</si>
</sst>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0.00\ _k_r_-;\-* #,##0.00\ _k_r_-;_-* &quot;-&quot;??\ _k_r_-;_-@_-"/>
    <numFmt numFmtId="164" formatCode="_-* #,##0_-;\-* #,##0_-;_-* &quot;-&quot;_-;_-@_-"/>
    <numFmt numFmtId="165" formatCode="_-* #,##0.00_-;\-* #,##0.00_-;_-* &quot;-&quot;??_-;_-@_-"/>
    <numFmt numFmtId="166" formatCode="_ * #,##0_ ;_ * \-#,##0_ ;_ * &quot;-&quot;_ ;_ @_ "/>
    <numFmt numFmtId="167" formatCode="_ * #,##0.00_ ;_ * \-#,##0.00_ ;_ * &quot;-&quot;??_ ;_ @_ "/>
    <numFmt numFmtId="168" formatCode="0.000"/>
    <numFmt numFmtId="169" formatCode="0.0"/>
    <numFmt numFmtId="170" formatCode="0.00000"/>
    <numFmt numFmtId="171" formatCode="_-[$€-2]\ * #,##0.00_-;\-[$€-2]\ * #,##0.00_-;_-[$€-2]\ * &quot;-&quot;??_-"/>
    <numFmt numFmtId="172" formatCode="_-&quot;€&quot;\ * #,##0.00_-;\-&quot;€&quot;\ * #,##0.00_-;_-&quot;€&quot;\ * &quot;-&quot;??_-;_-@_-"/>
    <numFmt numFmtId="173" formatCode="_([$€]* #,##0.00_);_([$€]* \(#,##0.00\);_([$€]* &quot;-&quot;??_);_(@_)"/>
    <numFmt numFmtId="174" formatCode="#,##0;\-\ #,##0;_-\ &quot;- &quot;"/>
    <numFmt numFmtId="175" formatCode="#,##0.0000"/>
    <numFmt numFmtId="176" formatCode="#,##0.000"/>
    <numFmt numFmtId="177" formatCode="#,##0.00000"/>
    <numFmt numFmtId="178" formatCode="_(* #,##0.0000_);_(* \(#,##0.0000\);_(* &quot;-&quot;??_);_(@_)"/>
    <numFmt numFmtId="179" formatCode="0_ ;\-0\ "/>
    <numFmt numFmtId="180" formatCode="0.00_ ;\-0.00\ "/>
    <numFmt numFmtId="181" formatCode="_-[$€-2]* #,##0.00_-;\-[$€-2]* #,##0.00_-;_-[$€-2]* &quot;-&quot;??_-"/>
    <numFmt numFmtId="182" formatCode="\Te\x\t"/>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00\ _€_-;\-* #,##0.00\ _€_-;_-* &quot;-&quot;??\ _€_-;_-@_-"/>
    <numFmt numFmtId="199" formatCode="#,##0.00\ &quot;F&quot;;[Red]\-#,##0.00\ &quot;F&quot;"/>
    <numFmt numFmtId="200" formatCode="#,##0.0_)"/>
    <numFmt numFmtId="201" formatCode="0.0;\-0.0"/>
    <numFmt numFmtId="202" formatCode="\$#,##0\ ;\(\$#,##0\)"/>
    <numFmt numFmtId="203" formatCode="#.##"/>
    <numFmt numFmtId="204" formatCode="0.0000000"/>
    <numFmt numFmtId="205" formatCode="0.0000E+00"/>
  </numFmts>
  <fonts count="184">
    <font>
      <sz val="10"/>
      <name val="Arial"/>
    </font>
    <font>
      <sz val="11"/>
      <color theme="1"/>
      <name val="Calibri"/>
      <family val="2"/>
      <scheme val="minor"/>
    </font>
    <font>
      <sz val="9"/>
      <color theme="1"/>
      <name val="Verdana"/>
      <family val="2"/>
    </font>
    <font>
      <sz val="9"/>
      <color theme="1"/>
      <name val="Verdana"/>
      <family val="2"/>
    </font>
    <font>
      <sz val="9"/>
      <color theme="1"/>
      <name val="Verdan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10"/>
      <color rgb="FF0000FF"/>
      <name val="Arial"/>
      <family val="2"/>
    </font>
    <font>
      <sz val="10"/>
      <color rgb="FF00B050"/>
      <name val="Arial"/>
      <family val="2"/>
    </font>
    <font>
      <sz val="10"/>
      <color theme="1"/>
      <name val="Arial"/>
      <family val="2"/>
    </font>
    <font>
      <i/>
      <sz val="10"/>
      <color theme="1"/>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u/>
      <sz val="10"/>
      <color theme="10"/>
      <name val="Arial"/>
      <family val="2"/>
    </font>
    <font>
      <sz val="10"/>
      <name val="Arial"/>
      <family val="2"/>
    </font>
    <font>
      <sz val="9"/>
      <name val="Calibri"/>
      <family val="2"/>
      <scheme val="minor"/>
    </font>
    <font>
      <b/>
      <sz val="10"/>
      <color indexed="12"/>
      <name val="Calibri"/>
      <family val="2"/>
    </font>
    <font>
      <b/>
      <sz val="10"/>
      <name val="Calibri"/>
      <family val="2"/>
    </font>
    <font>
      <b/>
      <sz val="12"/>
      <color rgb="FF1D3234"/>
      <name val="Arial"/>
      <family val="2"/>
    </font>
    <font>
      <sz val="12"/>
      <color rgb="FF1D3234"/>
      <name val="Arial"/>
      <family val="2"/>
    </font>
    <font>
      <sz val="9"/>
      <color rgb="FFFF0000"/>
      <name val="Verdana"/>
      <family val="2"/>
    </font>
    <font>
      <b/>
      <sz val="9"/>
      <color theme="1"/>
      <name val="Verdana"/>
      <family val="2"/>
    </font>
    <font>
      <sz val="11"/>
      <name val="Calibri"/>
      <family val="2"/>
      <scheme val="minor"/>
    </font>
    <font>
      <sz val="9"/>
      <name val="Verdana"/>
      <family val="2"/>
    </font>
    <font>
      <b/>
      <sz val="15"/>
      <name val="Calibri"/>
      <family val="2"/>
    </font>
    <font>
      <sz val="10"/>
      <color rgb="FF000000"/>
      <name val="Arial"/>
      <family val="2"/>
    </font>
    <font>
      <sz val="10"/>
      <color rgb="FF008000"/>
      <name val="Arial"/>
      <family val="2"/>
    </font>
    <font>
      <sz val="10"/>
      <color rgb="FF008080"/>
      <name val="Calibri"/>
      <family val="2"/>
    </font>
    <font>
      <sz val="10"/>
      <color rgb="FF008080"/>
      <name val="Arial"/>
      <family val="2"/>
    </font>
    <font>
      <i/>
      <sz val="10"/>
      <color rgb="FFFF00FF"/>
      <name val="Arial"/>
      <family val="2"/>
    </font>
    <font>
      <sz val="10"/>
      <color rgb="FFFF0000"/>
      <name val="Arial"/>
      <family val="2"/>
    </font>
  </fonts>
  <fills count="94">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rgb="FFFFFFFF"/>
        <bgColor indexed="64"/>
      </patternFill>
    </fill>
    <fill>
      <patternFill patternType="solid">
        <fgColor rgb="FFF9FBFD"/>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FFFFFF"/>
        <bgColor rgb="FF000000"/>
      </patternFill>
    </fill>
    <fill>
      <patternFill patternType="solid">
        <fgColor rgb="FFFFFF00"/>
        <bgColor rgb="FF000000"/>
      </patternFill>
    </fill>
  </fills>
  <borders count="70">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rgb="FFEEF3FA"/>
      </top>
      <bottom style="medium">
        <color rgb="FFEEF3FA"/>
      </bottom>
      <diagonal/>
    </border>
    <border>
      <left/>
      <right style="thin">
        <color auto="1"/>
      </right>
      <top/>
      <bottom style="medium">
        <color auto="1"/>
      </bottom>
      <diagonal/>
    </border>
    <border>
      <left/>
      <right/>
      <top/>
      <bottom style="thin">
        <color auto="1"/>
      </bottom>
      <diagonal/>
    </border>
  </borders>
  <cellStyleXfs count="40426">
    <xf numFmtId="0" fontId="0" fillId="0" borderId="0"/>
    <xf numFmtId="181" fontId="15" fillId="0" borderId="0"/>
    <xf numFmtId="3" fontId="15" fillId="30" borderId="38"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5" fillId="0" borderId="0" applyNumberFormat="0" applyFont="0" applyFill="0" applyBorder="0" applyProtection="0">
      <alignment horizontal="left" vertical="center" indent="5"/>
    </xf>
    <xf numFmtId="49" fontId="42" fillId="0" borderId="2"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38" fillId="21" borderId="3">
      <alignment horizontal="right" vertical="center"/>
    </xf>
    <xf numFmtId="4" fontId="38" fillId="21" borderId="3">
      <alignment horizontal="right" vertical="center"/>
    </xf>
    <xf numFmtId="0" fontId="67" fillId="31" borderId="0" applyNumberFormat="0" applyBorder="0" applyAlignment="0" applyProtection="0"/>
    <xf numFmtId="4" fontId="44" fillId="0" borderId="4" applyFill="0" applyBorder="0" applyProtection="0">
      <alignment horizontal="right" vertical="center"/>
    </xf>
    <xf numFmtId="3" fontId="68" fillId="32" borderId="38" applyNumberFormat="0" applyBorder="0" applyAlignment="0" applyProtection="0"/>
    <xf numFmtId="0" fontId="19" fillId="22" borderId="1" applyNumberFormat="0" applyAlignment="0" applyProtection="0"/>
    <xf numFmtId="0" fontId="33" fillId="30" borderId="38" applyNumberFormat="0" applyBorder="0" applyAlignment="0" applyProtection="0"/>
    <xf numFmtId="0" fontId="27" fillId="0" borderId="5" applyNumberFormat="0" applyFill="0" applyAlignment="0" applyProtection="0"/>
    <xf numFmtId="0" fontId="20" fillId="23" borderId="6"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66" fillId="0" borderId="0" applyFont="0" applyFill="0" applyBorder="0" applyAlignment="0" applyProtection="0"/>
    <xf numFmtId="165" fontId="15" fillId="0" borderId="0" applyFont="0" applyFill="0" applyBorder="0" applyAlignment="0" applyProtection="0"/>
    <xf numFmtId="165" fontId="49" fillId="0" borderId="0" applyFont="0" applyFill="0" applyBorder="0" applyAlignment="0" applyProtection="0"/>
    <xf numFmtId="43" fontId="15" fillId="0" borderId="0" applyFont="0" applyFill="0" applyBorder="0" applyAlignment="0" applyProtection="0"/>
    <xf numFmtId="165" fontId="50" fillId="0" borderId="0" applyFont="0" applyFill="0" applyBorder="0" applyAlignment="0" applyProtection="0"/>
    <xf numFmtId="165" fontId="15" fillId="0" borderId="0" applyFont="0" applyFill="0" applyBorder="0" applyAlignment="0" applyProtection="0"/>
    <xf numFmtId="0" fontId="41" fillId="0" borderId="0"/>
    <xf numFmtId="0" fontId="42" fillId="0" borderId="7">
      <alignment horizontal="left" vertical="center" wrapText="1" indent="2"/>
    </xf>
    <xf numFmtId="171" fontId="4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3" fontId="15" fillId="0" borderId="0" applyFont="0" applyFill="0" applyBorder="0" applyAlignment="0" applyProtection="0"/>
    <xf numFmtId="171" fontId="15" fillId="0" borderId="0" applyFont="0" applyFill="0" applyBorder="0" applyAlignment="0" applyProtection="0"/>
    <xf numFmtId="171" fontId="40" fillId="0" borderId="0" applyFont="0" applyFill="0" applyBorder="0" applyAlignment="0" applyProtection="0"/>
    <xf numFmtId="171" fontId="39" fillId="0" borderId="0" applyFont="0" applyFill="0" applyBorder="0" applyAlignment="0" applyProtection="0"/>
    <xf numFmtId="0" fontId="15" fillId="0" borderId="0" applyFont="0" applyFill="0" applyBorder="0" applyAlignment="0" applyProtection="0"/>
    <xf numFmtId="171" fontId="48"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1" fontId="49" fillId="0" borderId="0" applyFont="0" applyFill="0" applyBorder="0" applyAlignment="0" applyProtection="0"/>
    <xf numFmtId="171"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172" fontId="40" fillId="0" borderId="0" applyFont="0" applyFill="0" applyBorder="0" applyAlignment="0" applyProtection="0"/>
    <xf numFmtId="172" fontId="15" fillId="0" borderId="0" applyFont="0" applyFill="0" applyBorder="0" applyAlignment="0" applyProtection="0"/>
    <xf numFmtId="172" fontId="40" fillId="0" borderId="0" applyFont="0" applyFill="0" applyBorder="0" applyAlignment="0" applyProtection="0"/>
    <xf numFmtId="172" fontId="39" fillId="0" borderId="0" applyFont="0" applyFill="0" applyBorder="0" applyAlignment="0" applyProtection="0"/>
    <xf numFmtId="172" fontId="48" fillId="0" borderId="0" applyFont="0" applyFill="0" applyBorder="0" applyAlignment="0" applyProtection="0"/>
    <xf numFmtId="172" fontId="49" fillId="0" borderId="0" applyFont="0" applyFill="0" applyBorder="0" applyAlignment="0" applyProtection="0"/>
    <xf numFmtId="172" fontId="50" fillId="0" borderId="0" applyFont="0" applyFill="0" applyBorder="0" applyAlignment="0" applyProtection="0"/>
    <xf numFmtId="0" fontId="41" fillId="0" borderId="0"/>
    <xf numFmtId="0" fontId="69" fillId="34" borderId="0" applyNumberFormat="0" applyAlignment="0" applyProtection="0"/>
    <xf numFmtId="0" fontId="54" fillId="0" borderId="0" applyNumberFormat="0" applyFill="0" applyBorder="0" applyAlignment="0" applyProtection="0"/>
    <xf numFmtId="181" fontId="47" fillId="0" borderId="0" applyNumberFormat="0" applyFill="0" applyBorder="0" applyAlignment="0" applyProtection="0">
      <alignment vertical="top"/>
      <protection locked="0"/>
    </xf>
    <xf numFmtId="179" fontId="70" fillId="35" borderId="0" applyNumberFormat="0" applyBorder="0" applyAlignment="0" applyProtection="0">
      <alignment horizontal="center" vertical="top" wrapText="1"/>
    </xf>
    <xf numFmtId="0" fontId="26" fillId="8" borderId="1" applyNumberFormat="0" applyAlignment="0" applyProtection="0"/>
    <xf numFmtId="4" fontId="42" fillId="0" borderId="0" applyBorder="0">
      <alignment horizontal="right" vertical="center"/>
    </xf>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165" fontId="40" fillId="0" borderId="0" applyFont="0" applyFill="0" applyBorder="0" applyAlignment="0" applyProtection="0"/>
    <xf numFmtId="165" fontId="15" fillId="0" borderId="0" applyFont="0" applyFill="0" applyBorder="0" applyAlignment="0" applyProtection="0"/>
    <xf numFmtId="165" fontId="40"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49" fillId="0" borderId="0" applyFont="0" applyFill="0" applyBorder="0" applyAlignment="0" applyProtection="0"/>
    <xf numFmtId="165" fontId="50" fillId="0" borderId="0" applyFont="0" applyFill="0" applyBorder="0" applyAlignment="0" applyProtection="0"/>
    <xf numFmtId="0" fontId="28" fillId="24" borderId="0" applyNumberFormat="0" applyBorder="0" applyAlignment="0" applyProtection="0"/>
    <xf numFmtId="0" fontId="15" fillId="0" borderId="0"/>
    <xf numFmtId="0" fontId="15" fillId="0" borderId="0"/>
    <xf numFmtId="0" fontId="41" fillId="0" borderId="0"/>
    <xf numFmtId="181" fontId="15" fillId="0" borderId="0"/>
    <xf numFmtId="181" fontId="15" fillId="0" borderId="0"/>
    <xf numFmtId="181" fontId="15" fillId="0" borderId="0"/>
    <xf numFmtId="179" fontId="15" fillId="0" borderId="0"/>
    <xf numFmtId="0" fontId="66" fillId="0" borderId="0"/>
    <xf numFmtId="0" fontId="66" fillId="0" borderId="0"/>
    <xf numFmtId="0" fontId="66" fillId="0" borderId="0"/>
    <xf numFmtId="0" fontId="46" fillId="0" borderId="0"/>
    <xf numFmtId="0" fontId="71" fillId="0" borderId="0"/>
    <xf numFmtId="0" fontId="66" fillId="0" borderId="0"/>
    <xf numFmtId="0" fontId="72" fillId="0" borderId="0"/>
    <xf numFmtId="183" fontId="51" fillId="0" borderId="0" applyNumberFormat="0" applyProtection="0">
      <alignment horizontal="center" vertical="center"/>
    </xf>
    <xf numFmtId="0" fontId="66" fillId="0" borderId="0"/>
    <xf numFmtId="0" fontId="53" fillId="0" borderId="0"/>
    <xf numFmtId="0" fontId="72" fillId="0" borderId="0"/>
    <xf numFmtId="0" fontId="56" fillId="0" borderId="0"/>
    <xf numFmtId="0" fontId="39" fillId="0" borderId="0"/>
    <xf numFmtId="0" fontId="46" fillId="0" borderId="0"/>
    <xf numFmtId="179" fontId="33" fillId="30" borderId="0" applyNumberFormat="0" applyBorder="0" applyAlignment="0"/>
    <xf numFmtId="4" fontId="42" fillId="0" borderId="3" applyFill="0" applyBorder="0" applyProtection="0">
      <alignment horizontal="right" vertical="center"/>
    </xf>
    <xf numFmtId="0" fontId="44" fillId="0" borderId="0" applyNumberFormat="0" applyFill="0" applyBorder="0" applyProtection="0">
      <alignment horizontal="left" vertical="center"/>
    </xf>
    <xf numFmtId="0" fontId="42" fillId="0" borderId="3" applyNumberFormat="0" applyFill="0" applyAlignment="0" applyProtection="0"/>
    <xf numFmtId="0" fontId="15" fillId="25" borderId="0" applyNumberFormat="0" applyFont="0" applyBorder="0" applyAlignment="0" applyProtection="0"/>
    <xf numFmtId="0" fontId="55" fillId="26" borderId="0" applyNumberFormat="0" applyFont="0" applyBorder="0" applyAlignment="0" applyProtection="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6" fillId="0" borderId="0"/>
    <xf numFmtId="0" fontId="16" fillId="0" borderId="0"/>
    <xf numFmtId="0" fontId="15" fillId="0" borderId="0"/>
    <xf numFmtId="0" fontId="15" fillId="0" borderId="0"/>
    <xf numFmtId="0" fontId="4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5" fillId="0" borderId="0"/>
    <xf numFmtId="0" fontId="15" fillId="0" borderId="0"/>
    <xf numFmtId="0" fontId="15" fillId="0" borderId="0"/>
    <xf numFmtId="0" fontId="43" fillId="0" borderId="0"/>
    <xf numFmtId="0" fontId="13" fillId="0" borderId="0"/>
    <xf numFmtId="0" fontId="40" fillId="27" borderId="11" applyNumberFormat="0" applyFont="0" applyAlignment="0" applyProtection="0"/>
    <xf numFmtId="0" fontId="15" fillId="27" borderId="11" applyNumberFormat="0" applyFont="0" applyAlignment="0" applyProtection="0"/>
    <xf numFmtId="0" fontId="40" fillId="27" borderId="11" applyNumberFormat="0" applyFont="0" applyAlignment="0" applyProtection="0"/>
    <xf numFmtId="0" fontId="39" fillId="27" borderId="11" applyNumberFormat="0" applyFont="0" applyAlignment="0" applyProtection="0"/>
    <xf numFmtId="0" fontId="48" fillId="27" borderId="11" applyNumberFormat="0" applyFont="0" applyAlignment="0" applyProtection="0"/>
    <xf numFmtId="0" fontId="49" fillId="27" borderId="11" applyNumberFormat="0" applyFont="0" applyAlignment="0" applyProtection="0"/>
    <xf numFmtId="0" fontId="50" fillId="27" borderId="11" applyNumberFormat="0" applyFont="0" applyAlignment="0" applyProtection="0"/>
    <xf numFmtId="174" fontId="4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15" fillId="0" borderId="0" applyFont="0" applyFill="0" applyBorder="0" applyAlignment="0" applyProtection="0"/>
    <xf numFmtId="174" fontId="40" fillId="0" borderId="0" applyFont="0" applyFill="0" applyBorder="0" applyAlignment="0" applyProtection="0"/>
    <xf numFmtId="174" fontId="39" fillId="0" borderId="0" applyFont="0" applyFill="0" applyBorder="0" applyAlignment="0" applyProtection="0"/>
    <xf numFmtId="174" fontId="48" fillId="0" borderId="0" applyFont="0" applyFill="0" applyBorder="0" applyAlignment="0" applyProtection="0"/>
    <xf numFmtId="174" fontId="49" fillId="0" borderId="0" applyFont="0" applyFill="0" applyBorder="0" applyAlignment="0" applyProtection="0"/>
    <xf numFmtId="174" fontId="50" fillId="0" borderId="0" applyFont="0" applyFill="0" applyBorder="0" applyAlignment="0" applyProtection="0"/>
    <xf numFmtId="0" fontId="29" fillId="22" borderId="12" applyNumberFormat="0" applyAlignment="0" applyProtection="0"/>
    <xf numFmtId="175" fontId="42" fillId="28" borderId="3" applyNumberFormat="0" applyFont="0" applyBorder="0" applyAlignment="0" applyProtection="0">
      <alignment horizontal="right" vertical="center"/>
    </xf>
    <xf numFmtId="0" fontId="41" fillId="0" borderId="0"/>
    <xf numFmtId="9" fontId="1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9" fontId="49" fillId="0" borderId="0" applyFont="0" applyFill="0" applyBorder="0" applyAlignment="0" applyProtection="0"/>
    <xf numFmtId="9" fontId="46"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15"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50" fillId="0" borderId="0" applyFont="0" applyFill="0" applyBorder="0" applyAlignment="0" applyProtection="0"/>
    <xf numFmtId="9" fontId="15" fillId="0" borderId="0" applyFont="0" applyFill="0" applyBorder="0" applyAlignment="0" applyProtection="0"/>
    <xf numFmtId="0" fontId="32" fillId="0" borderId="0" applyNumberFormat="0" applyFill="0" applyBorder="0" applyAlignment="0" applyProtection="0"/>
    <xf numFmtId="0" fontId="21" fillId="0" borderId="0" applyNumberFormat="0" applyFill="0" applyBorder="0" applyAlignment="0" applyProtection="0"/>
    <xf numFmtId="0" fontId="30" fillId="0" borderId="0" applyNumberFormat="0" applyFill="0" applyBorder="0" applyAlignment="0" applyProtection="0"/>
    <xf numFmtId="0" fontId="23" fillId="0" borderId="8" applyNumberFormat="0" applyFill="0" applyAlignment="0" applyProtection="0"/>
    <xf numFmtId="0" fontId="24" fillId="0" borderId="9" applyNumberFormat="0" applyFill="0" applyAlignment="0" applyProtection="0"/>
    <xf numFmtId="0" fontId="25" fillId="0" borderId="10" applyNumberFormat="0" applyFill="0" applyAlignment="0" applyProtection="0"/>
    <xf numFmtId="0" fontId="25" fillId="0" borderId="0" applyNumberFormat="0" applyFill="0" applyBorder="0" applyAlignment="0" applyProtection="0"/>
    <xf numFmtId="0" fontId="31" fillId="0" borderId="13" applyNumberFormat="0" applyFill="0" applyAlignment="0" applyProtection="0"/>
    <xf numFmtId="0" fontId="73" fillId="33" borderId="38" applyNumberFormat="0" applyFill="0" applyBorder="0" applyAlignment="0" applyProtection="0"/>
    <xf numFmtId="0" fontId="18" fillId="4" borderId="0" applyNumberFormat="0" applyBorder="0" applyAlignment="0" applyProtection="0"/>
    <xf numFmtId="0" fontId="22" fillId="5" borderId="0" applyNumberFormat="0" applyBorder="0" applyAlignment="0" applyProtection="0"/>
    <xf numFmtId="0" fontId="52" fillId="0" borderId="14">
      <alignment horizontal="center"/>
      <protection hidden="1"/>
    </xf>
    <xf numFmtId="0" fontId="65" fillId="33" borderId="38" applyFill="0" applyBorder="0" applyAlignment="0" applyProtection="0"/>
    <xf numFmtId="4" fontId="42" fillId="0" borderId="0"/>
    <xf numFmtId="0" fontId="69" fillId="34" borderId="0" applyNumberFormat="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5"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5" fillId="44" borderId="41" applyNumberFormat="0" applyFont="0" applyAlignment="0" applyProtection="0"/>
    <xf numFmtId="0" fontId="15"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15" fillId="44" borderId="41" applyNumberFormat="0" applyFont="0" applyAlignment="0" applyProtection="0"/>
    <xf numFmtId="0" fontId="12" fillId="44" borderId="41" applyNumberFormat="0" applyFont="0" applyAlignment="0" applyProtection="0"/>
    <xf numFmtId="0" fontId="12" fillId="44" borderId="41" applyNumberFormat="0" applyFont="0" applyAlignment="0" applyProtection="0"/>
    <xf numFmtId="0" fontId="81" fillId="0" borderId="0"/>
    <xf numFmtId="0" fontId="82" fillId="0" borderId="0">
      <alignment horizontal="right"/>
    </xf>
    <xf numFmtId="0" fontId="83" fillId="0" borderId="0"/>
    <xf numFmtId="0" fontId="84" fillId="0" borderId="0"/>
    <xf numFmtId="0" fontId="85" fillId="0" borderId="0"/>
    <xf numFmtId="0" fontId="86" fillId="0" borderId="42" applyNumberFormat="0" applyAlignment="0"/>
    <xf numFmtId="0" fontId="87" fillId="0" borderId="0" applyAlignment="0">
      <alignment horizontal="left"/>
    </xf>
    <xf numFmtId="0" fontId="87" fillId="0" borderId="0">
      <alignment horizontal="right"/>
    </xf>
    <xf numFmtId="184" fontId="87" fillId="0" borderId="0">
      <alignment horizontal="right"/>
    </xf>
    <xf numFmtId="169" fontId="88" fillId="0" borderId="0">
      <alignment horizontal="right"/>
    </xf>
    <xf numFmtId="0" fontId="89" fillId="0" borderId="0"/>
    <xf numFmtId="0" fontId="19" fillId="22" borderId="1" applyNumberFormat="0" applyAlignment="0" applyProtection="0"/>
    <xf numFmtId="0" fontId="19" fillId="22" borderId="1" applyNumberFormat="0" applyAlignment="0" applyProtection="0"/>
    <xf numFmtId="0" fontId="20" fillId="23" borderId="6" applyNumberFormat="0" applyAlignment="0" applyProtection="0"/>
    <xf numFmtId="167" fontId="15" fillId="0" borderId="0" applyFont="0" applyFill="0" applyBorder="0" applyAlignment="0" applyProtection="0"/>
    <xf numFmtId="167" fontId="90" fillId="0" borderId="0" applyFont="0" applyFill="0" applyBorder="0" applyAlignment="0" applyProtection="0"/>
    <xf numFmtId="165" fontId="16" fillId="0" borderId="0" applyFont="0" applyFill="0" applyBorder="0" applyAlignment="0" applyProtection="0"/>
    <xf numFmtId="167" fontId="90" fillId="0" borderId="0" applyFont="0" applyFill="0" applyBorder="0" applyAlignment="0" applyProtection="0"/>
    <xf numFmtId="167" fontId="90" fillId="0" borderId="0" applyFont="0" applyFill="0" applyBorder="0" applyAlignment="0" applyProtection="0"/>
    <xf numFmtId="167" fontId="90"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0" fontId="21" fillId="0" borderId="0" applyNumberFormat="0" applyFill="0" applyBorder="0" applyAlignment="0" applyProtection="0"/>
    <xf numFmtId="0" fontId="22" fillId="5" borderId="0" applyNumberFormat="0" applyBorder="0" applyAlignment="0" applyProtection="0"/>
    <xf numFmtId="0" fontId="24" fillId="0" borderId="9" applyNumberFormat="0" applyFill="0" applyAlignment="0" applyProtection="0"/>
    <xf numFmtId="0" fontId="25" fillId="0" borderId="10" applyNumberFormat="0" applyFill="0" applyAlignment="0" applyProtection="0"/>
    <xf numFmtId="0" fontId="25" fillId="0" borderId="0" applyNumberFormat="0" applyFill="0" applyBorder="0" applyAlignment="0" applyProtection="0"/>
    <xf numFmtId="0" fontId="47" fillId="0" borderId="0" applyNumberFormat="0" applyFill="0" applyBorder="0" applyAlignment="0" applyProtection="0">
      <alignment vertical="top"/>
      <protection locked="0"/>
    </xf>
    <xf numFmtId="0" fontId="26" fillId="8" borderId="1"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1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5"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5" fillId="0" borderId="0" applyFont="0" applyFill="0" applyBorder="0" applyAlignment="0" applyProtection="0"/>
    <xf numFmtId="167"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0" fontId="47" fillId="0" borderId="0" applyNumberFormat="0" applyFill="0" applyBorder="0" applyAlignment="0" applyProtection="0">
      <alignment vertical="top"/>
      <protection locked="0"/>
    </xf>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alignment vertical="top"/>
      <protection locked="0"/>
    </xf>
    <xf numFmtId="0" fontId="27" fillId="0" borderId="5" applyNumberFormat="0" applyFill="0" applyAlignment="0" applyProtection="0"/>
    <xf numFmtId="0" fontId="28" fillId="2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xf numFmtId="0" fontId="77" fillId="0" borderId="0"/>
    <xf numFmtId="0" fontId="77" fillId="0" borderId="0"/>
    <xf numFmtId="0" fontId="77" fillId="0" borderId="0"/>
    <xf numFmtId="0" fontId="77"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9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xf numFmtId="0" fontId="77" fillId="0" borderId="0"/>
    <xf numFmtId="0" fontId="77" fillId="0" borderId="0"/>
    <xf numFmtId="0" fontId="15" fillId="0" borderId="0"/>
    <xf numFmtId="0" fontId="12" fillId="0" borderId="0"/>
    <xf numFmtId="0" fontId="12" fillId="0" borderId="0"/>
    <xf numFmtId="0" fontId="12" fillId="0" borderId="0"/>
    <xf numFmtId="0" fontId="12" fillId="0" borderId="0"/>
    <xf numFmtId="0" fontId="12" fillId="0" borderId="0"/>
    <xf numFmtId="0" fontId="46" fillId="0" borderId="0" applyFill="0" applyBorder="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33" fillId="30" borderId="0" applyNumberFormat="0" applyBorder="0" applyAlignment="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5" fillId="27" borderId="11" applyNumberFormat="0" applyFont="0" applyAlignment="0" applyProtection="0"/>
    <xf numFmtId="0" fontId="15" fillId="27" borderId="11" applyNumberFormat="0" applyFont="0" applyAlignment="0" applyProtection="0"/>
    <xf numFmtId="0" fontId="29" fillId="22" borderId="12" applyNumberFormat="0" applyAlignment="0" applyProtection="0"/>
    <xf numFmtId="0" fontId="79" fillId="0" borderId="39" applyNumberFormat="0" applyFill="0" applyAlignment="0" applyProtection="0"/>
    <xf numFmtId="0" fontId="80" fillId="0" borderId="40" applyNumberFormat="0" applyFill="0" applyAlignment="0" applyProtection="0"/>
    <xf numFmtId="0" fontId="80" fillId="0" borderId="0" applyNumberFormat="0" applyFill="0" applyBorder="0" applyAlignment="0" applyProtection="0"/>
    <xf numFmtId="184"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7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5"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4" fillId="0" borderId="0" applyNumberFormat="0" applyFill="0" applyBorder="0" applyAlignment="0" applyProtection="0"/>
    <xf numFmtId="0" fontId="30" fillId="0" borderId="0" applyNumberFormat="0" applyFill="0" applyBorder="0" applyAlignment="0" applyProtection="0"/>
    <xf numFmtId="0" fontId="31" fillId="0" borderId="13" applyNumberFormat="0" applyFill="0" applyAlignment="0" applyProtection="0"/>
    <xf numFmtId="0" fontId="31" fillId="0" borderId="13" applyNumberFormat="0" applyFill="0" applyAlignment="0" applyProtection="0"/>
    <xf numFmtId="0" fontId="32" fillId="0" borderId="0" applyNumberFormat="0" applyFill="0" applyBorder="0" applyAlignment="0" applyProtection="0"/>
    <xf numFmtId="0" fontId="95" fillId="0" borderId="43" applyNumberFormat="0">
      <alignment vertical="center"/>
    </xf>
    <xf numFmtId="196" fontId="96" fillId="0" borderId="43">
      <alignment horizontal="right" vertical="center"/>
    </xf>
    <xf numFmtId="179" fontId="70" fillId="35" borderId="0" applyNumberFormat="0" applyBorder="0" applyAlignment="0" applyProtection="0">
      <alignment horizontal="center" vertical="top" wrapText="1"/>
    </xf>
    <xf numFmtId="0" fontId="109" fillId="0" borderId="44" applyNumberFormat="0" applyFill="0" applyAlignment="0" applyProtection="0"/>
    <xf numFmtId="0" fontId="79" fillId="0" borderId="39" applyNumberFormat="0" applyFill="0" applyAlignment="0" applyProtection="0"/>
    <xf numFmtId="0" fontId="80" fillId="0" borderId="40" applyNumberFormat="0" applyFill="0" applyAlignment="0" applyProtection="0"/>
    <xf numFmtId="0" fontId="80" fillId="0" borderId="0" applyNumberFormat="0" applyFill="0" applyBorder="0" applyAlignment="0" applyProtection="0"/>
    <xf numFmtId="0" fontId="110" fillId="57" borderId="0" applyNumberFormat="0" applyBorder="0" applyAlignment="0" applyProtection="0"/>
    <xf numFmtId="0" fontId="111" fillId="31" borderId="0" applyNumberFormat="0" applyBorder="0" applyAlignment="0" applyProtection="0"/>
    <xf numFmtId="0" fontId="112" fillId="58" borderId="0" applyNumberFormat="0" applyBorder="0" applyAlignment="0" applyProtection="0"/>
    <xf numFmtId="0" fontId="115" fillId="33" borderId="38" applyNumberFormat="0" applyAlignment="0" applyProtection="0"/>
    <xf numFmtId="0" fontId="116" fillId="0" borderId="46" applyNumberFormat="0" applyFill="0" applyAlignment="0" applyProtection="0"/>
    <xf numFmtId="0" fontId="117" fillId="60" borderId="47" applyNumberFormat="0" applyAlignment="0" applyProtection="0"/>
    <xf numFmtId="0" fontId="118" fillId="0" borderId="0" applyNumberFormat="0" applyFill="0" applyBorder="0" applyAlignment="0" applyProtection="0"/>
    <xf numFmtId="0" fontId="119" fillId="0" borderId="0" applyNumberFormat="0" applyFill="0" applyBorder="0" applyAlignment="0" applyProtection="0"/>
    <xf numFmtId="0" fontId="120" fillId="0" borderId="48" applyNumberFormat="0" applyFill="0" applyAlignment="0" applyProtection="0"/>
    <xf numFmtId="0" fontId="121" fillId="61"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21" fillId="62" borderId="0" applyNumberFormat="0" applyBorder="0" applyAlignment="0" applyProtection="0"/>
    <xf numFmtId="0" fontId="121" fillId="63"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21" fillId="64" borderId="0" applyNumberFormat="0" applyBorder="0" applyAlignment="0" applyProtection="0"/>
    <xf numFmtId="0" fontId="121" fillId="65"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21" fillId="66" borderId="0" applyNumberFormat="0" applyBorder="0" applyAlignment="0" applyProtection="0"/>
    <xf numFmtId="0" fontId="121" fillId="67"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1" fillId="68" borderId="0" applyNumberFormat="0" applyBorder="0" applyAlignment="0" applyProtection="0"/>
    <xf numFmtId="0" fontId="121" fillId="69"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21" fillId="70" borderId="0" applyNumberFormat="0" applyBorder="0" applyAlignment="0" applyProtection="0"/>
    <xf numFmtId="0" fontId="121" fillId="71"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21" fillId="72" borderId="0" applyNumberFormat="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1" fillId="0" borderId="0" applyFont="0" applyFill="0" applyBorder="0" applyAlignment="0" applyProtection="0"/>
    <xf numFmtId="165" fontId="1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22" fillId="0" borderId="0" applyNumberFormat="0" applyBorder="0" applyAlignment="0"/>
    <xf numFmtId="0" fontId="123" fillId="0" borderId="0" applyNumberFormat="0" applyFill="0" applyBorder="0" applyAlignment="0" applyProtection="0"/>
    <xf numFmtId="3" fontId="125" fillId="75" borderId="0" applyBorder="0" applyAlignment="0">
      <protection locked="0"/>
    </xf>
    <xf numFmtId="181" fontId="15" fillId="0" borderId="0" applyFont="0" applyFill="0" applyBorder="0" applyAlignment="0" applyProtection="0"/>
    <xf numFmtId="4" fontId="60" fillId="29" borderId="34" applyNumberFormat="0" applyFont="0" applyBorder="0" applyAlignment="0" applyProtection="0">
      <alignment horizontal="right"/>
    </xf>
    <xf numFmtId="0" fontId="15" fillId="0" borderId="0"/>
    <xf numFmtId="0" fontId="102" fillId="0" borderId="0"/>
    <xf numFmtId="181" fontId="15" fillId="0" borderId="0" applyFont="0" applyFill="0" applyBorder="0" applyAlignment="0" applyProtection="0"/>
    <xf numFmtId="0" fontId="113" fillId="59" borderId="38" applyNumberFormat="0" applyAlignment="0" applyProtection="0"/>
    <xf numFmtId="0" fontId="114" fillId="33" borderId="45" applyNumberFormat="0" applyAlignment="0" applyProtection="0"/>
    <xf numFmtId="167" fontId="15" fillId="0" borderId="0" applyFont="0" applyFill="0" applyBorder="0" applyAlignment="0" applyProtection="0"/>
    <xf numFmtId="0" fontId="11" fillId="0" borderId="0"/>
    <xf numFmtId="0" fontId="11" fillId="44" borderId="41"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60" fillId="76" borderId="0" applyNumberFormat="0" applyFont="0" applyBorder="0" applyAlignment="0" applyProtection="0">
      <alignment horizontal="right"/>
    </xf>
    <xf numFmtId="0" fontId="124" fillId="22" borderId="1" applyNumberFormat="0" applyFill="0" applyBorder="0" applyAlignment="0" applyProtection="0"/>
    <xf numFmtId="0" fontId="77" fillId="0" borderId="0"/>
    <xf numFmtId="167" fontId="77" fillId="0" borderId="0" applyFont="0" applyFill="0" applyBorder="0" applyAlignment="0" applyProtection="0"/>
    <xf numFmtId="9" fontId="77" fillId="0" borderId="0" applyFont="0" applyFill="0" applyBorder="0" applyAlignment="0" applyProtection="0"/>
    <xf numFmtId="0" fontId="126" fillId="0" borderId="0" applyNumberFormat="0" applyFill="0" applyBorder="0" applyAlignment="0" applyProtection="0">
      <alignment vertical="top"/>
      <protection locked="0"/>
    </xf>
    <xf numFmtId="167" fontId="15" fillId="0" borderId="0" applyFont="0" applyFill="0" applyBorder="0" applyAlignment="0" applyProtection="0"/>
    <xf numFmtId="0" fontId="77" fillId="0" borderId="0"/>
    <xf numFmtId="0" fontId="127" fillId="57" borderId="0" applyNumberFormat="0" applyBorder="0" applyAlignment="0" applyProtection="0"/>
    <xf numFmtId="0" fontId="77" fillId="44" borderId="41" applyNumberFormat="0" applyFont="0" applyAlignment="0" applyProtection="0"/>
    <xf numFmtId="0" fontId="15" fillId="0" borderId="0"/>
    <xf numFmtId="167" fontId="15" fillId="0" borderId="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0" fontId="122" fillId="0" borderId="0" applyNumberFormat="0" applyBorder="0" applyAlignment="0"/>
    <xf numFmtId="0" fontId="15" fillId="0" borderId="0" applyNumberFormat="0" applyFont="0" applyFill="0" applyBorder="0" applyProtection="0">
      <alignment horizontal="left" vertical="center" indent="5"/>
    </xf>
    <xf numFmtId="165" fontId="11" fillId="0" borderId="0" applyFont="0" applyFill="0" applyBorder="0" applyAlignment="0" applyProtection="0"/>
    <xf numFmtId="165"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3" fontId="15" fillId="0" borderId="0" applyFont="0" applyFill="0" applyBorder="0" applyAlignment="0" applyProtection="0"/>
    <xf numFmtId="171" fontId="15" fillId="0" borderId="0" applyFont="0" applyFill="0" applyBorder="0" applyAlignment="0" applyProtection="0"/>
    <xf numFmtId="0"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0" borderId="0"/>
    <xf numFmtId="0" fontId="11" fillId="0" borderId="0"/>
    <xf numFmtId="0" fontId="11" fillId="0" borderId="0"/>
    <xf numFmtId="0" fontId="11" fillId="0" borderId="0"/>
    <xf numFmtId="0" fontId="11" fillId="0" borderId="0"/>
    <xf numFmtId="0" fontId="11" fillId="0" borderId="0"/>
    <xf numFmtId="0" fontId="15" fillId="25" borderId="0" applyNumberFormat="0" applyFon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7" borderId="11" applyNumberFormat="0" applyFont="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9" fontId="15" fillId="0" borderId="0" applyFont="0" applyFill="0" applyBorder="0" applyAlignment="0" applyProtection="0"/>
    <xf numFmtId="9" fontId="1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44" borderId="41" applyNumberFormat="0" applyFont="0" applyAlignment="0" applyProtection="0"/>
    <xf numFmtId="0" fontId="11" fillId="0" borderId="0"/>
    <xf numFmtId="0" fontId="11" fillId="48" borderId="0" applyNumberFormat="0" applyBorder="0" applyAlignment="0" applyProtection="0"/>
    <xf numFmtId="0" fontId="11" fillId="53" borderId="0" applyNumberFormat="0" applyBorder="0" applyAlignment="0" applyProtection="0"/>
    <xf numFmtId="0" fontId="15" fillId="0" borderId="0"/>
    <xf numFmtId="165" fontId="15" fillId="0" borderId="0" applyFont="0" applyFill="0" applyBorder="0" applyAlignment="0" applyProtection="0"/>
    <xf numFmtId="9" fontId="1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43" fillId="0" borderId="0"/>
    <xf numFmtId="0" fontId="11" fillId="0" borderId="0"/>
    <xf numFmtId="0" fontId="15" fillId="0" borderId="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49" fontId="42" fillId="0" borderId="3" applyNumberFormat="0" applyFont="0" applyFill="0" applyBorder="0" applyProtection="0">
      <alignment horizontal="left" vertical="center" indent="2"/>
    </xf>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4"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7"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200" fontId="87" fillId="0" borderId="0" applyAlignment="0" applyProtection="0"/>
    <xf numFmtId="200" fontId="87" fillId="0" borderId="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6" fillId="44" borderId="41" applyNumberFormat="0" applyFont="0" applyAlignment="0" applyProtection="0"/>
    <xf numFmtId="0" fontId="159" fillId="78" borderId="38" applyNumberFormat="0" applyAlignment="0" applyProtection="0"/>
    <xf numFmtId="0" fontId="159" fillId="78" borderId="38" applyNumberFormat="0" applyAlignment="0" applyProtection="0"/>
    <xf numFmtId="0" fontId="159" fillId="78" borderId="38" applyNumberFormat="0" applyAlignment="0" applyProtection="0"/>
    <xf numFmtId="0" fontId="159" fillId="78" borderId="38" applyNumberFormat="0" applyAlignment="0" applyProtection="0"/>
    <xf numFmtId="0" fontId="159" fillId="78" borderId="38" applyNumberFormat="0" applyAlignment="0" applyProtection="0"/>
    <xf numFmtId="3" fontId="156" fillId="0" borderId="0" applyFont="0" applyFill="0" applyBorder="0" applyAlignment="0" applyProtection="0"/>
    <xf numFmtId="201" fontId="15" fillId="0" borderId="0"/>
    <xf numFmtId="201" fontId="15" fillId="0" borderId="0"/>
    <xf numFmtId="201" fontId="15" fillId="0" borderId="0"/>
    <xf numFmtId="201" fontId="15" fillId="0" borderId="0"/>
    <xf numFmtId="201" fontId="15" fillId="0" borderId="0"/>
    <xf numFmtId="0" fontId="41" fillId="0" borderId="0"/>
    <xf numFmtId="202" fontId="156" fillId="0" borderId="0" applyFont="0" applyFill="0" applyBorder="0" applyAlignment="0" applyProtection="0"/>
    <xf numFmtId="0" fontId="156" fillId="0" borderId="0" applyFont="0" applyFill="0" applyBorder="0" applyAlignment="0" applyProtection="0"/>
    <xf numFmtId="0" fontId="41" fillId="0" borderId="0"/>
    <xf numFmtId="2" fontId="156" fillId="0" borderId="0" applyFont="0" applyFill="0" applyBorder="0" applyAlignment="0" applyProtection="0"/>
    <xf numFmtId="0" fontId="110" fillId="7" borderId="0" applyNumberFormat="0" applyBorder="0" applyAlignment="0" applyProtection="0"/>
    <xf numFmtId="0" fontId="110" fillId="7" borderId="0" applyNumberFormat="0" applyBorder="0" applyAlignment="0" applyProtection="0"/>
    <xf numFmtId="0" fontId="110" fillId="7" borderId="0" applyNumberFormat="0" applyBorder="0" applyAlignment="0" applyProtection="0"/>
    <xf numFmtId="0" fontId="110" fillId="7" borderId="0" applyNumberFormat="0" applyBorder="0" applyAlignment="0" applyProtection="0"/>
    <xf numFmtId="0" fontId="110" fillId="7" borderId="0" applyNumberFormat="0" applyBorder="0" applyAlignment="0" applyProtection="0"/>
    <xf numFmtId="0" fontId="157"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13" fillId="24" borderId="38" applyNumberFormat="0" applyAlignment="0" applyProtection="0"/>
    <xf numFmtId="0" fontId="113" fillId="24" borderId="38" applyNumberFormat="0" applyAlignment="0" applyProtection="0"/>
    <xf numFmtId="0" fontId="113" fillId="24" borderId="38" applyNumberFormat="0" applyAlignment="0" applyProtection="0"/>
    <xf numFmtId="0" fontId="113" fillId="24" borderId="38" applyNumberFormat="0" applyAlignment="0" applyProtection="0"/>
    <xf numFmtId="0" fontId="113" fillId="24" borderId="38" applyNumberFormat="0" applyAlignment="0" applyProtection="0"/>
    <xf numFmtId="198" fontId="15"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1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3" fillId="0" borderId="0" applyFont="0" applyFill="0" applyBorder="0" applyAlignment="0" applyProtection="0"/>
    <xf numFmtId="165" fontId="15"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3" fillId="0" borderId="0" applyFont="0" applyFill="0" applyBorder="0" applyAlignment="0" applyProtection="0"/>
    <xf numFmtId="198" fontId="15" fillId="0" borderId="0" applyFont="0" applyFill="0" applyBorder="0" applyAlignment="0" applyProtection="0"/>
    <xf numFmtId="0" fontId="130"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160" fillId="0" borderId="0" applyNumberFormat="0" applyFill="0" applyBorder="0" applyAlignment="0" applyProtection="0">
      <alignment vertical="top"/>
    </xf>
    <xf numFmtId="0" fontId="126" fillId="0" borderId="0" applyNumberFormat="0" applyFill="0" applyBorder="0" applyAlignment="0" applyProtection="0">
      <alignment vertical="top"/>
      <protection locked="0"/>
    </xf>
    <xf numFmtId="0" fontId="130" fillId="0" borderId="0" applyNumberFormat="0" applyFill="0" applyBorder="0" applyAlignment="0" applyProtection="0">
      <alignment vertical="top"/>
      <protection locked="0"/>
    </xf>
    <xf numFmtId="0" fontId="121" fillId="79" borderId="0" applyNumberFormat="0" applyBorder="0" applyAlignment="0" applyProtection="0"/>
    <xf numFmtId="0" fontId="121" fillId="79" borderId="0" applyNumberFormat="0" applyBorder="0" applyAlignment="0" applyProtection="0"/>
    <xf numFmtId="0" fontId="121" fillId="79" borderId="0" applyNumberFormat="0" applyBorder="0" applyAlignment="0" applyProtection="0"/>
    <xf numFmtId="0" fontId="121" fillId="79" borderId="0" applyNumberFormat="0" applyBorder="0" applyAlignment="0" applyProtection="0"/>
    <xf numFmtId="0" fontId="121" fillId="79"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20"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12" borderId="0" applyNumberFormat="0" applyBorder="0" applyAlignment="0" applyProtection="0"/>
    <xf numFmtId="0" fontId="121" fillId="80" borderId="0" applyNumberFormat="0" applyBorder="0" applyAlignment="0" applyProtection="0"/>
    <xf numFmtId="0" fontId="121" fillId="80" borderId="0" applyNumberFormat="0" applyBorder="0" applyAlignment="0" applyProtection="0"/>
    <xf numFmtId="0" fontId="121" fillId="80" borderId="0" applyNumberFormat="0" applyBorder="0" applyAlignment="0" applyProtection="0"/>
    <xf numFmtId="0" fontId="121" fillId="80" borderId="0" applyNumberFormat="0" applyBorder="0" applyAlignment="0" applyProtection="0"/>
    <xf numFmtId="0" fontId="121" fillId="80"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61" fillId="58" borderId="0" applyNumberFormat="0" applyBorder="0" applyAlignment="0" applyProtection="0"/>
    <xf numFmtId="0" fontId="161" fillId="58" borderId="0" applyNumberFormat="0" applyBorder="0" applyAlignment="0" applyProtection="0"/>
    <xf numFmtId="0" fontId="161" fillId="58" borderId="0" applyNumberFormat="0" applyBorder="0" applyAlignment="0" applyProtection="0"/>
    <xf numFmtId="0" fontId="161" fillId="58" borderId="0" applyNumberFormat="0" applyBorder="0" applyAlignment="0" applyProtection="0"/>
    <xf numFmtId="0" fontId="161" fillId="58" borderId="0" applyNumberFormat="0" applyBorder="0" applyAlignment="0" applyProtection="0"/>
    <xf numFmtId="0" fontId="11" fillId="0" borderId="0"/>
    <xf numFmtId="0" fontId="15" fillId="0" borderId="0"/>
    <xf numFmtId="0" fontId="11" fillId="0" borderId="0"/>
    <xf numFmtId="0" fontId="122" fillId="0" borderId="0" applyNumberFormat="0" applyBorder="0" applyAlignment="0"/>
    <xf numFmtId="0" fontId="15" fillId="0" borderId="0"/>
    <xf numFmtId="0" fontId="11" fillId="0" borderId="0"/>
    <xf numFmtId="0" fontId="11" fillId="0" borderId="0"/>
    <xf numFmtId="0" fontId="11" fillId="0" borderId="0"/>
    <xf numFmtId="0" fontId="15" fillId="0" borderId="0"/>
    <xf numFmtId="0" fontId="11" fillId="0" borderId="0"/>
    <xf numFmtId="0" fontId="11" fillId="0" borderId="0"/>
    <xf numFmtId="0" fontId="11" fillId="0" borderId="0"/>
    <xf numFmtId="0" fontId="11" fillId="0" borderId="0"/>
    <xf numFmtId="0" fontId="13" fillId="0" borderId="0">
      <alignment vertical="top"/>
    </xf>
    <xf numFmtId="0" fontId="11" fillId="0" borderId="0"/>
    <xf numFmtId="0" fontId="11" fillId="0" borderId="0"/>
    <xf numFmtId="0" fontId="11" fillId="0" borderId="0"/>
    <xf numFmtId="0" fontId="156" fillId="0" borderId="0"/>
    <xf numFmtId="0" fontId="156" fillId="0" borderId="0"/>
    <xf numFmtId="0" fontId="156" fillId="0" borderId="0"/>
    <xf numFmtId="0" fontId="15" fillId="0" borderId="0"/>
    <xf numFmtId="0" fontId="13" fillId="0" borderId="0">
      <alignment vertical="top"/>
    </xf>
    <xf numFmtId="0" fontId="15" fillId="0" borderId="0"/>
    <xf numFmtId="0" fontId="11" fillId="0" borderId="0"/>
    <xf numFmtId="0" fontId="15" fillId="0" borderId="0"/>
    <xf numFmtId="0" fontId="13" fillId="0" borderId="0">
      <alignment vertical="top"/>
    </xf>
    <xf numFmtId="0" fontId="13" fillId="0" borderId="0">
      <alignment vertical="top"/>
    </xf>
    <xf numFmtId="0" fontId="11" fillId="0" borderId="0"/>
    <xf numFmtId="0" fontId="15" fillId="0" borderId="0"/>
    <xf numFmtId="0" fontId="15" fillId="0" borderId="0"/>
    <xf numFmtId="0" fontId="15" fillId="0" borderId="0"/>
    <xf numFmtId="0" fontId="15" fillId="0" borderId="0"/>
    <xf numFmtId="0" fontId="1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5" fillId="0" borderId="0"/>
    <xf numFmtId="0" fontId="11" fillId="0" borderId="0"/>
    <xf numFmtId="0" fontId="11" fillId="0" borderId="0"/>
    <xf numFmtId="0" fontId="57" fillId="0" borderId="0"/>
    <xf numFmtId="0" fontId="15" fillId="0" borderId="0"/>
    <xf numFmtId="0" fontId="15" fillId="0" borderId="0"/>
    <xf numFmtId="0" fontId="11" fillId="0" borderId="0"/>
    <xf numFmtId="0" fontId="15" fillId="0" borderId="0"/>
    <xf numFmtId="0" fontId="11" fillId="0" borderId="0"/>
    <xf numFmtId="0" fontId="15" fillId="0" borderId="0"/>
    <xf numFmtId="0" fontId="15" fillId="0" borderId="0"/>
    <xf numFmtId="0" fontId="11" fillId="0" borderId="0"/>
    <xf numFmtId="0" fontId="13" fillId="0" borderId="0">
      <alignment vertical="top"/>
    </xf>
    <xf numFmtId="0" fontId="11" fillId="0" borderId="0"/>
    <xf numFmtId="0" fontId="13" fillId="0" borderId="0">
      <alignment vertical="top"/>
    </xf>
    <xf numFmtId="0" fontId="15" fillId="0" borderId="0"/>
    <xf numFmtId="0" fontId="11" fillId="0" borderId="0"/>
    <xf numFmtId="0" fontId="15" fillId="0" borderId="0"/>
    <xf numFmtId="0" fontId="11" fillId="0" borderId="0"/>
    <xf numFmtId="0" fontId="15" fillId="0" borderId="0"/>
    <xf numFmtId="0" fontId="15" fillId="0" borderId="0"/>
    <xf numFmtId="0" fontId="11" fillId="0" borderId="0"/>
    <xf numFmtId="0" fontId="11" fillId="0" borderId="0"/>
    <xf numFmtId="0" fontId="11" fillId="0" borderId="0"/>
    <xf numFmtId="0" fontId="15" fillId="0" borderId="0"/>
    <xf numFmtId="0" fontId="13" fillId="0" borderId="0">
      <alignment vertical="top"/>
    </xf>
    <xf numFmtId="0" fontId="11" fillId="0" borderId="0"/>
    <xf numFmtId="0" fontId="11" fillId="0" borderId="0"/>
    <xf numFmtId="0" fontId="11" fillId="0" borderId="0"/>
    <xf numFmtId="0" fontId="11" fillId="0" borderId="0"/>
    <xf numFmtId="0" fontId="15" fillId="0" borderId="0"/>
    <xf numFmtId="0" fontId="11" fillId="0" borderId="0"/>
    <xf numFmtId="0" fontId="11" fillId="0" borderId="0"/>
    <xf numFmtId="0" fontId="15" fillId="0" borderId="0"/>
    <xf numFmtId="0" fontId="15" fillId="0" borderId="0"/>
    <xf numFmtId="0" fontId="15" fillId="0" borderId="0"/>
    <xf numFmtId="0" fontId="43" fillId="0" borderId="0"/>
    <xf numFmtId="0" fontId="11" fillId="0" borderId="0"/>
    <xf numFmtId="0" fontId="11" fillId="0" borderId="0"/>
    <xf numFmtId="0" fontId="13" fillId="0" borderId="0">
      <alignment vertical="top"/>
    </xf>
    <xf numFmtId="0" fontId="11" fillId="0" borderId="0"/>
    <xf numFmtId="49" fontId="44" fillId="0" borderId="3" applyNumberFormat="0" applyFill="0" applyBorder="0" applyProtection="0">
      <alignment horizontal="left" vertical="center"/>
    </xf>
    <xf numFmtId="0" fontId="16" fillId="44" borderId="41" applyNumberFormat="0" applyFont="0" applyAlignment="0" applyProtection="0"/>
    <xf numFmtId="0" fontId="16" fillId="44" borderId="41" applyNumberFormat="0" applyFont="0" applyAlignment="0" applyProtection="0"/>
    <xf numFmtId="0" fontId="114" fillId="78" borderId="45" applyNumberFormat="0" applyAlignment="0" applyProtection="0"/>
    <xf numFmtId="0" fontId="114" fillId="78" borderId="45" applyNumberFormat="0" applyAlignment="0" applyProtection="0"/>
    <xf numFmtId="0" fontId="114" fillId="78" borderId="45" applyNumberFormat="0" applyAlignment="0" applyProtection="0"/>
    <xf numFmtId="0" fontId="114" fillId="78" borderId="45" applyNumberFormat="0" applyAlignment="0" applyProtection="0"/>
    <xf numFmtId="0" fontId="114" fillId="78" borderId="45" applyNumberFormat="0" applyAlignment="0" applyProtection="0"/>
    <xf numFmtId="0" fontId="152" fillId="0" borderId="49" applyNumberFormat="0" applyFill="0" applyAlignment="0" applyProtection="0"/>
    <xf numFmtId="0" fontId="152" fillId="0" borderId="49" applyNumberFormat="0" applyFill="0" applyAlignment="0" applyProtection="0"/>
    <xf numFmtId="0" fontId="152" fillId="0" borderId="49" applyNumberFormat="0" applyFill="0" applyAlignment="0" applyProtection="0"/>
    <xf numFmtId="0" fontId="152" fillId="0" borderId="49" applyNumberFormat="0" applyFill="0" applyAlignment="0" applyProtection="0"/>
    <xf numFmtId="0" fontId="152" fillId="0" borderId="49" applyNumberFormat="0" applyFill="0" applyAlignment="0" applyProtection="0"/>
    <xf numFmtId="0" fontId="153" fillId="0" borderId="50" applyNumberFormat="0" applyFill="0" applyAlignment="0" applyProtection="0"/>
    <xf numFmtId="0" fontId="153" fillId="0" borderId="50" applyNumberFormat="0" applyFill="0" applyAlignment="0" applyProtection="0"/>
    <xf numFmtId="0" fontId="153" fillId="0" borderId="50" applyNumberFormat="0" applyFill="0" applyAlignment="0" applyProtection="0"/>
    <xf numFmtId="0" fontId="153" fillId="0" borderId="50" applyNumberFormat="0" applyFill="0" applyAlignment="0" applyProtection="0"/>
    <xf numFmtId="0" fontId="153" fillId="0" borderId="50" applyNumberFormat="0" applyFill="0" applyAlignment="0" applyProtection="0"/>
    <xf numFmtId="0" fontId="154" fillId="0" borderId="51" applyNumberFormat="0" applyFill="0" applyAlignment="0" applyProtection="0"/>
    <xf numFmtId="0" fontId="154" fillId="0" borderId="51" applyNumberFormat="0" applyFill="0" applyAlignment="0" applyProtection="0"/>
    <xf numFmtId="0" fontId="154" fillId="0" borderId="51" applyNumberFormat="0" applyFill="0" applyAlignment="0" applyProtection="0"/>
    <xf numFmtId="0" fontId="154" fillId="0" borderId="51" applyNumberFormat="0" applyFill="0" applyAlignment="0" applyProtection="0"/>
    <xf numFmtId="0" fontId="154" fillId="0" borderId="51" applyNumberFormat="0" applyFill="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41" fillId="0" borderId="0"/>
    <xf numFmtId="9" fontId="129" fillId="0" borderId="0" applyFont="0" applyFill="0" applyBorder="0" applyAlignment="0" applyProtection="0"/>
    <xf numFmtId="9" fontId="129" fillId="0" borderId="0" applyFont="0" applyFill="0" applyBorder="0" applyAlignment="0" applyProtection="0"/>
    <xf numFmtId="9" fontId="12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29" fillId="0" borderId="0" applyFont="0" applyFill="0" applyBorder="0" applyAlignment="0" applyProtection="0"/>
    <xf numFmtId="9" fontId="12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3" fillId="0" borderId="0" applyFont="0" applyFill="0" applyBorder="0" applyAlignment="0" applyProtection="0"/>
    <xf numFmtId="10" fontId="15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3" fillId="0" borderId="0" applyFont="0" applyFill="0" applyBorder="0" applyAlignment="0" applyProtection="0"/>
    <xf numFmtId="0" fontId="32" fillId="0" borderId="52" applyNumberFormat="0" applyFill="0" applyAlignment="0" applyProtection="0"/>
    <xf numFmtId="0" fontId="32" fillId="0" borderId="52" applyNumberFormat="0" applyFill="0" applyAlignment="0" applyProtection="0"/>
    <xf numFmtId="0" fontId="32" fillId="0" borderId="52" applyNumberFormat="0" applyFill="0" applyAlignment="0" applyProtection="0"/>
    <xf numFmtId="0" fontId="32" fillId="0" borderId="52" applyNumberFormat="0" applyFill="0" applyAlignment="0" applyProtection="0"/>
    <xf numFmtId="0" fontId="32" fillId="0" borderId="52" applyNumberFormat="0" applyFill="0" applyAlignment="0" applyProtection="0"/>
    <xf numFmtId="0" fontId="32" fillId="0" borderId="52" applyNumberFormat="0" applyFill="0" applyAlignment="0" applyProtection="0"/>
    <xf numFmtId="0" fontId="32" fillId="0" borderId="52" applyNumberFormat="0" applyFill="0" applyAlignment="0" applyProtection="0"/>
    <xf numFmtId="4" fontId="134" fillId="73" borderId="53" applyNumberFormat="0" applyProtection="0">
      <alignment vertical="center"/>
    </xf>
    <xf numFmtId="4" fontId="135" fillId="73" borderId="53" applyNumberFormat="0" applyProtection="0">
      <alignment vertical="center"/>
    </xf>
    <xf numFmtId="4" fontId="136" fillId="24" borderId="53" applyNumberFormat="0" applyProtection="0">
      <alignment horizontal="left" vertical="center" indent="1"/>
    </xf>
    <xf numFmtId="0" fontId="15" fillId="0" borderId="0"/>
    <xf numFmtId="4" fontId="137" fillId="78" borderId="53" applyNumberFormat="0" applyProtection="0">
      <alignment horizontal="left" vertical="center" indent="1"/>
    </xf>
    <xf numFmtId="4" fontId="138" fillId="81" borderId="53" applyNumberFormat="0" applyProtection="0">
      <alignment vertical="center"/>
    </xf>
    <xf numFmtId="0" fontId="15" fillId="0" borderId="0"/>
    <xf numFmtId="0" fontId="15" fillId="0" borderId="0"/>
    <xf numFmtId="0" fontId="15" fillId="0" borderId="0"/>
    <xf numFmtId="4" fontId="128" fillId="21" borderId="53" applyNumberFormat="0" applyProtection="0">
      <alignment vertical="center"/>
    </xf>
    <xf numFmtId="0" fontId="15" fillId="0" borderId="0"/>
    <xf numFmtId="0" fontId="15" fillId="0" borderId="0"/>
    <xf numFmtId="0" fontId="15" fillId="0" borderId="0"/>
    <xf numFmtId="4" fontId="138" fillId="82" borderId="53" applyNumberFormat="0" applyProtection="0">
      <alignment vertical="center"/>
    </xf>
    <xf numFmtId="0" fontId="15" fillId="0" borderId="0"/>
    <xf numFmtId="0" fontId="15" fillId="0" borderId="0"/>
    <xf numFmtId="0" fontId="15" fillId="0" borderId="0"/>
    <xf numFmtId="4" fontId="139" fillId="81" borderId="53" applyNumberFormat="0" applyProtection="0">
      <alignment vertical="center"/>
    </xf>
    <xf numFmtId="4" fontId="140" fillId="83" borderId="53" applyNumberFormat="0" applyProtection="0">
      <alignment horizontal="left" vertical="center" indent="1"/>
    </xf>
    <xf numFmtId="4" fontId="140" fillId="78" borderId="53" applyNumberFormat="0" applyProtection="0">
      <alignment horizontal="left" vertical="center" indent="1"/>
    </xf>
    <xf numFmtId="4" fontId="140" fillId="78" borderId="53" applyNumberFormat="0" applyProtection="0">
      <alignment horizontal="left" vertical="center" indent="1"/>
    </xf>
    <xf numFmtId="4" fontId="141" fillId="77" borderId="53" applyNumberFormat="0" applyProtection="0">
      <alignment vertical="center"/>
    </xf>
    <xf numFmtId="4" fontId="132" fillId="2" borderId="53" applyNumberFormat="0" applyProtection="0">
      <alignment horizontal="left" vertical="center" indent="1"/>
    </xf>
    <xf numFmtId="4" fontId="142" fillId="78" borderId="0" applyNumberFormat="0" applyProtection="0">
      <alignment horizontal="left" vertical="center" indent="1"/>
    </xf>
    <xf numFmtId="4" fontId="143" fillId="78" borderId="0" applyNumberFormat="0" applyProtection="0">
      <alignment horizontal="left" vertical="center" indent="1"/>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4" fontId="144" fillId="2" borderId="53" applyNumberFormat="0" applyProtection="0">
      <alignment vertical="center"/>
    </xf>
    <xf numFmtId="4" fontId="145" fillId="2" borderId="53" applyNumberFormat="0" applyProtection="0">
      <alignment vertical="center"/>
    </xf>
    <xf numFmtId="4" fontId="146" fillId="74" borderId="53" applyNumberFormat="0" applyProtection="0">
      <alignment horizontal="left" vertical="center" indent="1"/>
    </xf>
    <xf numFmtId="0" fontId="15" fillId="0" borderId="0"/>
    <xf numFmtId="4" fontId="147" fillId="2" borderId="53" applyNumberFormat="0" applyProtection="0">
      <alignment horizontal="right" vertical="center"/>
    </xf>
    <xf numFmtId="4" fontId="148" fillId="2" borderId="53" applyNumberFormat="0" applyProtection="0">
      <alignment vertical="center"/>
    </xf>
    <xf numFmtId="4" fontId="147" fillId="27" borderId="53" applyNumberFormat="0" applyProtection="0">
      <alignment horizontal="left" vertical="center"/>
    </xf>
    <xf numFmtId="0" fontId="15" fillId="0" borderId="0"/>
    <xf numFmtId="4" fontId="149" fillId="2" borderId="53" applyNumberFormat="0" applyProtection="0">
      <alignment vertical="center"/>
    </xf>
    <xf numFmtId="4" fontId="150" fillId="2" borderId="53" applyNumberFormat="0" applyProtection="0">
      <alignment vertical="center"/>
    </xf>
    <xf numFmtId="4" fontId="146" fillId="84" borderId="53" applyNumberFormat="0" applyProtection="0">
      <alignment horizontal="left" vertical="center" indent="1"/>
    </xf>
    <xf numFmtId="4" fontId="151" fillId="85" borderId="0" applyNumberFormat="0" applyProtection="0">
      <alignment horizontal="left" indent="1"/>
    </xf>
    <xf numFmtId="4" fontId="133" fillId="2" borderId="53" applyNumberFormat="0" applyProtection="0">
      <alignment vertical="center"/>
    </xf>
    <xf numFmtId="0" fontId="131" fillId="0" borderId="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20" fillId="0" borderId="54" applyNumberFormat="0" applyFill="0" applyAlignment="0" applyProtection="0"/>
    <xf numFmtId="0" fontId="120" fillId="0" borderId="54" applyNumberFormat="0" applyFill="0" applyAlignment="0" applyProtection="0"/>
    <xf numFmtId="0" fontId="156" fillId="0" borderId="55" applyNumberFormat="0" applyFont="0" applyFill="0" applyAlignment="0" applyProtection="0"/>
    <xf numFmtId="0" fontId="120" fillId="0" borderId="54" applyNumberFormat="0" applyFill="0" applyAlignment="0" applyProtection="0"/>
    <xf numFmtId="0" fontId="120" fillId="0" borderId="54" applyNumberFormat="0" applyFill="0" applyAlignment="0" applyProtection="0"/>
    <xf numFmtId="0" fontId="120" fillId="0" borderId="54" applyNumberFormat="0" applyFill="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199" fontId="129" fillId="0" borderId="0" applyFont="0" applyFill="0" applyBorder="0" applyAlignment="0" applyProtection="0"/>
    <xf numFmtId="199" fontId="129" fillId="0" borderId="0" applyFont="0" applyFill="0" applyBorder="0" applyAlignment="0" applyProtection="0"/>
    <xf numFmtId="199" fontId="129" fillId="0" borderId="0" applyFont="0" applyFill="0" applyBorder="0" applyAlignment="0" applyProtection="0"/>
    <xf numFmtId="199" fontId="129" fillId="0" borderId="0" applyFont="0" applyFill="0" applyBorder="0" applyAlignment="0" applyProtection="0"/>
    <xf numFmtId="199" fontId="129" fillId="0" borderId="0" applyFont="0" applyFill="0" applyBorder="0" applyAlignment="0" applyProtection="0"/>
    <xf numFmtId="0" fontId="129" fillId="0" borderId="0"/>
    <xf numFmtId="0" fontId="123" fillId="0" borderId="0" applyNumberFormat="0" applyFill="0" applyBorder="0" applyAlignment="0" applyProtection="0"/>
    <xf numFmtId="0" fontId="109" fillId="0" borderId="44" applyNumberFormat="0" applyFill="0" applyAlignment="0" applyProtection="0"/>
    <xf numFmtId="0" fontId="79" fillId="0" borderId="39" applyNumberFormat="0" applyFill="0" applyAlignment="0" applyProtection="0"/>
    <xf numFmtId="0" fontId="80" fillId="0" borderId="40" applyNumberFormat="0" applyFill="0" applyAlignment="0" applyProtection="0"/>
    <xf numFmtId="0" fontId="80" fillId="0" borderId="0" applyNumberFormat="0" applyFill="0" applyBorder="0" applyAlignment="0" applyProtection="0"/>
    <xf numFmtId="0" fontId="110" fillId="57" borderId="0" applyNumberFormat="0" applyBorder="0" applyAlignment="0" applyProtection="0"/>
    <xf numFmtId="0" fontId="111" fillId="31" borderId="0" applyNumberFormat="0" applyBorder="0" applyAlignment="0" applyProtection="0"/>
    <xf numFmtId="0" fontId="112" fillId="58" borderId="0" applyNumberFormat="0" applyBorder="0" applyAlignment="0" applyProtection="0"/>
    <xf numFmtId="0" fontId="113" fillId="59" borderId="38" applyNumberFormat="0" applyAlignment="0" applyProtection="0"/>
    <xf numFmtId="0" fontId="114" fillId="33" borderId="45" applyNumberFormat="0" applyAlignment="0" applyProtection="0"/>
    <xf numFmtId="0" fontId="115" fillId="33" borderId="38" applyNumberFormat="0" applyAlignment="0" applyProtection="0"/>
    <xf numFmtId="0" fontId="116" fillId="0" borderId="46" applyNumberFormat="0" applyFill="0" applyAlignment="0" applyProtection="0"/>
    <xf numFmtId="0" fontId="120" fillId="0" borderId="48" applyNumberFormat="0" applyFill="0" applyAlignment="0" applyProtection="0"/>
    <xf numFmtId="0" fontId="121" fillId="61"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21" fillId="62" borderId="0" applyNumberFormat="0" applyBorder="0" applyAlignment="0" applyProtection="0"/>
    <xf numFmtId="0" fontId="121" fillId="63"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21" fillId="64" borderId="0" applyNumberFormat="0" applyBorder="0" applyAlignment="0" applyProtection="0"/>
    <xf numFmtId="0" fontId="121" fillId="65"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21" fillId="66" borderId="0" applyNumberFormat="0" applyBorder="0" applyAlignment="0" applyProtection="0"/>
    <xf numFmtId="0" fontId="121" fillId="67"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1" fillId="68"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21" fillId="70" borderId="0" applyNumberFormat="0" applyBorder="0" applyAlignment="0" applyProtection="0"/>
    <xf numFmtId="0" fontId="121" fillId="71"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21" fillId="7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3" fontId="15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21" fillId="66" borderId="0" applyNumberFormat="0" applyBorder="0" applyAlignment="0" applyProtection="0"/>
    <xf numFmtId="0" fontId="121" fillId="68" borderId="0" applyNumberFormat="0" applyBorder="0" applyAlignment="0" applyProtection="0"/>
    <xf numFmtId="0" fontId="121" fillId="72"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167" fontId="11" fillId="0" borderId="0" applyFont="0" applyFill="0" applyBorder="0" applyAlignment="0" applyProtection="0"/>
    <xf numFmtId="0" fontId="11" fillId="0" borderId="0"/>
    <xf numFmtId="0" fontId="13" fillId="0" borderId="0">
      <alignment vertical="top"/>
    </xf>
    <xf numFmtId="0" fontId="11" fillId="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27"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10"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7"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79" fillId="0" borderId="39" applyNumberFormat="0" applyFill="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80" fillId="0" borderId="40" applyNumberFormat="0" applyFill="0" applyAlignment="0" applyProtection="0"/>
    <xf numFmtId="0" fontId="11" fillId="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0" borderId="0"/>
    <xf numFmtId="0" fontId="11" fillId="27" borderId="0" applyNumberFormat="0" applyBorder="0" applyAlignment="0" applyProtection="0"/>
    <xf numFmtId="0" fontId="11" fillId="10" borderId="0" applyNumberFormat="0" applyBorder="0" applyAlignment="0" applyProtection="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24"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0" borderId="0"/>
    <xf numFmtId="0" fontId="11" fillId="0" borderId="0"/>
    <xf numFmtId="0" fontId="11" fillId="10"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8" borderId="0" applyNumberFormat="0" applyBorder="0" applyAlignment="0" applyProtection="0"/>
    <xf numFmtId="9" fontId="11" fillId="0" borderId="0" applyFont="0" applyFill="0" applyBorder="0" applyAlignment="0" applyProtection="0"/>
    <xf numFmtId="0" fontId="112" fillId="58" borderId="0" applyNumberFormat="0" applyBorder="0" applyAlignment="0" applyProtection="0"/>
    <xf numFmtId="0" fontId="11" fillId="27"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167" fontId="11" fillId="0" borderId="0" applyFont="0" applyFill="0" applyBorder="0" applyAlignment="0" applyProtection="0"/>
    <xf numFmtId="0" fontId="11" fillId="0" borderId="0"/>
    <xf numFmtId="0" fontId="11" fillId="0" borderId="0"/>
    <xf numFmtId="0" fontId="156" fillId="0" borderId="0"/>
    <xf numFmtId="3" fontId="156" fillId="0" borderId="0" applyFont="0" applyFill="0" applyBorder="0" applyAlignment="0" applyProtection="0"/>
    <xf numFmtId="202" fontId="156" fillId="0" borderId="0" applyFont="0" applyFill="0" applyBorder="0" applyAlignment="0" applyProtection="0"/>
    <xf numFmtId="0" fontId="156" fillId="0" borderId="0" applyFont="0" applyFill="0" applyBorder="0" applyAlignment="0" applyProtection="0"/>
    <xf numFmtId="2" fontId="156" fillId="0" borderId="0" applyFon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10" fontId="156" fillId="0" borderId="0" applyFont="0" applyFill="0" applyBorder="0" applyAlignment="0" applyProtection="0"/>
    <xf numFmtId="0" fontId="156" fillId="0" borderId="55" applyNumberFormat="0" applyFont="0" applyFill="0" applyAlignment="0" applyProtection="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0" borderId="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10"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0" fontId="11" fillId="0" borderId="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167" fontId="11" fillId="0" borderId="0" applyFont="0" applyFill="0" applyBorder="0" applyAlignment="0" applyProtection="0"/>
    <xf numFmtId="0" fontId="11" fillId="0" borderId="0"/>
    <xf numFmtId="0" fontId="11" fillId="0" borderId="0"/>
    <xf numFmtId="0" fontId="156" fillId="0" borderId="0"/>
    <xf numFmtId="0" fontId="157" fillId="0" borderId="0" applyNumberFormat="0" applyFill="0" applyBorder="0" applyAlignment="0" applyProtection="0"/>
    <xf numFmtId="0" fontId="158" fillId="0" borderId="0" applyNumberFormat="0" applyFill="0" applyBorder="0" applyAlignment="0" applyProtection="0"/>
    <xf numFmtId="0" fontId="11" fillId="27" borderId="0" applyNumberFormat="0" applyBorder="0" applyAlignment="0" applyProtection="0"/>
    <xf numFmtId="0" fontId="11" fillId="4" borderId="0" applyNumberFormat="0" applyBorder="0" applyAlignment="0" applyProtection="0"/>
    <xf numFmtId="0" fontId="121" fillId="6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46"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0" borderId="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09" fillId="0" borderId="44" applyNumberFormat="0" applyFill="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2"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21" fillId="61" borderId="0" applyNumberFormat="0" applyBorder="0" applyAlignment="0" applyProtection="0"/>
    <xf numFmtId="0" fontId="11" fillId="27" borderId="0" applyNumberFormat="0" applyBorder="0" applyAlignment="0" applyProtection="0"/>
    <xf numFmtId="0" fontId="121" fillId="67" borderId="0" applyNumberFormat="0" applyBorder="0" applyAlignment="0" applyProtection="0"/>
    <xf numFmtId="0" fontId="11" fillId="0" borderId="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6" fillId="0" borderId="46" applyNumberFormat="0" applyFill="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50"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4" fillId="33" borderId="45" applyNumberFormat="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21" fillId="65"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7" borderId="0" applyNumberFormat="0" applyBorder="0" applyAlignment="0" applyProtection="0"/>
    <xf numFmtId="0" fontId="121" fillId="71" borderId="0" applyNumberFormat="0" applyBorder="0" applyAlignment="0" applyProtection="0"/>
    <xf numFmtId="0" fontId="11" fillId="47" borderId="0" applyNumberFormat="0" applyBorder="0" applyAlignment="0" applyProtection="0"/>
    <xf numFmtId="0" fontId="111" fillId="31"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80" fillId="0" borderId="0" applyNumberFormat="0" applyFill="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21" fillId="62"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45"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23" fillId="0" borderId="0" applyNumberFormat="0" applyFill="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51"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0" borderId="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20" fillId="0" borderId="48" applyNumberFormat="0" applyFill="0" applyAlignment="0" applyProtection="0"/>
    <xf numFmtId="0" fontId="11" fillId="10" borderId="0" applyNumberFormat="0" applyBorder="0" applyAlignment="0" applyProtection="0"/>
    <xf numFmtId="0" fontId="121" fillId="66" borderId="0" applyNumberFormat="0" applyBorder="0" applyAlignment="0" applyProtection="0"/>
    <xf numFmtId="0" fontId="15" fillId="0" borderId="0"/>
    <xf numFmtId="0" fontId="11" fillId="0" borderId="0"/>
    <xf numFmtId="0" fontId="11" fillId="0" borderId="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5" fillId="33" borderId="38" applyNumberFormat="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21" fillId="72"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49"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3" fillId="59" borderId="38" applyNumberFormat="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5"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21" fillId="6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0" borderId="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9" fontId="11" fillId="0" borderId="0" applyFont="0" applyFill="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 borderId="0" applyNumberFormat="0" applyBorder="0" applyAlignment="0" applyProtection="0"/>
    <xf numFmtId="0" fontId="121" fillId="70" borderId="0" applyNumberFormat="0" applyBorder="0" applyAlignment="0" applyProtection="0"/>
    <xf numFmtId="0" fontId="121" fillId="63" borderId="0" applyNumberFormat="0" applyBorder="0" applyAlignment="0" applyProtection="0"/>
    <xf numFmtId="0" fontId="110" fillId="5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167" fontId="11"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0" fontId="156" fillId="0" borderId="0" applyFont="0" applyFill="0" applyBorder="0" applyAlignment="0" applyProtection="0"/>
    <xf numFmtId="3" fontId="156" fillId="0" borderId="0" applyFont="0" applyFill="0" applyBorder="0" applyAlignment="0" applyProtection="0"/>
    <xf numFmtId="0" fontId="156"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7" fontId="11" fillId="0" borderId="0" applyFont="0" applyFill="0" applyBorder="0" applyAlignment="0" applyProtection="0"/>
    <xf numFmtId="0" fontId="15" fillId="0" borderId="0"/>
    <xf numFmtId="165" fontId="15" fillId="0" borderId="0" applyFont="0" applyFill="0" applyBorder="0" applyAlignment="0" applyProtection="0"/>
    <xf numFmtId="9" fontId="15" fillId="0" borderId="0" applyFont="0" applyFill="0" applyBorder="0" applyAlignment="0" applyProtection="0"/>
    <xf numFmtId="0" fontId="15" fillId="0" borderId="0"/>
    <xf numFmtId="201" fontId="15" fillId="0" borderId="0"/>
    <xf numFmtId="201" fontId="15" fillId="0" borderId="0"/>
    <xf numFmtId="201" fontId="15" fillId="0" borderId="0"/>
    <xf numFmtId="201" fontId="15" fillId="0" borderId="0"/>
    <xf numFmtId="201" fontId="15" fillId="0" borderId="0"/>
    <xf numFmtId="181" fontId="15" fillId="0" borderId="0" applyFont="0" applyFill="0" applyBorder="0" applyAlignment="0" applyProtection="0"/>
    <xf numFmtId="198" fontId="15"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98"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0" fontId="15" fillId="0" borderId="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181" fontId="15" fillId="0" borderId="0" applyFont="0" applyFill="0" applyBorder="0" applyAlignment="0" applyProtection="0"/>
    <xf numFmtId="0" fontId="11" fillId="0" borderId="0"/>
    <xf numFmtId="0" fontId="11" fillId="44" borderId="41"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7" fontId="11" fillId="0" borderId="0" applyFont="0" applyFill="0" applyBorder="0" applyAlignment="0" applyProtection="0"/>
    <xf numFmtId="9" fontId="11"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5" fillId="44" borderId="41" applyNumberFormat="0" applyFont="0" applyAlignment="0" applyProtection="0"/>
    <xf numFmtId="0" fontId="11" fillId="0" borderId="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1"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1"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72" fontId="39"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0" fontId="15" fillId="0" borderId="0"/>
    <xf numFmtId="0" fontId="11" fillId="0" borderId="0"/>
    <xf numFmtId="0" fontId="11" fillId="0" borderId="0"/>
    <xf numFmtId="0" fontId="11" fillId="0" borderId="0"/>
    <xf numFmtId="0" fontId="39" fillId="0" borderId="0"/>
    <xf numFmtId="0" fontId="39" fillId="27" borderId="11" applyNumberFormat="0" applyFont="0" applyAlignment="0" applyProtection="0"/>
    <xf numFmtId="0" fontId="39" fillId="27" borderId="11" applyNumberFormat="0" applyFont="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9" fontId="11" fillId="0" borderId="0" applyFont="0" applyFill="0" applyBorder="0" applyAlignment="0" applyProtection="0"/>
    <xf numFmtId="9" fontId="15" fillId="0" borderId="0" applyFont="0" applyFill="0" applyBorder="0" applyAlignment="0" applyProtection="0"/>
    <xf numFmtId="9" fontId="39" fillId="0" borderId="0" applyFont="0" applyFill="0" applyBorder="0" applyAlignment="0" applyProtection="0"/>
    <xf numFmtId="9" fontId="1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11" fillId="0" borderId="0"/>
    <xf numFmtId="49" fontId="42" fillId="0" borderId="2" applyNumberFormat="0" applyFont="0" applyFill="0" applyBorder="0" applyProtection="0">
      <alignment horizontal="left" vertical="center" indent="5"/>
    </xf>
    <xf numFmtId="0" fontId="11" fillId="0" borderId="0"/>
    <xf numFmtId="0" fontId="11" fillId="0" borderId="0"/>
    <xf numFmtId="0" fontId="11" fillId="0" borderId="0"/>
    <xf numFmtId="0" fontId="29" fillId="22" borderId="59" applyNumberFormat="0" applyAlignment="0" applyProtection="0"/>
    <xf numFmtId="0" fontId="39" fillId="27" borderId="58" applyNumberFormat="0" applyFont="0" applyAlignment="0" applyProtection="0"/>
    <xf numFmtId="0" fontId="39" fillId="27" borderId="58" applyNumberFormat="0" applyFont="0" applyAlignment="0" applyProtection="0"/>
    <xf numFmtId="0" fontId="39" fillId="27" borderId="58" applyNumberFormat="0" applyFont="0" applyAlignment="0" applyProtection="0"/>
    <xf numFmtId="0" fontId="39" fillId="27" borderId="58" applyNumberFormat="0" applyFont="0" applyAlignment="0" applyProtection="0"/>
    <xf numFmtId="0" fontId="15" fillId="27" borderId="58" applyNumberFormat="0" applyFont="0" applyAlignment="0" applyProtection="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08" fillId="0" borderId="0"/>
    <xf numFmtId="49" fontId="42" fillId="0" borderId="2" applyNumberFormat="0" applyFont="0" applyFill="0" applyBorder="0" applyProtection="0">
      <alignment horizontal="left" vertical="center" indent="5"/>
    </xf>
    <xf numFmtId="0" fontId="19" fillId="22" borderId="57" applyNumberFormat="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1"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0" fontId="42" fillId="0" borderId="56">
      <alignment horizontal="left" vertical="center" wrapText="1" indent="2"/>
    </xf>
    <xf numFmtId="0" fontId="26" fillId="8" borderId="57" applyNumberFormat="0" applyAlignment="0" applyProtection="0"/>
    <xf numFmtId="0" fontId="26" fillId="8" borderId="57" applyNumberFormat="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0" fontId="11" fillId="0" borderId="0"/>
    <xf numFmtId="0" fontId="11" fillId="0" borderId="0"/>
    <xf numFmtId="0" fontId="46" fillId="0" borderId="0"/>
    <xf numFmtId="4" fontId="42" fillId="0" borderId="3" applyFill="0" applyBorder="0" applyProtection="0">
      <alignment horizontal="right" vertical="center"/>
    </xf>
    <xf numFmtId="0" fontId="42" fillId="0" borderId="3" applyNumberFormat="0" applyFill="0" applyAlignment="0" applyProtection="0"/>
    <xf numFmtId="0" fontId="15" fillId="27" borderId="58" applyNumberFormat="0" applyFont="0" applyAlignment="0" applyProtection="0"/>
    <xf numFmtId="0" fontId="15" fillId="27" borderId="58" applyNumberFormat="0" applyFont="0" applyAlignment="0" applyProtection="0"/>
    <xf numFmtId="0" fontId="39" fillId="27" borderId="58" applyNumberFormat="0" applyFont="0" applyAlignment="0" applyProtection="0"/>
    <xf numFmtId="0" fontId="39" fillId="27" borderId="58" applyNumberFormat="0" applyFont="0" applyAlignment="0" applyProtection="0"/>
    <xf numFmtId="0" fontId="29" fillId="22" borderId="59" applyNumberFormat="0" applyAlignment="0" applyProtection="0"/>
    <xf numFmtId="0" fontId="29" fillId="22" borderId="59" applyNumberFormat="0" applyAlignment="0" applyProtection="0"/>
    <xf numFmtId="175" fontId="42" fillId="28" borderId="3" applyNumberFormat="0" applyFont="0" applyBorder="0" applyAlignment="0" applyProtection="0">
      <alignment horizontal="right" vertical="center"/>
    </xf>
    <xf numFmtId="9" fontId="11" fillId="0" borderId="0" applyFont="0" applyFill="0" applyBorder="0" applyAlignment="0" applyProtection="0"/>
    <xf numFmtId="9" fontId="46" fillId="0" borderId="0" applyFont="0" applyFill="0" applyBorder="0" applyAlignment="0" applyProtection="0"/>
    <xf numFmtId="0" fontId="31" fillId="0" borderId="60" applyNumberFormat="0" applyFill="0" applyAlignment="0" applyProtection="0"/>
    <xf numFmtId="181" fontId="15" fillId="0" borderId="0" applyFont="0" applyFill="0" applyBorder="0" applyAlignment="0" applyProtection="0"/>
    <xf numFmtId="181" fontId="15" fillId="0" borderId="0" applyFont="0" applyFill="0" applyBorder="0" applyAlignment="0" applyProtection="0"/>
    <xf numFmtId="0" fontId="11" fillId="0" borderId="0"/>
    <xf numFmtId="0" fontId="11" fillId="44" borderId="41"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4" fillId="22" borderId="57" applyNumberFormat="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165" fontId="1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5" fillId="27" borderId="58" applyNumberFormat="0" applyFont="0" applyAlignment="0" applyProtection="0"/>
    <xf numFmtId="0" fontId="15" fillId="27" borderId="58" applyNumberFormat="0" applyFont="0" applyAlignment="0" applyProtection="0"/>
    <xf numFmtId="9" fontId="11" fillId="0" borderId="0" applyFont="0" applyFill="0" applyBorder="0" applyAlignment="0" applyProtection="0"/>
    <xf numFmtId="0" fontId="15" fillId="44" borderId="41" applyNumberFormat="0" applyFont="0" applyAlignment="0" applyProtection="0"/>
    <xf numFmtId="0" fontId="11" fillId="0" borderId="0"/>
    <xf numFmtId="0" fontId="11" fillId="48" borderId="0" applyNumberFormat="0" applyBorder="0" applyAlignment="0" applyProtection="0"/>
    <xf numFmtId="0" fontId="11" fillId="53" borderId="0" applyNumberFormat="0" applyBorder="0" applyAlignment="0" applyProtection="0"/>
    <xf numFmtId="165" fontId="1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49" fontId="42" fillId="0" borderId="3" applyNumberFormat="0" applyFont="0" applyFill="0" applyBorder="0" applyProtection="0">
      <alignment horizontal="left" vertical="center" indent="2"/>
    </xf>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9" fontId="44" fillId="0" borderId="3" applyNumberFormat="0" applyFill="0" applyBorder="0" applyProtection="0">
      <alignment horizontal="left" vertical="center"/>
    </xf>
    <xf numFmtId="0" fontId="120" fillId="0" borderId="61" applyNumberFormat="0" applyFill="0" applyAlignment="0" applyProtection="0"/>
    <xf numFmtId="0" fontId="120" fillId="0" borderId="61" applyNumberFormat="0" applyFill="0" applyAlignment="0" applyProtection="0"/>
    <xf numFmtId="0" fontId="120" fillId="0" borderId="61" applyNumberFormat="0" applyFill="0" applyAlignment="0" applyProtection="0"/>
    <xf numFmtId="0" fontId="120" fillId="0" borderId="61" applyNumberFormat="0" applyFill="0" applyAlignment="0" applyProtection="0"/>
    <xf numFmtId="0" fontId="120" fillId="0" borderId="61" applyNumberFormat="0" applyFill="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167" fontId="11" fillId="0" borderId="0" applyFont="0" applyFill="0" applyBorder="0" applyAlignment="0" applyProtection="0"/>
    <xf numFmtId="0" fontId="11" fillId="0" borderId="0"/>
    <xf numFmtId="0" fontId="11" fillId="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27"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10"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7"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0" borderId="0"/>
    <xf numFmtId="0" fontId="11" fillId="27" borderId="0" applyNumberFormat="0" applyBorder="0" applyAlignment="0" applyProtection="0"/>
    <xf numFmtId="0" fontId="11" fillId="10" borderId="0" applyNumberFormat="0" applyBorder="0" applyAlignment="0" applyProtection="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24"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0" borderId="0"/>
    <xf numFmtId="0" fontId="11" fillId="0" borderId="0"/>
    <xf numFmtId="0" fontId="11" fillId="10"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8" borderId="0" applyNumberFormat="0" applyBorder="0" applyAlignment="0" applyProtection="0"/>
    <xf numFmtId="9" fontId="11" fillId="0" borderId="0" applyFont="0" applyFill="0" applyBorder="0" applyAlignment="0" applyProtection="0"/>
    <xf numFmtId="0" fontId="11" fillId="27"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167" fontId="11" fillId="0" borderId="0" applyFont="0" applyFill="0" applyBorder="0" applyAlignment="0" applyProtection="0"/>
    <xf numFmtId="0" fontId="11" fillId="0" borderId="0"/>
    <xf numFmtId="0" fontId="11" fillId="0" borderId="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0" borderId="0"/>
    <xf numFmtId="0" fontId="11" fillId="0" borderId="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10"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0" fontId="11" fillId="0" borderId="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6"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0" borderId="0"/>
    <xf numFmtId="167" fontId="11" fillId="0" borderId="0" applyFont="0" applyFill="0" applyBorder="0" applyAlignment="0" applyProtection="0"/>
    <xf numFmtId="0" fontId="11" fillId="0" borderId="0"/>
    <xf numFmtId="0" fontId="11" fillId="0" borderId="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46"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0" borderId="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2"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27" borderId="0" applyNumberFormat="0" applyBorder="0" applyAlignment="0" applyProtection="0"/>
    <xf numFmtId="0" fontId="11" fillId="0" borderId="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50"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44" borderId="41" applyNumberFormat="0" applyFont="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45"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51"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0" borderId="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10" borderId="0" applyNumberFormat="0" applyBorder="0" applyAlignment="0" applyProtection="0"/>
    <xf numFmtId="0" fontId="11" fillId="0" borderId="0"/>
    <xf numFmtId="0" fontId="11" fillId="0" borderId="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9" borderId="0" applyNumberFormat="0" applyBorder="0" applyAlignment="0" applyProtection="0"/>
    <xf numFmtId="0" fontId="11" fillId="44" borderId="41" applyNumberFormat="0" applyFont="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49"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 borderId="0" applyNumberFormat="0" applyBorder="0" applyAlignment="0" applyProtection="0"/>
    <xf numFmtId="0" fontId="11" fillId="55"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 borderId="0" applyNumberFormat="0" applyBorder="0" applyAlignment="0" applyProtection="0"/>
    <xf numFmtId="0" fontId="11" fillId="7" borderId="0" applyNumberFormat="0" applyBorder="0" applyAlignment="0" applyProtection="0"/>
    <xf numFmtId="0" fontId="11" fillId="0" borderId="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0" borderId="0"/>
    <xf numFmtId="0" fontId="11" fillId="27" borderId="0" applyNumberFormat="0" applyBorder="0" applyAlignment="0" applyProtection="0"/>
    <xf numFmtId="0" fontId="11" fillId="4"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9" fontId="11" fillId="0" borderId="0" applyFont="0" applyFill="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0" fontId="11" fillId="44" borderId="41" applyNumberFormat="0" applyFont="0" applyAlignment="0" applyProtection="0"/>
    <xf numFmtId="167"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7" fontId="11" fillId="0" borderId="0" applyFont="0" applyFill="0" applyBorder="0" applyAlignment="0" applyProtection="0"/>
    <xf numFmtId="165" fontId="15" fillId="0" borderId="0" applyFont="0" applyFill="0" applyBorder="0" applyAlignment="0" applyProtection="0"/>
    <xf numFmtId="181"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0" borderId="0"/>
    <xf numFmtId="0" fontId="11" fillId="44" borderId="41"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7" fontId="11" fillId="0" borderId="0" applyFont="0" applyFill="0" applyBorder="0" applyAlignment="0" applyProtection="0"/>
    <xf numFmtId="9" fontId="11"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31" fillId="0" borderId="60" applyNumberFormat="0" applyFill="0" applyAlignment="0" applyProtection="0"/>
    <xf numFmtId="0" fontId="11" fillId="0" borderId="0"/>
    <xf numFmtId="0" fontId="11" fillId="0" borderId="0"/>
    <xf numFmtId="0" fontId="11" fillId="0" borderId="0"/>
    <xf numFmtId="0" fontId="39" fillId="27" borderId="58" applyNumberFormat="0" applyFont="0" applyAlignment="0" applyProtection="0"/>
    <xf numFmtId="0" fontId="39" fillId="27" borderId="58" applyNumberFormat="0" applyFont="0" applyAlignment="0" applyProtection="0"/>
    <xf numFmtId="9"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6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4" fontId="42" fillId="0" borderId="3" applyFill="0" applyBorder="0" applyProtection="0">
      <alignment horizontal="right" vertical="center"/>
    </xf>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81"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1" fillId="0" borderId="0" applyFont="0" applyFill="0" applyBorder="0" applyAlignment="0" applyProtection="0"/>
    <xf numFmtId="179" fontId="70" fillId="35" borderId="0" applyNumberFormat="0" applyBorder="0" applyAlignment="0" applyProtection="0">
      <alignment horizontal="center" vertical="top" wrapText="1"/>
    </xf>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0" fontId="41" fillId="0" borderId="0"/>
    <xf numFmtId="0" fontId="46" fillId="0" borderId="0" applyFill="0" applyBorder="0"/>
    <xf numFmtId="0" fontId="41" fillId="0" borderId="0"/>
    <xf numFmtId="0" fontId="11" fillId="0" borderId="0"/>
    <xf numFmtId="0" fontId="11" fillId="0" borderId="0"/>
    <xf numFmtId="0" fontId="15" fillId="0" borderId="0"/>
    <xf numFmtId="0" fontId="11" fillId="0" borderId="0"/>
    <xf numFmtId="0" fontId="15" fillId="0" borderId="0"/>
    <xf numFmtId="0" fontId="39" fillId="0" borderId="0"/>
    <xf numFmtId="0" fontId="11" fillId="0" borderId="0"/>
    <xf numFmtId="179" fontId="33" fillId="30" borderId="0" applyNumberFormat="0" applyBorder="0" applyAlignment="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39"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39" fillId="27" borderId="58" applyNumberFormat="0" applyFont="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0" fontId="29" fillId="22" borderId="59" applyNumberFormat="0" applyAlignment="0" applyProtection="0"/>
    <xf numFmtId="0" fontId="29" fillId="22" borderId="59" applyNumberFormat="0" applyAlignment="0" applyProtection="0"/>
    <xf numFmtId="0" fontId="69" fillId="34" borderId="0" applyNumberFormat="0" applyAlignment="0" applyProtection="0"/>
    <xf numFmtId="0" fontId="164" fillId="39" borderId="0" applyNumberFormat="0" applyAlignment="0" applyProtection="0"/>
    <xf numFmtId="0" fontId="165" fillId="86" borderId="0" applyNumberFormat="0" applyAlignment="0" applyProtection="0"/>
    <xf numFmtId="179" fontId="163" fillId="2" borderId="0" applyNumberFormat="0" applyFill="0" applyBorder="0" applyAlignment="0">
      <alignment horizont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42" fillId="0" borderId="7">
      <alignment horizontal="left" vertical="center" wrapText="1" indent="2"/>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1" fillId="0" borderId="0" applyFont="0" applyFill="0" applyBorder="0" applyAlignment="0" applyProtection="0"/>
    <xf numFmtId="0" fontId="31" fillId="0" borderId="60" applyNumberFormat="0" applyFill="0" applyAlignment="0" applyProtection="0"/>
    <xf numFmtId="0" fontId="11" fillId="0" borderId="0"/>
    <xf numFmtId="167" fontId="11" fillId="0" borderId="0" applyFont="0" applyFill="0" applyBorder="0" applyAlignment="0" applyProtection="0"/>
    <xf numFmtId="0" fontId="67" fillId="31" borderId="0" applyNumberFormat="0" applyBorder="0" applyAlignment="0" applyProtection="0"/>
    <xf numFmtId="0" fontId="115" fillId="33" borderId="38" applyNumberFormat="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72" fillId="0" borderId="0"/>
    <xf numFmtId="0" fontId="72" fillId="0" borderId="0"/>
    <xf numFmtId="0" fontId="72" fillId="0" borderId="0"/>
    <xf numFmtId="181" fontId="15" fillId="0" borderId="0"/>
    <xf numFmtId="3" fontId="15" fillId="30" borderId="38" applyFont="0" applyFill="0" applyBorder="0" applyAlignment="0" applyProtection="0"/>
    <xf numFmtId="0" fontId="15" fillId="0" borderId="0" applyNumberFormat="0" applyFont="0" applyFill="0" applyBorder="0" applyProtection="0">
      <alignment horizontal="left" vertical="center" indent="5"/>
    </xf>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3"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81"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67" fontId="1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0" borderId="0"/>
    <xf numFmtId="0" fontId="11" fillId="0" borderId="0"/>
    <xf numFmtId="0" fontId="11" fillId="0" borderId="0"/>
    <xf numFmtId="0" fontId="15" fillId="0" borderId="0"/>
    <xf numFmtId="0" fontId="11" fillId="0" borderId="0"/>
    <xf numFmtId="0" fontId="15" fillId="0" borderId="0"/>
    <xf numFmtId="0" fontId="11" fillId="0" borderId="0"/>
    <xf numFmtId="0" fontId="15" fillId="25" borderId="0" applyNumberFormat="0" applyFont="0" applyBorder="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1" fillId="0" borderId="0" applyFont="0" applyFill="0" applyBorder="0" applyAlignment="0" applyProtection="0"/>
    <xf numFmtId="0" fontId="11" fillId="0" borderId="0"/>
    <xf numFmtId="167" fontId="11" fillId="0" borderId="0" applyFont="0" applyFill="0" applyBorder="0" applyAlignment="0" applyProtection="0"/>
    <xf numFmtId="167" fontId="39" fillId="0" borderId="0" applyFont="0" applyFill="0" applyBorder="0" applyAlignment="0" applyProtection="0"/>
    <xf numFmtId="167" fontId="39"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39" fillId="0" borderId="0" applyFont="0" applyFill="0" applyBorder="0" applyAlignment="0" applyProtection="0"/>
    <xf numFmtId="167" fontId="90" fillId="0" borderId="0" applyFont="0" applyFill="0" applyBorder="0" applyAlignment="0" applyProtection="0"/>
    <xf numFmtId="167" fontId="15"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167"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1" fillId="0" borderId="0" applyFont="0" applyFill="0" applyBorder="0" applyAlignment="0" applyProtection="0"/>
    <xf numFmtId="167" fontId="15" fillId="0" borderId="0" applyFon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167" fontId="11" fillId="0" borderId="0" applyFont="0" applyFill="0" applyBorder="0" applyAlignment="0" applyProtection="0"/>
    <xf numFmtId="0" fontId="11" fillId="0" borderId="0"/>
    <xf numFmtId="9"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7" fontId="11" fillId="0" borderId="0" applyFont="0" applyFill="0" applyBorder="0" applyAlignment="0" applyProtection="0"/>
    <xf numFmtId="0" fontId="72" fillId="0" borderId="0"/>
    <xf numFmtId="0" fontId="67" fillId="31" borderId="0" applyNumberFormat="0" applyBorder="0" applyAlignment="0" applyProtection="0"/>
    <xf numFmtId="0" fontId="11" fillId="0" borderId="0"/>
    <xf numFmtId="0" fontId="11" fillId="0" borderId="0"/>
    <xf numFmtId="0" fontId="11" fillId="0" borderId="0"/>
    <xf numFmtId="0" fontId="11" fillId="0" borderId="0"/>
    <xf numFmtId="0" fontId="72" fillId="0" borderId="0"/>
    <xf numFmtId="0" fontId="72" fillId="0" borderId="0"/>
    <xf numFmtId="0" fontId="11" fillId="0" borderId="0"/>
    <xf numFmtId="0" fontId="11" fillId="0" borderId="0"/>
    <xf numFmtId="0" fontId="11" fillId="0" borderId="0"/>
    <xf numFmtId="0" fontId="11" fillId="0" borderId="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0" fontId="15" fillId="27" borderId="58" applyNumberFormat="0" applyFont="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0"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1"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9" fontId="1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9" fillId="22" borderId="57" applyNumberFormat="0" applyAlignment="0" applyProtection="0"/>
    <xf numFmtId="0" fontId="19" fillId="22" borderId="57" applyNumberFormat="0" applyAlignment="0" applyProtection="0"/>
    <xf numFmtId="165" fontId="16"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26" fillId="8"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5" fillId="27" borderId="58" applyNumberFormat="0" applyFont="0" applyAlignment="0" applyProtection="0"/>
    <xf numFmtId="0" fontId="15" fillId="27" borderId="58" applyNumberFormat="0" applyFont="0" applyAlignment="0" applyProtection="0"/>
    <xf numFmtId="0" fontId="29" fillId="22" borderId="59"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31" fillId="0" borderId="60" applyNumberFormat="0" applyFill="0" applyAlignment="0" applyProtection="0"/>
    <xf numFmtId="0" fontId="31" fillId="0" borderId="60" applyNumberFormat="0" applyFill="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0" fillId="0" borderId="0" applyFont="0" applyFill="0" applyBorder="0" applyAlignment="0" applyProtection="0"/>
    <xf numFmtId="165" fontId="1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44" borderId="41"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9" fontId="10" fillId="0" borderId="0" applyFont="0" applyFill="0" applyBorder="0" applyAlignment="0" applyProtection="0"/>
    <xf numFmtId="165"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48" borderId="0" applyNumberFormat="0" applyBorder="0" applyAlignment="0" applyProtection="0"/>
    <xf numFmtId="0" fontId="10" fillId="53" borderId="0" applyNumberFormat="0" applyBorder="0" applyAlignment="0" applyProtection="0"/>
    <xf numFmtId="165" fontId="15"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0" fillId="0" borderId="61" applyNumberFormat="0" applyFill="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167" fontId="10" fillId="0" borderId="0" applyFont="0" applyFill="0" applyBorder="0" applyAlignment="0" applyProtection="0"/>
    <xf numFmtId="0" fontId="10" fillId="0" borderId="0"/>
    <xf numFmtId="0" fontId="10" fillId="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27"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10"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7"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0" borderId="0"/>
    <xf numFmtId="0" fontId="10" fillId="27" borderId="0" applyNumberFormat="0" applyBorder="0" applyAlignment="0" applyProtection="0"/>
    <xf numFmtId="0" fontId="10" fillId="10" borderId="0" applyNumberFormat="0" applyBorder="0" applyAlignment="0" applyProtection="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24"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0" borderId="0"/>
    <xf numFmtId="0" fontId="10" fillId="0" borderId="0"/>
    <xf numFmtId="0" fontId="10" fillId="10"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8" borderId="0" applyNumberFormat="0" applyBorder="0" applyAlignment="0" applyProtection="0"/>
    <xf numFmtId="9" fontId="10" fillId="0" borderId="0" applyFont="0" applyFill="0" applyBorder="0" applyAlignment="0" applyProtection="0"/>
    <xf numFmtId="0" fontId="10" fillId="27"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167" fontId="10" fillId="0" borderId="0" applyFont="0" applyFill="0" applyBorder="0" applyAlignment="0" applyProtection="0"/>
    <xf numFmtId="0" fontId="10" fillId="0" borderId="0"/>
    <xf numFmtId="0" fontId="10" fillId="0" borderId="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0" borderId="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10"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0" fontId="10" fillId="0" borderId="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167" fontId="10" fillId="0" borderId="0" applyFont="0" applyFill="0" applyBorder="0" applyAlignment="0" applyProtection="0"/>
    <xf numFmtId="0" fontId="10" fillId="0" borderId="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46"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2"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0" borderId="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50"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45"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51"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0" borderId="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10" borderId="0" applyNumberFormat="0" applyBorder="0" applyAlignment="0" applyProtection="0"/>
    <xf numFmtId="0" fontId="10" fillId="0" borderId="0"/>
    <xf numFmtId="0" fontId="10" fillId="0" borderId="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49"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5"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9" fontId="10" fillId="0" borderId="0" applyFont="0" applyFill="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167" fontId="10"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167"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0" borderId="0"/>
    <xf numFmtId="0" fontId="10" fillId="44" borderId="41"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9"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39" fillId="27" borderId="58" applyNumberFormat="0" applyFont="0" applyAlignment="0" applyProtection="0"/>
    <xf numFmtId="0" fontId="39" fillId="27" borderId="58" applyNumberFormat="0" applyFont="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0" fillId="0" borderId="0" applyFont="0" applyFill="0" applyBorder="0" applyAlignment="0" applyProtection="0"/>
    <xf numFmtId="165" fontId="1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0" fontId="10" fillId="0" borderId="0"/>
    <xf numFmtId="0" fontId="10" fillId="44" borderId="41"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9" fontId="10" fillId="0" borderId="0" applyFont="0" applyFill="0" applyBorder="0" applyAlignment="0" applyProtection="0"/>
    <xf numFmtId="165"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48" borderId="0" applyNumberFormat="0" applyBorder="0" applyAlignment="0" applyProtection="0"/>
    <xf numFmtId="0" fontId="10" fillId="53" borderId="0" applyNumberFormat="0" applyBorder="0" applyAlignment="0" applyProtection="0"/>
    <xf numFmtId="165" fontId="15"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167" fontId="10" fillId="0" borderId="0" applyFont="0" applyFill="0" applyBorder="0" applyAlignment="0" applyProtection="0"/>
    <xf numFmtId="0" fontId="10" fillId="0" borderId="0"/>
    <xf numFmtId="0" fontId="10" fillId="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27"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10"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7"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0" borderId="0"/>
    <xf numFmtId="0" fontId="10" fillId="27" borderId="0" applyNumberFormat="0" applyBorder="0" applyAlignment="0" applyProtection="0"/>
    <xf numFmtId="0" fontId="10" fillId="10" borderId="0" applyNumberFormat="0" applyBorder="0" applyAlignment="0" applyProtection="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24"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0" borderId="0"/>
    <xf numFmtId="0" fontId="10" fillId="0" borderId="0"/>
    <xf numFmtId="0" fontId="10" fillId="10"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8" borderId="0" applyNumberFormat="0" applyBorder="0" applyAlignment="0" applyProtection="0"/>
    <xf numFmtId="9" fontId="10" fillId="0" borderId="0" applyFont="0" applyFill="0" applyBorder="0" applyAlignment="0" applyProtection="0"/>
    <xf numFmtId="0" fontId="10" fillId="27"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167" fontId="10" fillId="0" borderId="0" applyFont="0" applyFill="0" applyBorder="0" applyAlignment="0" applyProtection="0"/>
    <xf numFmtId="0" fontId="10" fillId="0" borderId="0"/>
    <xf numFmtId="0" fontId="10" fillId="0" borderId="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0" borderId="0"/>
    <xf numFmtId="0" fontId="10" fillId="0" borderId="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10"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0" fontId="10" fillId="0" borderId="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0" borderId="0"/>
    <xf numFmtId="167" fontId="10" fillId="0" borderId="0" applyFont="0" applyFill="0" applyBorder="0" applyAlignment="0" applyProtection="0"/>
    <xf numFmtId="0" fontId="10" fillId="0" borderId="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46"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2"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0" borderId="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50"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44" borderId="41" applyNumberFormat="0" applyFont="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45"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51"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0" borderId="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10" borderId="0" applyNumberFormat="0" applyBorder="0" applyAlignment="0" applyProtection="0"/>
    <xf numFmtId="0" fontId="10" fillId="0" borderId="0"/>
    <xf numFmtId="0" fontId="10" fillId="0" borderId="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9" borderId="0" applyNumberFormat="0" applyBorder="0" applyAlignment="0" applyProtection="0"/>
    <xf numFmtId="0" fontId="10" fillId="44" borderId="41" applyNumberFormat="0" applyFont="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49"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 borderId="0" applyNumberFormat="0" applyBorder="0" applyAlignment="0" applyProtection="0"/>
    <xf numFmtId="0" fontId="10" fillId="55"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0" borderId="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0" borderId="0"/>
    <xf numFmtId="0" fontId="10" fillId="27" borderId="0" applyNumberFormat="0" applyBorder="0" applyAlignment="0" applyProtection="0"/>
    <xf numFmtId="0" fontId="10" fillId="4"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9" fontId="10" fillId="0" borderId="0" applyFont="0" applyFill="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0" fontId="10" fillId="44" borderId="41" applyNumberFormat="0" applyFont="0" applyAlignment="0" applyProtection="0"/>
    <xf numFmtId="167" fontId="10"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167"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0" borderId="0"/>
    <xf numFmtId="0" fontId="10" fillId="44" borderId="41"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9"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0"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7" fontId="10"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7" fontId="10"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6" fillId="0" borderId="0" applyFont="0" applyFill="0" applyBorder="0" applyAlignment="0" applyProtection="0"/>
    <xf numFmtId="165" fontId="16"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9"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7" fontId="9"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7"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7"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7" fillId="0" borderId="0" applyFont="0" applyFill="0" applyBorder="0" applyAlignment="0" applyProtection="0"/>
    <xf numFmtId="165" fontId="1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1"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7"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6" fillId="0" borderId="0" applyFont="0" applyFill="0" applyBorder="0" applyAlignment="0" applyProtection="0"/>
    <xf numFmtId="0" fontId="126" fillId="0" borderId="0" applyNumberFormat="0" applyFill="0" applyBorder="0" applyAlignment="0" applyProtection="0">
      <alignment vertical="top"/>
      <protection locked="0"/>
    </xf>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5" fontId="5"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4" fontId="43"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166" fillId="0" borderId="0" applyNumberFormat="0" applyFill="0" applyBorder="0" applyAlignment="0" applyProtection="0"/>
    <xf numFmtId="9" fontId="167" fillId="0" borderId="0" applyFont="0" applyFill="0" applyBorder="0" applyAlignment="0" applyProtection="0"/>
    <xf numFmtId="0" fontId="4" fillId="0" borderId="0"/>
  </cellStyleXfs>
  <cellXfs count="556">
    <xf numFmtId="0" fontId="0" fillId="0" borderId="0" xfId="0"/>
    <xf numFmtId="0" fontId="0" fillId="0" borderId="0" xfId="0" applyAlignment="1">
      <alignment horizontal="left"/>
    </xf>
    <xf numFmtId="2" fontId="14" fillId="0" borderId="0" xfId="0" applyNumberFormat="1" applyFont="1" applyAlignment="1">
      <alignment horizontal="left"/>
    </xf>
    <xf numFmtId="0" fontId="0" fillId="0" borderId="0" xfId="0" applyFill="1"/>
    <xf numFmtId="0" fontId="0" fillId="0" borderId="16" xfId="0" applyBorder="1"/>
    <xf numFmtId="0" fontId="33" fillId="36" borderId="17" xfId="0" applyFont="1" applyFill="1" applyBorder="1" applyAlignment="1">
      <alignment horizontal="left" vertical="center" wrapText="1"/>
    </xf>
    <xf numFmtId="0" fontId="33" fillId="36" borderId="16" xfId="0" applyFont="1" applyFill="1" applyBorder="1" applyAlignment="1">
      <alignment horizontal="left" vertical="center" wrapText="1"/>
    </xf>
    <xf numFmtId="0" fontId="74" fillId="36" borderId="17" xfId="0" applyFont="1" applyFill="1" applyBorder="1" applyAlignment="1">
      <alignment horizontal="center" vertical="center" wrapText="1"/>
    </xf>
    <xf numFmtId="169" fontId="0" fillId="0" borderId="0" xfId="0" applyNumberFormat="1"/>
    <xf numFmtId="0" fontId="74" fillId="36" borderId="22" xfId="0" applyFont="1" applyFill="1" applyBorder="1" applyAlignment="1">
      <alignment horizontal="center" vertical="center" wrapText="1"/>
    </xf>
    <xf numFmtId="0" fontId="0" fillId="0" borderId="0" xfId="0" applyBorder="1"/>
    <xf numFmtId="182" fontId="33" fillId="36" borderId="17" xfId="0" applyNumberFormat="1" applyFont="1" applyFill="1" applyBorder="1" applyAlignment="1">
      <alignment horizontal="left" vertical="center" wrapText="1"/>
    </xf>
    <xf numFmtId="182" fontId="14" fillId="0" borderId="0" xfId="0" applyNumberFormat="1" applyFont="1"/>
    <xf numFmtId="182" fontId="0" fillId="0" borderId="0" xfId="0" applyNumberFormat="1"/>
    <xf numFmtId="182" fontId="34" fillId="29" borderId="15" xfId="0" quotePrefix="1" applyNumberFormat="1" applyFont="1" applyFill="1" applyBorder="1" applyAlignment="1">
      <alignment horizontal="left" vertical="top" wrapText="1"/>
    </xf>
    <xf numFmtId="0" fontId="39" fillId="0" borderId="0" xfId="0" applyFont="1"/>
    <xf numFmtId="0" fontId="34" fillId="0" borderId="0" xfId="0" applyFont="1" applyFill="1" applyBorder="1" applyAlignment="1">
      <alignment horizontal="left" vertical="top" wrapText="1"/>
    </xf>
    <xf numFmtId="0" fontId="39" fillId="37" borderId="23" xfId="0" applyFont="1" applyFill="1" applyBorder="1" applyAlignment="1">
      <alignment horizontal="right"/>
    </xf>
    <xf numFmtId="182" fontId="39" fillId="0" borderId="0" xfId="0" applyNumberFormat="1" applyFont="1"/>
    <xf numFmtId="0" fontId="45" fillId="0" borderId="0" xfId="868" applyFont="1"/>
    <xf numFmtId="182" fontId="45" fillId="0" borderId="0" xfId="868" applyNumberFormat="1" applyFont="1" applyFill="1" applyBorder="1"/>
    <xf numFmtId="0" fontId="39" fillId="0" borderId="0" xfId="868"/>
    <xf numFmtId="14" fontId="39" fillId="0" borderId="0" xfId="868" applyNumberFormat="1" applyFont="1" applyAlignment="1">
      <alignment horizontal="left"/>
    </xf>
    <xf numFmtId="182" fontId="39" fillId="0" borderId="0" xfId="868" applyNumberFormat="1" applyFont="1" applyFill="1" applyBorder="1" applyAlignment="1">
      <alignment horizontal="left"/>
    </xf>
    <xf numFmtId="0" fontId="39" fillId="0" borderId="0" xfId="868" applyFont="1" applyAlignment="1">
      <alignment horizontal="left"/>
    </xf>
    <xf numFmtId="14" fontId="39" fillId="0" borderId="0" xfId="868" applyNumberFormat="1" applyFill="1" applyAlignment="1">
      <alignment horizontal="left"/>
    </xf>
    <xf numFmtId="182" fontId="39" fillId="0" borderId="0" xfId="868" applyNumberFormat="1" applyFill="1" applyBorder="1" applyAlignment="1">
      <alignment horizontal="left"/>
    </xf>
    <xf numFmtId="0" fontId="15" fillId="0" borderId="0" xfId="868" applyFont="1" applyFill="1" applyBorder="1" applyAlignment="1">
      <alignment horizontal="left"/>
    </xf>
    <xf numFmtId="0" fontId="15" fillId="0" borderId="0" xfId="868" applyFont="1"/>
    <xf numFmtId="0" fontId="33" fillId="36" borderId="0" xfId="0" applyFont="1" applyFill="1" applyBorder="1" applyAlignment="1">
      <alignment horizontal="left" vertical="center" wrapText="1"/>
    </xf>
    <xf numFmtId="0" fontId="15" fillId="0" borderId="0" xfId="868" applyFont="1" applyAlignment="1">
      <alignment horizontal="left"/>
    </xf>
    <xf numFmtId="182" fontId="15" fillId="0" borderId="0" xfId="868" applyNumberFormat="1" applyFont="1" applyFill="1" applyBorder="1" applyAlignment="1">
      <alignment horizontal="left"/>
    </xf>
    <xf numFmtId="14" fontId="15" fillId="0" borderId="0" xfId="868" applyNumberFormat="1" applyFont="1" applyAlignment="1">
      <alignment horizontal="left"/>
    </xf>
    <xf numFmtId="0" fontId="0" fillId="37" borderId="16" xfId="0" applyFill="1" applyBorder="1"/>
    <xf numFmtId="0" fontId="0" fillId="37" borderId="31" xfId="0" applyFill="1" applyBorder="1"/>
    <xf numFmtId="0" fontId="0" fillId="36" borderId="0" xfId="0" applyFill="1"/>
    <xf numFmtId="3" fontId="68" fillId="32" borderId="3" xfId="27" applyBorder="1"/>
    <xf numFmtId="179" fontId="69" fillId="38" borderId="0" xfId="1766" applyNumberFormat="1" applyFill="1"/>
    <xf numFmtId="1" fontId="69" fillId="38" borderId="0" xfId="1766" applyNumberFormat="1" applyFill="1"/>
    <xf numFmtId="2" fontId="69" fillId="38" borderId="0" xfId="1766" applyNumberFormat="1" applyFill="1"/>
    <xf numFmtId="179" fontId="33" fillId="26" borderId="0" xfId="2572" applyFill="1"/>
    <xf numFmtId="168" fontId="33" fillId="26" borderId="0" xfId="2572" applyNumberFormat="1" applyFill="1"/>
    <xf numFmtId="190" fontId="33" fillId="26" borderId="0" xfId="2572" applyNumberFormat="1" applyFill="1"/>
    <xf numFmtId="185" fontId="33" fillId="26" borderId="0" xfId="2572" applyNumberFormat="1" applyFill="1"/>
    <xf numFmtId="179" fontId="33" fillId="26" borderId="0" xfId="2572" applyFont="1" applyFill="1"/>
    <xf numFmtId="179" fontId="15" fillId="2" borderId="20" xfId="2572" applyFont="1" applyFill="1" applyBorder="1"/>
    <xf numFmtId="179" fontId="33" fillId="30" borderId="27" xfId="2572" applyFont="1" applyFill="1" applyBorder="1"/>
    <xf numFmtId="179" fontId="33" fillId="30" borderId="27" xfId="2572" applyFill="1" applyBorder="1"/>
    <xf numFmtId="179" fontId="33" fillId="2" borderId="19" xfId="2572" applyFill="1" applyBorder="1"/>
    <xf numFmtId="179" fontId="33" fillId="2" borderId="18" xfId="2572" applyFill="1" applyBorder="1"/>
    <xf numFmtId="179" fontId="15" fillId="2" borderId="0" xfId="2572" applyFont="1" applyFill="1" applyBorder="1" applyAlignment="1">
      <alignment horizontal="left"/>
    </xf>
    <xf numFmtId="178" fontId="60" fillId="2" borderId="0" xfId="2572" applyNumberFormat="1" applyFont="1" applyFill="1" applyBorder="1"/>
    <xf numFmtId="179" fontId="33" fillId="30" borderId="0" xfId="2572" applyFill="1" applyBorder="1"/>
    <xf numFmtId="179" fontId="33" fillId="2" borderId="21" xfId="2572" applyFill="1" applyBorder="1"/>
    <xf numFmtId="179" fontId="33" fillId="30" borderId="0" xfId="2572" applyFont="1" applyFill="1" applyBorder="1"/>
    <xf numFmtId="188" fontId="57" fillId="2" borderId="0" xfId="2572" applyNumberFormat="1" applyFont="1" applyFill="1" applyBorder="1" applyAlignment="1">
      <alignment horizontal="left" indent="1"/>
    </xf>
    <xf numFmtId="188" fontId="57" fillId="30" borderId="0" xfId="2572" applyNumberFormat="1" applyFont="1" applyFill="1" applyBorder="1" applyAlignment="1">
      <alignment horizontal="left" indent="1"/>
    </xf>
    <xf numFmtId="188" fontId="57" fillId="30" borderId="0" xfId="2572" applyNumberFormat="1" applyFont="1" applyFill="1" applyBorder="1"/>
    <xf numFmtId="179" fontId="33" fillId="30" borderId="26" xfId="2572" applyFill="1" applyBorder="1"/>
    <xf numFmtId="179" fontId="33" fillId="30" borderId="25" xfId="2572" applyFont="1" applyFill="1" applyBorder="1"/>
    <xf numFmtId="179" fontId="33" fillId="30" borderId="25" xfId="2572" applyFill="1" applyBorder="1"/>
    <xf numFmtId="180" fontId="15" fillId="2" borderId="25" xfId="2572" applyNumberFormat="1" applyFont="1" applyFill="1" applyBorder="1" applyAlignment="1" applyProtection="1">
      <alignment horizontal="left" indent="1"/>
      <protection locked="0"/>
    </xf>
    <xf numFmtId="190" fontId="15" fillId="2" borderId="25" xfId="2572" applyNumberFormat="1" applyFont="1" applyFill="1" applyBorder="1" applyAlignment="1" applyProtection="1">
      <alignment horizontal="left" indent="1"/>
      <protection locked="0"/>
    </xf>
    <xf numFmtId="179" fontId="33" fillId="30" borderId="24" xfId="2572" applyFill="1" applyBorder="1"/>
    <xf numFmtId="179" fontId="64" fillId="26" borderId="0" xfId="2572" applyFont="1" applyFill="1"/>
    <xf numFmtId="179" fontId="33" fillId="2" borderId="20" xfId="2572" applyFill="1" applyBorder="1"/>
    <xf numFmtId="179" fontId="33" fillId="30" borderId="35" xfId="2572" applyFill="1" applyBorder="1"/>
    <xf numFmtId="180" fontId="75" fillId="30" borderId="0" xfId="2572" applyNumberFormat="1" applyFont="1" applyFill="1" applyBorder="1"/>
    <xf numFmtId="184" fontId="75" fillId="30" borderId="0" xfId="1751" applyNumberFormat="1" applyFont="1" applyFill="1" applyBorder="1"/>
    <xf numFmtId="179" fontId="33" fillId="30" borderId="34" xfId="2572" applyFill="1" applyBorder="1"/>
    <xf numFmtId="179" fontId="33" fillId="30" borderId="33" xfId="2572" applyFill="1" applyBorder="1"/>
    <xf numFmtId="180" fontId="75" fillId="30" borderId="34" xfId="2572" applyNumberFormat="1" applyFont="1" applyFill="1" applyBorder="1"/>
    <xf numFmtId="2" fontId="33" fillId="30" borderId="0" xfId="2572" applyNumberFormat="1" applyFill="1" applyBorder="1"/>
    <xf numFmtId="179" fontId="60" fillId="30" borderId="0" xfId="2572" applyFont="1" applyFill="1" applyBorder="1"/>
    <xf numFmtId="179" fontId="15" fillId="2" borderId="0" xfId="2572" applyFont="1" applyFill="1" applyBorder="1"/>
    <xf numFmtId="178" fontId="33" fillId="30" borderId="0" xfId="2572" applyNumberFormat="1" applyFont="1" applyFill="1" applyBorder="1"/>
    <xf numFmtId="188" fontId="70" fillId="30" borderId="0" xfId="2572" applyNumberFormat="1" applyFont="1" applyFill="1" applyBorder="1"/>
    <xf numFmtId="188" fontId="68" fillId="30" borderId="0" xfId="2572" applyNumberFormat="1" applyFont="1" applyFill="1" applyBorder="1"/>
    <xf numFmtId="165" fontId="70" fillId="30" borderId="0" xfId="2572" applyNumberFormat="1" applyFont="1" applyFill="1" applyBorder="1"/>
    <xf numFmtId="179" fontId="33" fillId="30" borderId="32" xfId="2572" applyFill="1" applyBorder="1"/>
    <xf numFmtId="179" fontId="33" fillId="30" borderId="16" xfId="2572" applyFont="1" applyFill="1" applyBorder="1"/>
    <xf numFmtId="179" fontId="59" fillId="30" borderId="16" xfId="2572" applyFont="1" applyFill="1" applyBorder="1"/>
    <xf numFmtId="179" fontId="59" fillId="30" borderId="23" xfId="2572" applyFont="1" applyFill="1" applyBorder="1"/>
    <xf numFmtId="179" fontId="59" fillId="30" borderId="31" xfId="2572" applyFont="1" applyFill="1" applyBorder="1"/>
    <xf numFmtId="179" fontId="33" fillId="30" borderId="30" xfId="2572" applyFill="1" applyBorder="1"/>
    <xf numFmtId="179" fontId="33" fillId="30" borderId="28" xfId="2572" applyFill="1" applyBorder="1"/>
    <xf numFmtId="179" fontId="15" fillId="2" borderId="27" xfId="2572" applyFont="1" applyFill="1" applyBorder="1"/>
    <xf numFmtId="179" fontId="15" fillId="30" borderId="27" xfId="2572" applyFont="1" applyFill="1" applyBorder="1"/>
    <xf numFmtId="179" fontId="60" fillId="2" borderId="27" xfId="2572" applyFont="1" applyFill="1" applyBorder="1"/>
    <xf numFmtId="179" fontId="61" fillId="30" borderId="35" xfId="2572" applyFont="1" applyFill="1" applyBorder="1"/>
    <xf numFmtId="179" fontId="63" fillId="2" borderId="19" xfId="2572" applyFont="1" applyFill="1" applyBorder="1"/>
    <xf numFmtId="170" fontId="15" fillId="30" borderId="0" xfId="2572" applyNumberFormat="1" applyFont="1" applyFill="1" applyBorder="1" applyProtection="1">
      <protection locked="0"/>
    </xf>
    <xf numFmtId="170" fontId="33" fillId="2" borderId="0" xfId="2572" applyNumberFormat="1" applyFill="1" applyBorder="1" applyProtection="1">
      <protection locked="0"/>
    </xf>
    <xf numFmtId="179" fontId="59" fillId="30" borderId="33" xfId="2572" applyFont="1" applyFill="1" applyBorder="1"/>
    <xf numFmtId="179" fontId="15" fillId="2" borderId="18" xfId="2572" applyFont="1" applyFill="1" applyBorder="1"/>
    <xf numFmtId="2" fontId="57" fillId="30" borderId="0" xfId="2572" applyNumberFormat="1" applyFont="1" applyFill="1" applyBorder="1" applyProtection="1">
      <protection locked="0"/>
    </xf>
    <xf numFmtId="169" fontId="57" fillId="39" borderId="0" xfId="2572" applyNumberFormat="1" applyFont="1" applyFill="1" applyBorder="1" applyProtection="1">
      <protection locked="0"/>
    </xf>
    <xf numFmtId="179" fontId="63" fillId="30" borderId="0" xfId="2572" applyFont="1" applyFill="1" applyBorder="1"/>
    <xf numFmtId="179" fontId="59" fillId="30" borderId="21" xfId="2572" applyFont="1" applyFill="1" applyBorder="1"/>
    <xf numFmtId="170" fontId="57" fillId="2" borderId="0" xfId="2572" applyNumberFormat="1" applyFont="1" applyFill="1" applyBorder="1" applyProtection="1">
      <protection locked="0"/>
    </xf>
    <xf numFmtId="179" fontId="60" fillId="30" borderId="0" xfId="2572" applyFont="1" applyFill="1" applyBorder="1" applyProtection="1">
      <protection locked="0"/>
    </xf>
    <xf numFmtId="169" fontId="57" fillId="30" borderId="0" xfId="2572" applyNumberFormat="1" applyFont="1" applyFill="1" applyBorder="1"/>
    <xf numFmtId="188" fontId="60" fillId="30" borderId="0" xfId="2572" applyNumberFormat="1" applyFont="1" applyFill="1" applyBorder="1" applyProtection="1">
      <protection locked="0"/>
    </xf>
    <xf numFmtId="179" fontId="45" fillId="30" borderId="21" xfId="2572" applyFont="1" applyFill="1" applyBorder="1"/>
    <xf numFmtId="179" fontId="33" fillId="30" borderId="21" xfId="2572" applyFill="1" applyBorder="1" applyAlignment="1">
      <alignment horizontal="left" indent="1"/>
    </xf>
    <xf numFmtId="1" fontId="75" fillId="30" borderId="0" xfId="2572" applyNumberFormat="1" applyFont="1" applyFill="1" applyBorder="1" applyProtection="1">
      <protection locked="0"/>
    </xf>
    <xf numFmtId="2" fontId="57" fillId="2" borderId="0" xfId="2572" applyNumberFormat="1" applyFont="1" applyFill="1" applyBorder="1" applyProtection="1">
      <protection locked="0"/>
    </xf>
    <xf numFmtId="188" fontId="60" fillId="2" borderId="0" xfId="2572" applyNumberFormat="1" applyFont="1" applyFill="1" applyBorder="1" applyProtection="1">
      <protection locked="0"/>
    </xf>
    <xf numFmtId="179" fontId="15" fillId="30" borderId="21" xfId="2572" applyFont="1" applyFill="1" applyBorder="1"/>
    <xf numFmtId="179" fontId="60" fillId="30" borderId="34" xfId="2572" applyFont="1" applyFill="1" applyBorder="1"/>
    <xf numFmtId="179" fontId="15" fillId="30" borderId="0" xfId="2572" applyFont="1" applyFill="1" applyBorder="1"/>
    <xf numFmtId="3" fontId="33" fillId="30" borderId="0" xfId="2572" applyNumberFormat="1" applyFont="1" applyFill="1" applyBorder="1"/>
    <xf numFmtId="179" fontId="61" fillId="30" borderId="33" xfId="2572" applyFont="1" applyFill="1" applyBorder="1"/>
    <xf numFmtId="179" fontId="57" fillId="30" borderId="0" xfId="2572" applyFont="1" applyFill="1" applyBorder="1" applyProtection="1">
      <protection locked="0"/>
    </xf>
    <xf numFmtId="179" fontId="57" fillId="2" borderId="0" xfId="2572" applyFont="1" applyFill="1" applyBorder="1" applyProtection="1">
      <protection locked="0"/>
    </xf>
    <xf numFmtId="179" fontId="60" fillId="30" borderId="34" xfId="2572" applyFont="1" applyFill="1" applyBorder="1" applyProtection="1">
      <protection locked="0"/>
    </xf>
    <xf numFmtId="179" fontId="33" fillId="2" borderId="18" xfId="2572" quotePrefix="1" applyFill="1" applyBorder="1"/>
    <xf numFmtId="187" fontId="76" fillId="30" borderId="0" xfId="2572" applyNumberFormat="1" applyFont="1" applyFill="1" applyBorder="1" applyProtection="1">
      <protection locked="0"/>
    </xf>
    <xf numFmtId="189" fontId="33" fillId="2" borderId="0" xfId="2572" applyNumberFormat="1" applyFill="1" applyBorder="1" applyProtection="1">
      <protection locked="0"/>
    </xf>
    <xf numFmtId="165" fontId="33" fillId="2" borderId="34" xfId="2572" applyNumberFormat="1" applyFill="1" applyBorder="1" applyProtection="1">
      <protection locked="0"/>
    </xf>
    <xf numFmtId="179" fontId="57" fillId="2" borderId="21" xfId="2572" applyFont="1" applyFill="1" applyBorder="1"/>
    <xf numFmtId="165" fontId="68" fillId="2" borderId="34" xfId="2572" applyNumberFormat="1" applyFont="1" applyFill="1" applyBorder="1" applyProtection="1">
      <protection locked="0"/>
    </xf>
    <xf numFmtId="180" fontId="15" fillId="30" borderId="0" xfId="2572" applyNumberFormat="1" applyFont="1" applyFill="1" applyBorder="1" applyProtection="1">
      <protection locked="0"/>
    </xf>
    <xf numFmtId="180" fontId="33" fillId="30" borderId="0" xfId="2572" applyNumberFormat="1" applyFill="1" applyBorder="1" applyProtection="1">
      <protection locked="0"/>
    </xf>
    <xf numFmtId="180" fontId="33" fillId="30" borderId="34" xfId="2572" applyNumberFormat="1" applyFill="1" applyBorder="1" applyProtection="1">
      <protection locked="0"/>
    </xf>
    <xf numFmtId="190" fontId="60" fillId="30" borderId="0" xfId="2572" applyNumberFormat="1" applyFont="1" applyFill="1" applyBorder="1" applyProtection="1">
      <protection locked="0"/>
    </xf>
    <xf numFmtId="179" fontId="59" fillId="30" borderId="0" xfId="2572" applyFont="1" applyFill="1" applyBorder="1"/>
    <xf numFmtId="179" fontId="33" fillId="30" borderId="16" xfId="2572" applyFill="1" applyBorder="1"/>
    <xf numFmtId="9" fontId="33" fillId="26" borderId="0" xfId="2572" applyNumberFormat="1" applyFill="1"/>
    <xf numFmtId="179" fontId="45" fillId="26" borderId="0" xfId="2572" applyFont="1" applyFill="1"/>
    <xf numFmtId="179" fontId="58" fillId="30" borderId="21" xfId="2572" applyFont="1" applyFill="1" applyBorder="1"/>
    <xf numFmtId="179" fontId="33" fillId="30" borderId="21" xfId="2572" applyFont="1" applyFill="1" applyBorder="1"/>
    <xf numFmtId="179" fontId="58" fillId="30" borderId="24" xfId="2572" applyFont="1" applyFill="1" applyBorder="1"/>
    <xf numFmtId="186" fontId="34" fillId="26" borderId="0" xfId="2572" applyNumberFormat="1" applyFont="1" applyFill="1"/>
    <xf numFmtId="189" fontId="70" fillId="30" borderId="0" xfId="2572" applyNumberFormat="1" applyFont="1" applyFill="1" applyBorder="1"/>
    <xf numFmtId="178" fontId="33" fillId="30" borderId="34" xfId="2572" applyNumberFormat="1" applyFont="1" applyFill="1" applyBorder="1"/>
    <xf numFmtId="1" fontId="57" fillId="39" borderId="0" xfId="2572" applyNumberFormat="1" applyFont="1" applyFill="1" applyBorder="1" applyProtection="1">
      <protection locked="0"/>
    </xf>
    <xf numFmtId="189" fontId="33" fillId="30" borderId="0" xfId="2572" applyNumberFormat="1" applyFill="1" applyBorder="1" applyProtection="1">
      <protection locked="0"/>
    </xf>
    <xf numFmtId="165" fontId="33" fillId="30" borderId="34" xfId="2572" applyNumberFormat="1" applyFill="1" applyBorder="1" applyProtection="1">
      <protection locked="0"/>
    </xf>
    <xf numFmtId="179" fontId="15" fillId="2" borderId="21" xfId="2572" applyFont="1" applyFill="1" applyBorder="1"/>
    <xf numFmtId="2" fontId="57" fillId="2" borderId="25" xfId="2572" applyNumberFormat="1" applyFont="1" applyFill="1" applyBorder="1" applyProtection="1">
      <protection locked="0"/>
    </xf>
    <xf numFmtId="179" fontId="33" fillId="30" borderId="29" xfId="2572" applyFill="1" applyBorder="1"/>
    <xf numFmtId="1" fontId="57" fillId="39" borderId="34" xfId="2572" applyNumberFormat="1" applyFont="1" applyFill="1" applyBorder="1" applyProtection="1">
      <protection locked="0"/>
    </xf>
    <xf numFmtId="2" fontId="57" fillId="2" borderId="34" xfId="2572" applyNumberFormat="1" applyFont="1" applyFill="1" applyBorder="1" applyProtection="1">
      <protection locked="0"/>
    </xf>
    <xf numFmtId="169" fontId="57" fillId="30" borderId="34" xfId="2572" applyNumberFormat="1" applyFont="1" applyFill="1" applyBorder="1"/>
    <xf numFmtId="188" fontId="60" fillId="2" borderId="34" xfId="2572" applyNumberFormat="1" applyFont="1" applyFill="1" applyBorder="1" applyProtection="1">
      <protection locked="0"/>
    </xf>
    <xf numFmtId="179" fontId="57" fillId="2" borderId="34" xfId="2572" applyFont="1" applyFill="1" applyBorder="1" applyProtection="1">
      <protection locked="0"/>
    </xf>
    <xf numFmtId="179" fontId="59" fillId="30" borderId="34" xfId="2572" applyFont="1" applyFill="1" applyBorder="1"/>
    <xf numFmtId="188" fontId="60" fillId="2" borderId="0" xfId="2572" applyNumberFormat="1" applyFont="1" applyFill="1" applyBorder="1"/>
    <xf numFmtId="180" fontId="77" fillId="2" borderId="25" xfId="2572" applyNumberFormat="1" applyFont="1" applyFill="1" applyBorder="1" applyProtection="1">
      <protection locked="0"/>
    </xf>
    <xf numFmtId="192" fontId="15" fillId="30" borderId="0" xfId="2572" applyNumberFormat="1" applyFont="1" applyFill="1" applyBorder="1"/>
    <xf numFmtId="165" fontId="70" fillId="2" borderId="0" xfId="2572" applyNumberFormat="1" applyFont="1" applyFill="1" applyBorder="1" applyProtection="1">
      <protection locked="0"/>
    </xf>
    <xf numFmtId="179" fontId="62" fillId="2" borderId="0" xfId="2572" applyFont="1" applyFill="1" applyBorder="1"/>
    <xf numFmtId="180" fontId="33" fillId="26" borderId="0" xfId="2572" applyNumberFormat="1" applyFill="1"/>
    <xf numFmtId="179" fontId="62" fillId="2" borderId="25" xfId="2572" applyFont="1" applyFill="1" applyBorder="1"/>
    <xf numFmtId="190" fontId="60" fillId="30" borderId="25" xfId="2572" applyNumberFormat="1" applyFont="1" applyFill="1" applyBorder="1" applyProtection="1">
      <protection locked="0"/>
    </xf>
    <xf numFmtId="9" fontId="0" fillId="26" borderId="0" xfId="1751" applyFont="1" applyFill="1"/>
    <xf numFmtId="193" fontId="33" fillId="26" borderId="0" xfId="2572" applyNumberFormat="1" applyFill="1"/>
    <xf numFmtId="179" fontId="62" fillId="2" borderId="27" xfId="2572" applyFont="1" applyFill="1" applyBorder="1"/>
    <xf numFmtId="192" fontId="75" fillId="30" borderId="27" xfId="2572" applyNumberFormat="1" applyFont="1" applyFill="1" applyBorder="1"/>
    <xf numFmtId="179" fontId="33" fillId="30" borderId="18" xfId="2572" applyFill="1" applyBorder="1"/>
    <xf numFmtId="190" fontId="97" fillId="32" borderId="0" xfId="2572" applyNumberFormat="1" applyFont="1" applyFill="1" applyAlignment="1">
      <alignment vertical="center"/>
    </xf>
    <xf numFmtId="170" fontId="57" fillId="30" borderId="0" xfId="2572" applyNumberFormat="1" applyFont="1" applyFill="1" applyBorder="1" applyProtection="1">
      <protection locked="0"/>
    </xf>
    <xf numFmtId="179" fontId="15" fillId="26" borderId="0" xfId="2572" applyFont="1" applyFill="1"/>
    <xf numFmtId="179" fontId="75" fillId="26" borderId="0" xfId="2572" applyFont="1" applyFill="1"/>
    <xf numFmtId="165" fontId="68" fillId="2" borderId="0" xfId="2572" applyNumberFormat="1" applyFont="1" applyFill="1" applyBorder="1" applyProtection="1">
      <protection locked="0"/>
    </xf>
    <xf numFmtId="179" fontId="60" fillId="2" borderId="0" xfId="2572" applyFont="1" applyFill="1" applyBorder="1"/>
    <xf numFmtId="179" fontId="15" fillId="30" borderId="33" xfId="2572" applyFont="1" applyFill="1" applyBorder="1"/>
    <xf numFmtId="179" fontId="68" fillId="30" borderId="0" xfId="2572" applyFont="1"/>
    <xf numFmtId="165" fontId="70" fillId="2" borderId="34" xfId="2572" applyNumberFormat="1" applyFont="1" applyFill="1" applyBorder="1" applyProtection="1">
      <protection locked="0"/>
    </xf>
    <xf numFmtId="165" fontId="33" fillId="2" borderId="0" xfId="2572" applyNumberFormat="1" applyFill="1" applyBorder="1" applyProtection="1">
      <protection locked="0"/>
    </xf>
    <xf numFmtId="165" fontId="15" fillId="2" borderId="34" xfId="2572" applyNumberFormat="1" applyFont="1" applyFill="1" applyBorder="1" applyProtection="1">
      <protection locked="0"/>
    </xf>
    <xf numFmtId="9" fontId="75" fillId="30" borderId="0" xfId="1751" applyFont="1" applyFill="1" applyBorder="1"/>
    <xf numFmtId="180" fontId="68" fillId="30" borderId="34" xfId="27" applyNumberFormat="1" applyFill="1" applyBorder="1"/>
    <xf numFmtId="190" fontId="33" fillId="30" borderId="0" xfId="2572" applyNumberFormat="1" applyFill="1" applyBorder="1"/>
    <xf numFmtId="188" fontId="68" fillId="32" borderId="0" xfId="27" applyNumberFormat="1" applyBorder="1" applyProtection="1">
      <protection locked="0"/>
    </xf>
    <xf numFmtId="188" fontId="68" fillId="32" borderId="34" xfId="27" applyNumberFormat="1" applyBorder="1" applyProtection="1">
      <protection locked="0"/>
    </xf>
    <xf numFmtId="180" fontId="33" fillId="30" borderId="34" xfId="29" applyNumberFormat="1" applyBorder="1" applyProtection="1">
      <protection locked="0"/>
    </xf>
    <xf numFmtId="194" fontId="68" fillId="32" borderId="0" xfId="27" applyNumberFormat="1" applyBorder="1" applyProtection="1">
      <protection locked="0"/>
    </xf>
    <xf numFmtId="194" fontId="68" fillId="32" borderId="34" xfId="27" applyNumberFormat="1" applyBorder="1" applyProtection="1">
      <protection locked="0"/>
    </xf>
    <xf numFmtId="191" fontId="33" fillId="2" borderId="18" xfId="2572" applyNumberFormat="1" applyFill="1" applyBorder="1"/>
    <xf numFmtId="190" fontId="57" fillId="30" borderId="0" xfId="2572" applyNumberFormat="1" applyFont="1" applyFill="1" applyBorder="1" applyProtection="1">
      <protection locked="0"/>
    </xf>
    <xf numFmtId="190" fontId="60" fillId="30" borderId="34" xfId="2572" applyNumberFormat="1" applyFont="1" applyFill="1" applyBorder="1" applyProtection="1">
      <protection locked="0"/>
    </xf>
    <xf numFmtId="189" fontId="70" fillId="30" borderId="0" xfId="2572" applyNumberFormat="1" applyFont="1" applyFill="1" applyBorder="1" applyProtection="1">
      <protection locked="0"/>
    </xf>
    <xf numFmtId="189" fontId="68" fillId="30" borderId="0" xfId="2572" applyNumberFormat="1" applyFont="1" applyFill="1" applyBorder="1" applyProtection="1">
      <protection locked="0"/>
    </xf>
    <xf numFmtId="165" fontId="68" fillId="30" borderId="34" xfId="2572" applyNumberFormat="1" applyFont="1" applyFill="1" applyBorder="1" applyProtection="1">
      <protection locked="0"/>
    </xf>
    <xf numFmtId="179" fontId="98" fillId="41" borderId="0" xfId="2572" applyFont="1" applyFill="1"/>
    <xf numFmtId="176" fontId="98" fillId="30" borderId="16" xfId="2572" applyNumberFormat="1" applyFont="1" applyFill="1" applyBorder="1"/>
    <xf numFmtId="179" fontId="98" fillId="30" borderId="16" xfId="2572" applyFont="1" applyFill="1" applyBorder="1"/>
    <xf numFmtId="195" fontId="98" fillId="30" borderId="0" xfId="2572" applyNumberFormat="1" applyFont="1" applyFill="1" applyBorder="1"/>
    <xf numFmtId="179" fontId="98" fillId="30" borderId="0" xfId="2572" applyFont="1" applyFill="1" applyBorder="1"/>
    <xf numFmtId="176" fontId="98" fillId="30" borderId="0" xfId="2572" applyNumberFormat="1" applyFont="1" applyFill="1" applyBorder="1"/>
    <xf numFmtId="3" fontId="98" fillId="30" borderId="0" xfId="2572" applyNumberFormat="1" applyFont="1" applyFill="1" applyBorder="1"/>
    <xf numFmtId="186" fontId="99" fillId="30" borderId="16" xfId="2572" applyNumberFormat="1" applyFont="1" applyFill="1" applyBorder="1"/>
    <xf numFmtId="186" fontId="99" fillId="30" borderId="0" xfId="2572" applyNumberFormat="1" applyFont="1" applyFill="1" applyBorder="1"/>
    <xf numFmtId="194" fontId="99" fillId="30" borderId="0" xfId="2572" applyNumberFormat="1" applyFont="1" applyFill="1" applyBorder="1"/>
    <xf numFmtId="180" fontId="99" fillId="30" borderId="17" xfId="2572" applyNumberFormat="1" applyFont="1" applyFill="1" applyBorder="1"/>
    <xf numFmtId="179" fontId="98" fillId="30" borderId="17" xfId="2572" applyFont="1" applyFill="1" applyBorder="1"/>
    <xf numFmtId="179" fontId="100" fillId="30" borderId="16" xfId="2572" applyFont="1" applyFill="1" applyBorder="1" applyAlignment="1">
      <alignment horizontal="right"/>
    </xf>
    <xf numFmtId="179" fontId="101" fillId="30" borderId="17" xfId="2572" applyFont="1" applyFill="1" applyBorder="1"/>
    <xf numFmtId="179" fontId="100" fillId="41" borderId="0" xfId="2572" applyFont="1" applyFill="1"/>
    <xf numFmtId="165" fontId="76" fillId="30" borderId="27" xfId="2572" applyNumberFormat="1" applyFont="1" applyFill="1" applyBorder="1"/>
    <xf numFmtId="179" fontId="33" fillId="30" borderId="19" xfId="2572" applyFill="1" applyBorder="1"/>
    <xf numFmtId="188" fontId="76" fillId="30" borderId="0" xfId="2572" applyNumberFormat="1" applyFont="1" applyFill="1" applyBorder="1"/>
    <xf numFmtId="165" fontId="76" fillId="30" borderId="0" xfId="2572" applyNumberFormat="1" applyFont="1" applyFill="1" applyBorder="1"/>
    <xf numFmtId="179" fontId="33" fillId="30" borderId="21" xfId="2572" applyFill="1" applyBorder="1"/>
    <xf numFmtId="1" fontId="78" fillId="30" borderId="25" xfId="2572" applyNumberFormat="1" applyFont="1" applyFill="1" applyBorder="1" applyAlignment="1">
      <alignment horizontal="right"/>
    </xf>
    <xf numFmtId="179" fontId="77" fillId="30" borderId="27" xfId="2572" applyFont="1" applyFill="1" applyBorder="1"/>
    <xf numFmtId="176" fontId="77" fillId="2" borderId="0" xfId="2572" applyNumberFormat="1" applyFont="1" applyFill="1" applyBorder="1"/>
    <xf numFmtId="167" fontId="33" fillId="26" borderId="0" xfId="2572" applyNumberFormat="1" applyFill="1"/>
    <xf numFmtId="179" fontId="77" fillId="30" borderId="0" xfId="2572" applyFont="1" applyFill="1" applyBorder="1"/>
    <xf numFmtId="195" fontId="60" fillId="2" borderId="27" xfId="2572" applyNumberFormat="1" applyFont="1" applyFill="1" applyBorder="1"/>
    <xf numFmtId="179" fontId="15" fillId="30" borderId="35" xfId="2572" applyFont="1" applyFill="1" applyBorder="1"/>
    <xf numFmtId="179" fontId="15" fillId="2" borderId="19" xfId="2572" applyFont="1" applyFill="1" applyBorder="1"/>
    <xf numFmtId="9" fontId="60" fillId="2" borderId="0" xfId="1751" applyFont="1" applyFill="1" applyBorder="1"/>
    <xf numFmtId="4" fontId="15" fillId="2" borderId="0" xfId="2572" applyNumberFormat="1" applyFont="1" applyFill="1" applyBorder="1"/>
    <xf numFmtId="4" fontId="60" fillId="2" borderId="0" xfId="2572" applyNumberFormat="1" applyFont="1" applyFill="1" applyBorder="1"/>
    <xf numFmtId="175" fontId="60" fillId="2" borderId="0" xfId="2572" applyNumberFormat="1" applyFont="1" applyFill="1" applyBorder="1"/>
    <xf numFmtId="3" fontId="60" fillId="2" borderId="0" xfId="2572" applyNumberFormat="1" applyFont="1" applyFill="1" applyBorder="1"/>
    <xf numFmtId="4" fontId="33" fillId="2" borderId="0" xfId="2572" applyNumberFormat="1" applyFont="1" applyFill="1" applyBorder="1"/>
    <xf numFmtId="169" fontId="57" fillId="39" borderId="34" xfId="2572" applyNumberFormat="1" applyFont="1" applyFill="1" applyBorder="1" applyProtection="1">
      <protection locked="0"/>
    </xf>
    <xf numFmtId="179" fontId="15" fillId="30" borderId="0" xfId="2572" applyFont="1" applyFill="1" applyBorder="1" applyProtection="1">
      <protection locked="0"/>
    </xf>
    <xf numFmtId="3" fontId="57" fillId="30" borderId="34" xfId="2572" applyNumberFormat="1" applyFont="1" applyFill="1" applyBorder="1"/>
    <xf numFmtId="3" fontId="57" fillId="30" borderId="0" xfId="2572" applyNumberFormat="1" applyFont="1" applyFill="1" applyBorder="1"/>
    <xf numFmtId="189" fontId="15" fillId="2" borderId="0" xfId="2572" applyNumberFormat="1" applyFont="1" applyFill="1" applyBorder="1" applyProtection="1">
      <protection locked="0"/>
    </xf>
    <xf numFmtId="189" fontId="15" fillId="2" borderId="34" xfId="2572" applyNumberFormat="1" applyFont="1" applyFill="1" applyBorder="1" applyProtection="1">
      <protection locked="0"/>
    </xf>
    <xf numFmtId="165" fontId="76" fillId="30" borderId="20" xfId="2572" applyNumberFormat="1" applyFont="1" applyFill="1" applyBorder="1"/>
    <xf numFmtId="188" fontId="76" fillId="30" borderId="18" xfId="2572" applyNumberFormat="1" applyFont="1" applyFill="1" applyBorder="1"/>
    <xf numFmtId="165" fontId="76" fillId="30" borderId="18" xfId="2572" applyNumberFormat="1" applyFont="1" applyFill="1" applyBorder="1"/>
    <xf numFmtId="1" fontId="78" fillId="30" borderId="26" xfId="2572" applyNumberFormat="1" applyFont="1" applyFill="1" applyBorder="1" applyAlignment="1">
      <alignment horizontal="right"/>
    </xf>
    <xf numFmtId="188" fontId="77" fillId="2" borderId="0" xfId="2572" applyNumberFormat="1" applyFont="1" applyFill="1" applyBorder="1"/>
    <xf numFmtId="195" fontId="60" fillId="2" borderId="0" xfId="2572" applyNumberFormat="1" applyFont="1" applyFill="1" applyBorder="1"/>
    <xf numFmtId="179" fontId="33" fillId="39" borderId="0" xfId="2572" applyFill="1"/>
    <xf numFmtId="179" fontId="15" fillId="39" borderId="0" xfId="2572" applyFont="1" applyFill="1"/>
    <xf numFmtId="167" fontId="15" fillId="26" borderId="0" xfId="2572" applyNumberFormat="1" applyFont="1" applyFill="1"/>
    <xf numFmtId="175" fontId="15" fillId="2" borderId="0" xfId="2572" applyNumberFormat="1" applyFont="1" applyFill="1" applyBorder="1"/>
    <xf numFmtId="175" fontId="75" fillId="2" borderId="0" xfId="2572" applyNumberFormat="1" applyFont="1" applyFill="1" applyBorder="1"/>
    <xf numFmtId="190" fontId="77" fillId="30" borderId="0" xfId="2572" applyNumberFormat="1" applyFont="1" applyFill="1" applyBorder="1"/>
    <xf numFmtId="180" fontId="57" fillId="2" borderId="0" xfId="2572" applyNumberFormat="1" applyFont="1" applyFill="1" applyBorder="1" applyProtection="1">
      <protection locked="0"/>
    </xf>
    <xf numFmtId="180" fontId="57" fillId="2" borderId="34" xfId="2572" applyNumberFormat="1" applyFont="1" applyFill="1" applyBorder="1" applyProtection="1">
      <protection locked="0"/>
    </xf>
    <xf numFmtId="186" fontId="34" fillId="39" borderId="0" xfId="2572" applyNumberFormat="1" applyFont="1" applyFill="1"/>
    <xf numFmtId="195" fontId="102" fillId="30" borderId="16" xfId="2572" applyNumberFormat="1" applyFont="1" applyFill="1" applyBorder="1"/>
    <xf numFmtId="3" fontId="102" fillId="30" borderId="16" xfId="2572" applyNumberFormat="1" applyFont="1" applyFill="1" applyBorder="1"/>
    <xf numFmtId="3" fontId="102" fillId="42" borderId="16" xfId="2572" applyNumberFormat="1" applyFont="1" applyFill="1" applyBorder="1"/>
    <xf numFmtId="179" fontId="102" fillId="30" borderId="16" xfId="2572" applyFont="1" applyFill="1" applyBorder="1"/>
    <xf numFmtId="3" fontId="102" fillId="30" borderId="0" xfId="2572" applyNumberFormat="1" applyFont="1" applyFill="1" applyBorder="1"/>
    <xf numFmtId="3" fontId="102" fillId="42" borderId="0" xfId="2572" applyNumberFormat="1" applyFont="1" applyFill="1" applyBorder="1"/>
    <xf numFmtId="179" fontId="102" fillId="30" borderId="0" xfId="2572" applyFont="1" applyFill="1" applyBorder="1"/>
    <xf numFmtId="3" fontId="102" fillId="30" borderId="17" xfId="2572" applyNumberFormat="1" applyFont="1" applyFill="1" applyBorder="1"/>
    <xf numFmtId="3" fontId="102" fillId="42" borderId="17" xfId="2572" applyNumberFormat="1" applyFont="1" applyFill="1" applyBorder="1"/>
    <xf numFmtId="179" fontId="102" fillId="30" borderId="17" xfId="2572" applyFont="1" applyFill="1" applyBorder="1"/>
    <xf numFmtId="180" fontId="103" fillId="30" borderId="16" xfId="2572" applyNumberFormat="1" applyFont="1" applyFill="1" applyBorder="1"/>
    <xf numFmtId="180" fontId="103" fillId="42" borderId="16" xfId="2572" applyNumberFormat="1" applyFont="1" applyFill="1" applyBorder="1"/>
    <xf numFmtId="180" fontId="103" fillId="30" borderId="0" xfId="2572" applyNumberFormat="1" applyFont="1" applyFill="1" applyBorder="1"/>
    <xf numFmtId="180" fontId="104" fillId="30" borderId="0" xfId="2572" applyNumberFormat="1" applyFont="1" applyFill="1" applyBorder="1"/>
    <xf numFmtId="194" fontId="103" fillId="30" borderId="0" xfId="2572" applyNumberFormat="1" applyFont="1" applyFill="1" applyBorder="1"/>
    <xf numFmtId="194" fontId="103" fillId="42" borderId="0" xfId="2572" applyNumberFormat="1" applyFont="1" applyFill="1" applyBorder="1"/>
    <xf numFmtId="194" fontId="103" fillId="30" borderId="17" xfId="2572" applyNumberFormat="1" applyFont="1" applyFill="1" applyBorder="1"/>
    <xf numFmtId="194" fontId="103" fillId="42" borderId="17" xfId="2572" applyNumberFormat="1" applyFont="1" applyFill="1" applyBorder="1"/>
    <xf numFmtId="179" fontId="105" fillId="30" borderId="22" xfId="2572" applyFont="1" applyFill="1" applyBorder="1" applyAlignment="1">
      <alignment horizontal="right"/>
    </xf>
    <xf numFmtId="179" fontId="102" fillId="30" borderId="22" xfId="2572" applyFont="1" applyFill="1" applyBorder="1"/>
    <xf numFmtId="179" fontId="102" fillId="41" borderId="0" xfId="2572" applyFont="1" applyFill="1"/>
    <xf numFmtId="179" fontId="105" fillId="41" borderId="0" xfId="2572" applyFont="1" applyFill="1"/>
    <xf numFmtId="165" fontId="76" fillId="40" borderId="0" xfId="2572" applyNumberFormat="1" applyFont="1" applyFill="1" applyBorder="1"/>
    <xf numFmtId="188" fontId="76" fillId="39" borderId="0" xfId="2572" applyNumberFormat="1" applyFont="1" applyFill="1" applyBorder="1"/>
    <xf numFmtId="189" fontId="77" fillId="40" borderId="0" xfId="2572" applyNumberFormat="1" applyFont="1" applyFill="1" applyBorder="1"/>
    <xf numFmtId="188" fontId="77" fillId="39" borderId="0" xfId="2572" applyNumberFormat="1" applyFont="1" applyFill="1" applyBorder="1"/>
    <xf numFmtId="9" fontId="15" fillId="2" borderId="0" xfId="1751" applyFont="1" applyFill="1" applyBorder="1"/>
    <xf numFmtId="197" fontId="60" fillId="2" borderId="0" xfId="1751" applyNumberFormat="1" applyFont="1" applyFill="1" applyBorder="1"/>
    <xf numFmtId="165" fontId="0" fillId="2" borderId="0" xfId="2042" applyFont="1" applyFill="1" applyBorder="1"/>
    <xf numFmtId="169" fontId="57" fillId="30" borderId="0" xfId="2572" applyNumberFormat="1" applyFont="1" applyFill="1" applyBorder="1" applyProtection="1">
      <protection locked="0"/>
    </xf>
    <xf numFmtId="0" fontId="15" fillId="0" borderId="0" xfId="849"/>
    <xf numFmtId="182" fontId="15" fillId="0" borderId="0" xfId="868" applyNumberFormat="1" applyFont="1" applyFill="1" applyBorder="1"/>
    <xf numFmtId="14" fontId="15" fillId="0" borderId="0" xfId="868" applyNumberFormat="1" applyFont="1"/>
    <xf numFmtId="0" fontId="33" fillId="36" borderId="17" xfId="0" applyFont="1" applyFill="1" applyBorder="1" applyAlignment="1">
      <alignment horizontal="left" vertical="center" wrapText="1"/>
    </xf>
    <xf numFmtId="168" fontId="0" fillId="0" borderId="0" xfId="0" applyNumberFormat="1"/>
    <xf numFmtId="0" fontId="0" fillId="0" borderId="0" xfId="0"/>
    <xf numFmtId="0" fontId="15" fillId="0" borderId="0" xfId="0" applyFont="1"/>
    <xf numFmtId="169" fontId="0" fillId="0" borderId="0" xfId="0" applyNumberFormat="1"/>
    <xf numFmtId="177" fontId="0" fillId="0" borderId="0" xfId="0" applyNumberFormat="1"/>
    <xf numFmtId="0" fontId="0" fillId="0" borderId="16" xfId="0" applyBorder="1"/>
    <xf numFmtId="0" fontId="15" fillId="0" borderId="0" xfId="0" applyFont="1"/>
    <xf numFmtId="1" fontId="0" fillId="0" borderId="0" xfId="0" applyNumberFormat="1"/>
    <xf numFmtId="2" fontId="0" fillId="0" borderId="0" xfId="0" applyNumberFormat="1"/>
    <xf numFmtId="182" fontId="0" fillId="0" borderId="0" xfId="0" applyNumberFormat="1" applyFill="1" applyBorder="1"/>
    <xf numFmtId="182" fontId="15" fillId="0" borderId="0" xfId="0" applyNumberFormat="1" applyFont="1"/>
    <xf numFmtId="182" fontId="15" fillId="0" borderId="0" xfId="0" applyNumberFormat="1" applyFont="1" applyFill="1" applyBorder="1"/>
    <xf numFmtId="182" fontId="0" fillId="0" borderId="0" xfId="0" applyNumberFormat="1" applyFont="1" applyFill="1" applyBorder="1"/>
    <xf numFmtId="0" fontId="0" fillId="0" borderId="0" xfId="0"/>
    <xf numFmtId="0" fontId="0" fillId="0" borderId="0" xfId="0" applyFill="1"/>
    <xf numFmtId="0" fontId="34" fillId="29" borderId="15" xfId="0" applyFont="1" applyFill="1" applyBorder="1" applyAlignment="1">
      <alignment horizontal="left" vertical="top" wrapText="1"/>
    </xf>
    <xf numFmtId="0" fontId="0" fillId="0" borderId="0" xfId="0" applyBorder="1"/>
    <xf numFmtId="182" fontId="0" fillId="0" borderId="0" xfId="0" applyNumberFormat="1"/>
    <xf numFmtId="0" fontId="15" fillId="0" borderId="0" xfId="849" applyFont="1"/>
    <xf numFmtId="0" fontId="45" fillId="0" borderId="0" xfId="0" applyFont="1"/>
    <xf numFmtId="180" fontId="75" fillId="30" borderId="0" xfId="0" applyNumberFormat="1" applyFont="1" applyFill="1" applyBorder="1"/>
    <xf numFmtId="0" fontId="0" fillId="34" borderId="0" xfId="0" applyFill="1"/>
    <xf numFmtId="195" fontId="77" fillId="0" borderId="0" xfId="0" applyNumberFormat="1" applyFont="1" applyBorder="1"/>
    <xf numFmtId="169" fontId="77" fillId="0" borderId="0" xfId="0" applyNumberFormat="1" applyFont="1"/>
    <xf numFmtId="0" fontId="77" fillId="0" borderId="0" xfId="0" applyFont="1" applyBorder="1"/>
    <xf numFmtId="0" fontId="77" fillId="0" borderId="0" xfId="0" applyFont="1"/>
    <xf numFmtId="0" fontId="77" fillId="0" borderId="17" xfId="0" applyFont="1" applyBorder="1"/>
    <xf numFmtId="1" fontId="77" fillId="0" borderId="0" xfId="0" applyNumberFormat="1" applyFont="1" applyBorder="1"/>
    <xf numFmtId="182" fontId="77" fillId="0" borderId="0" xfId="0" applyNumberFormat="1" applyFont="1"/>
    <xf numFmtId="1" fontId="77" fillId="0" borderId="0" xfId="0" applyNumberFormat="1" applyFont="1"/>
    <xf numFmtId="177" fontId="77" fillId="0" borderId="0" xfId="0" applyNumberFormat="1" applyFont="1"/>
    <xf numFmtId="190" fontId="33" fillId="30" borderId="0" xfId="2572" applyNumberFormat="1" applyFont="1" applyFill="1" applyBorder="1"/>
    <xf numFmtId="191" fontId="33" fillId="30" borderId="0" xfId="2572" applyNumberFormat="1" applyFont="1" applyFill="1" applyBorder="1"/>
    <xf numFmtId="177" fontId="77" fillId="0" borderId="0" xfId="0" applyNumberFormat="1" applyFont="1" applyBorder="1"/>
    <xf numFmtId="14" fontId="0" fillId="0" borderId="0" xfId="0" applyNumberFormat="1"/>
    <xf numFmtId="0" fontId="33" fillId="36" borderId="63" xfId="0" applyFont="1" applyFill="1" applyBorder="1" applyAlignment="1">
      <alignment horizontal="left" vertical="center" wrapText="1"/>
    </xf>
    <xf numFmtId="0" fontId="168" fillId="0" borderId="62" xfId="0" applyFont="1" applyBorder="1" applyAlignment="1">
      <alignment horizontal="left" wrapText="1"/>
    </xf>
    <xf numFmtId="10" fontId="168" fillId="0" borderId="62" xfId="40424" applyNumberFormat="1" applyFont="1" applyBorder="1" applyAlignment="1">
      <alignment horizontal="center" wrapText="1"/>
    </xf>
    <xf numFmtId="0" fontId="166" fillId="0" borderId="0" xfId="40423"/>
    <xf numFmtId="3" fontId="0" fillId="0" borderId="0" xfId="0" applyNumberFormat="1"/>
    <xf numFmtId="12" fontId="0" fillId="0" borderId="0" xfId="0" applyNumberFormat="1"/>
    <xf numFmtId="182" fontId="15" fillId="0" borderId="0" xfId="0" applyNumberFormat="1" applyFont="1" applyBorder="1"/>
    <xf numFmtId="182" fontId="169" fillId="0" borderId="0" xfId="0" applyNumberFormat="1" applyFont="1"/>
    <xf numFmtId="182" fontId="33" fillId="0" borderId="0" xfId="0" applyNumberFormat="1" applyFont="1"/>
    <xf numFmtId="182" fontId="170" fillId="73" borderId="63" xfId="0" applyNumberFormat="1" applyFont="1" applyFill="1" applyBorder="1"/>
    <xf numFmtId="182" fontId="170" fillId="73" borderId="63" xfId="0" applyNumberFormat="1" applyFont="1" applyFill="1" applyBorder="1" applyAlignment="1">
      <alignment horizontal="left"/>
    </xf>
    <xf numFmtId="182" fontId="33" fillId="29" borderId="15" xfId="0" applyNumberFormat="1" applyFont="1" applyFill="1" applyBorder="1" applyAlignment="1">
      <alignment horizontal="left" vertical="top" wrapText="1"/>
    </xf>
    <xf numFmtId="0" fontId="15" fillId="0" borderId="0" xfId="0" applyFont="1" applyFill="1"/>
    <xf numFmtId="203" fontId="0" fillId="0" borderId="0" xfId="0" applyNumberFormat="1"/>
    <xf numFmtId="9" fontId="0" fillId="0" borderId="0" xfId="0" applyNumberFormat="1"/>
    <xf numFmtId="185" fontId="0" fillId="0" borderId="0" xfId="0" applyNumberFormat="1"/>
    <xf numFmtId="0" fontId="33" fillId="29" borderId="15" xfId="0" applyFont="1" applyFill="1" applyBorder="1" applyAlignment="1">
      <alignment horizontal="left" vertical="top" wrapText="1"/>
    </xf>
    <xf numFmtId="0" fontId="4" fillId="0" borderId="0" xfId="40425"/>
    <xf numFmtId="14" fontId="4" fillId="0" borderId="0" xfId="40425" applyNumberFormat="1"/>
    <xf numFmtId="0" fontId="14" fillId="0" borderId="0" xfId="40425" applyFont="1" applyBorder="1" applyAlignment="1">
      <alignment horizontal="left"/>
    </xf>
    <xf numFmtId="0" fontId="93" fillId="0" borderId="0" xfId="40425" applyFont="1" applyFill="1" applyBorder="1" applyAlignment="1">
      <alignment horizontal="left" wrapText="1"/>
    </xf>
    <xf numFmtId="2" fontId="4" fillId="0" borderId="0" xfId="40425" applyNumberFormat="1"/>
    <xf numFmtId="169" fontId="4" fillId="0" borderId="0" xfId="40425" applyNumberFormat="1"/>
    <xf numFmtId="0" fontId="0" fillId="0" borderId="24" xfId="0" applyBorder="1"/>
    <xf numFmtId="0" fontId="0" fillId="0" borderId="25" xfId="0" applyBorder="1"/>
    <xf numFmtId="0" fontId="0" fillId="0" borderId="26" xfId="0" applyBorder="1"/>
    <xf numFmtId="0" fontId="0" fillId="0" borderId="21" xfId="0" applyBorder="1"/>
    <xf numFmtId="1" fontId="0" fillId="0" borderId="0" xfId="0" applyNumberFormat="1" applyBorder="1"/>
    <xf numFmtId="169" fontId="0" fillId="0" borderId="0" xfId="0" applyNumberFormat="1" applyBorder="1"/>
    <xf numFmtId="0" fontId="0" fillId="0" borderId="18" xfId="0" applyBorder="1"/>
    <xf numFmtId="0" fontId="15" fillId="0" borderId="0" xfId="849" applyBorder="1"/>
    <xf numFmtId="2" fontId="0" fillId="0" borderId="0" xfId="0" applyNumberFormat="1" applyBorder="1"/>
    <xf numFmtId="2" fontId="0" fillId="0" borderId="18" xfId="0" applyNumberFormat="1" applyBorder="1"/>
    <xf numFmtId="0" fontId="4" fillId="0" borderId="0" xfId="40425" applyBorder="1" applyAlignment="1">
      <alignment horizontal="center"/>
    </xf>
    <xf numFmtId="0" fontId="4" fillId="0" borderId="0" xfId="40425" applyBorder="1"/>
    <xf numFmtId="0" fontId="4" fillId="0" borderId="0" xfId="40425" applyFill="1" applyBorder="1"/>
    <xf numFmtId="169" fontId="4" fillId="0" borderId="0" xfId="40425" applyNumberFormat="1" applyBorder="1"/>
    <xf numFmtId="0" fontId="0" fillId="0" borderId="64" xfId="0" applyBorder="1"/>
    <xf numFmtId="0" fontId="0" fillId="0" borderId="65" xfId="0" applyBorder="1"/>
    <xf numFmtId="0" fontId="93" fillId="0" borderId="65" xfId="40425" applyFont="1" applyFill="1" applyBorder="1" applyAlignment="1">
      <alignment horizontal="left" wrapText="1"/>
    </xf>
    <xf numFmtId="169" fontId="0" fillId="0" borderId="65" xfId="0" applyNumberFormat="1" applyBorder="1"/>
    <xf numFmtId="0" fontId="0" fillId="0" borderId="66" xfId="0" applyBorder="1"/>
    <xf numFmtId="0" fontId="2" fillId="0" borderId="0" xfId="40425" applyFont="1"/>
    <xf numFmtId="0" fontId="4" fillId="0" borderId="0" xfId="40425" applyAlignment="1">
      <alignment wrapText="1"/>
    </xf>
    <xf numFmtId="0" fontId="171" fillId="87" borderId="0" xfId="0" applyFont="1" applyFill="1" applyAlignment="1">
      <alignment horizontal="left" vertical="center" indent="2"/>
    </xf>
    <xf numFmtId="0" fontId="172" fillId="88" borderId="67" xfId="0" applyFont="1" applyFill="1" applyBorder="1" applyAlignment="1">
      <alignment horizontal="left" vertical="center" indent="2"/>
    </xf>
    <xf numFmtId="0" fontId="172" fillId="88" borderId="67" xfId="0" applyFont="1" applyFill="1" applyBorder="1" applyAlignment="1">
      <alignment horizontal="right" vertical="top" indent="1"/>
    </xf>
    <xf numFmtId="0" fontId="172" fillId="87" borderId="67" xfId="0" applyFont="1" applyFill="1" applyBorder="1" applyAlignment="1">
      <alignment horizontal="left" vertical="center" indent="2"/>
    </xf>
    <xf numFmtId="0" fontId="172" fillId="87" borderId="67" xfId="0" applyFont="1" applyFill="1" applyBorder="1" applyAlignment="1">
      <alignment horizontal="right" vertical="top" indent="1"/>
    </xf>
    <xf numFmtId="0" fontId="171" fillId="87" borderId="0" xfId="0" applyFont="1" applyFill="1" applyAlignment="1">
      <alignment horizontal="right" vertical="center" indent="1"/>
    </xf>
    <xf numFmtId="0" fontId="3" fillId="0" borderId="24" xfId="40425" applyFont="1" applyBorder="1"/>
    <xf numFmtId="0" fontId="4" fillId="0" borderId="25" xfId="40425" applyBorder="1"/>
    <xf numFmtId="0" fontId="4" fillId="0" borderId="26" xfId="40425" applyBorder="1"/>
    <xf numFmtId="0" fontId="4" fillId="0" borderId="21" xfId="40425" applyBorder="1"/>
    <xf numFmtId="3" fontId="4" fillId="0" borderId="0" xfId="40425" applyNumberFormat="1" applyBorder="1"/>
    <xf numFmtId="0" fontId="4" fillId="0" borderId="18" xfId="40425" applyBorder="1"/>
    <xf numFmtId="0" fontId="4" fillId="0" borderId="64" xfId="40425" applyBorder="1"/>
    <xf numFmtId="0" fontId="4" fillId="0" borderId="65" xfId="40425" applyBorder="1"/>
    <xf numFmtId="0" fontId="4" fillId="0" borderId="66" xfId="40425" applyBorder="1"/>
    <xf numFmtId="0" fontId="4" fillId="0" borderId="24" xfId="40425" applyBorder="1"/>
    <xf numFmtId="0" fontId="2" fillId="0" borderId="25" xfId="40425" applyFont="1" applyBorder="1"/>
    <xf numFmtId="0" fontId="2" fillId="0" borderId="21" xfId="40425" applyFont="1" applyBorder="1"/>
    <xf numFmtId="0" fontId="2" fillId="0" borderId="0" xfId="40425" quotePrefix="1" applyFont="1" applyBorder="1"/>
    <xf numFmtId="2" fontId="0" fillId="36" borderId="0" xfId="0" applyNumberFormat="1" applyFill="1"/>
    <xf numFmtId="1" fontId="0" fillId="36" borderId="0" xfId="0" applyNumberFormat="1" applyFill="1"/>
    <xf numFmtId="3" fontId="4" fillId="36" borderId="0" xfId="40425" applyNumberFormat="1" applyFill="1" applyBorder="1"/>
    <xf numFmtId="169" fontId="4" fillId="36" borderId="0" xfId="40425" applyNumberFormat="1" applyFill="1"/>
    <xf numFmtId="0" fontId="4" fillId="36" borderId="0" xfId="40425" applyFill="1"/>
    <xf numFmtId="0" fontId="4" fillId="36" borderId="0" xfId="40425" applyFill="1" applyBorder="1"/>
    <xf numFmtId="2" fontId="4" fillId="36" borderId="0" xfId="40425" applyNumberFormat="1" applyFill="1"/>
    <xf numFmtId="0" fontId="173" fillId="0" borderId="0" xfId="40425" applyFont="1" applyAlignment="1">
      <alignment wrapText="1"/>
    </xf>
    <xf numFmtId="169" fontId="173" fillId="0" borderId="0" xfId="40425" applyNumberFormat="1" applyFont="1"/>
    <xf numFmtId="0" fontId="173" fillId="0" borderId="0" xfId="40425" applyFont="1"/>
    <xf numFmtId="0" fontId="0" fillId="36" borderId="0" xfId="0" applyFill="1" applyBorder="1"/>
    <xf numFmtId="0" fontId="120" fillId="0" borderId="0" xfId="0" applyFont="1" applyBorder="1"/>
    <xf numFmtId="2" fontId="120" fillId="0" borderId="0" xfId="0" applyNumberFormat="1" applyFont="1" applyBorder="1"/>
    <xf numFmtId="0" fontId="174" fillId="0" borderId="0" xfId="40425" applyFont="1"/>
    <xf numFmtId="1" fontId="4" fillId="0" borderId="0" xfId="40425" applyNumberFormat="1"/>
    <xf numFmtId="168" fontId="4" fillId="0" borderId="0" xfId="40425" applyNumberFormat="1"/>
    <xf numFmtId="0" fontId="66" fillId="0" borderId="0" xfId="856"/>
    <xf numFmtId="0" fontId="4" fillId="0" borderId="0" xfId="40425" applyAlignment="1">
      <alignment horizontal="right"/>
    </xf>
    <xf numFmtId="0" fontId="33" fillId="73" borderId="22" xfId="40425" applyFont="1" applyFill="1" applyBorder="1" applyAlignment="1">
      <alignment horizontal="left" vertical="center" wrapText="1"/>
    </xf>
    <xf numFmtId="0" fontId="33" fillId="75" borderId="22" xfId="40425" applyFont="1" applyFill="1" applyBorder="1" applyAlignment="1">
      <alignment horizontal="left" vertical="center" wrapText="1"/>
    </xf>
    <xf numFmtId="0" fontId="33" fillId="75" borderId="22" xfId="40425" applyFont="1" applyFill="1" applyBorder="1" applyAlignment="1">
      <alignment horizontal="right" vertical="center" wrapText="1"/>
    </xf>
    <xf numFmtId="0" fontId="170" fillId="73" borderId="22" xfId="40425" applyFont="1" applyFill="1" applyBorder="1" applyAlignment="1">
      <alignment horizontal="left" vertical="center" wrapText="1"/>
    </xf>
    <xf numFmtId="204" fontId="93" fillId="75" borderId="0" xfId="40425" applyNumberFormat="1" applyFont="1" applyFill="1" applyBorder="1" applyAlignment="1">
      <alignment horizontal="left"/>
    </xf>
    <xf numFmtId="204" fontId="93" fillId="75" borderId="0" xfId="40425" applyNumberFormat="1" applyFont="1" applyFill="1" applyBorder="1" applyAlignment="1">
      <alignment horizontal="right"/>
    </xf>
    <xf numFmtId="1" fontId="93" fillId="89" borderId="0" xfId="40425" applyNumberFormat="1" applyFont="1" applyFill="1"/>
    <xf numFmtId="0" fontId="0" fillId="0" borderId="0" xfId="40425" applyFont="1"/>
    <xf numFmtId="1" fontId="66" fillId="0" borderId="0" xfId="856" applyNumberFormat="1"/>
    <xf numFmtId="0" fontId="175" fillId="0" borderId="0" xfId="856" applyFont="1"/>
    <xf numFmtId="0" fontId="174" fillId="90" borderId="0" xfId="40425" applyFont="1" applyFill="1"/>
    <xf numFmtId="0" fontId="4" fillId="90" borderId="0" xfId="40425" applyFill="1"/>
    <xf numFmtId="0" fontId="176" fillId="0" borderId="0" xfId="40425" applyFont="1" applyAlignment="1">
      <alignment wrapText="1"/>
    </xf>
    <xf numFmtId="0" fontId="1" fillId="0" borderId="0" xfId="0" applyFont="1" applyBorder="1"/>
    <xf numFmtId="205" fontId="4" fillId="0" borderId="0" xfId="40425" applyNumberFormat="1"/>
    <xf numFmtId="185" fontId="0" fillId="90" borderId="0" xfId="0" applyNumberFormat="1" applyFill="1"/>
    <xf numFmtId="1" fontId="0" fillId="34" borderId="0" xfId="0" applyNumberFormat="1" applyFill="1" applyBorder="1"/>
    <xf numFmtId="0" fontId="15" fillId="0" borderId="0" xfId="0" applyFont="1" applyBorder="1"/>
    <xf numFmtId="185" fontId="4" fillId="0" borderId="0" xfId="40425" applyNumberFormat="1"/>
    <xf numFmtId="3" fontId="68" fillId="32" borderId="62" xfId="27" applyBorder="1"/>
    <xf numFmtId="179" fontId="33" fillId="2" borderId="64" xfId="2572" applyFill="1" applyBorder="1"/>
    <xf numFmtId="179" fontId="33" fillId="30" borderId="65" xfId="2572" applyFill="1" applyBorder="1"/>
    <xf numFmtId="179" fontId="33" fillId="2" borderId="66" xfId="2572" applyFill="1" applyBorder="1"/>
    <xf numFmtId="179" fontId="177" fillId="26" borderId="0" xfId="2572" applyFont="1" applyFill="1"/>
    <xf numFmtId="0" fontId="45" fillId="91" borderId="0" xfId="0" applyNumberFormat="1" applyFont="1" applyFill="1" applyBorder="1" applyAlignment="1" applyProtection="1"/>
    <xf numFmtId="0" fontId="33" fillId="91" borderId="0" xfId="0" applyNumberFormat="1" applyFont="1" applyFill="1" applyBorder="1" applyAlignment="1" applyProtection="1"/>
    <xf numFmtId="9" fontId="33" fillId="91" borderId="0" xfId="0" applyNumberFormat="1" applyFont="1" applyFill="1" applyBorder="1" applyAlignment="1" applyProtection="1"/>
    <xf numFmtId="0" fontId="33" fillId="92" borderId="24" xfId="0" applyNumberFormat="1" applyFont="1" applyFill="1" applyBorder="1" applyAlignment="1" applyProtection="1"/>
    <xf numFmtId="0" fontId="33" fillId="92" borderId="28" xfId="0" applyNumberFormat="1" applyFont="1" applyFill="1" applyBorder="1" applyAlignment="1" applyProtection="1"/>
    <xf numFmtId="0" fontId="33" fillId="92" borderId="29" xfId="0" applyNumberFormat="1" applyFont="1" applyFill="1" applyBorder="1" applyAlignment="1" applyProtection="1"/>
    <xf numFmtId="0" fontId="33" fillId="92" borderId="25" xfId="0" applyNumberFormat="1" applyFont="1" applyFill="1" applyBorder="1" applyAlignment="1" applyProtection="1"/>
    <xf numFmtId="0" fontId="33" fillId="92" borderId="26" xfId="0" applyNumberFormat="1" applyFont="1" applyFill="1" applyBorder="1" applyAlignment="1" applyProtection="1"/>
    <xf numFmtId="0" fontId="33" fillId="92" borderId="30" xfId="0" applyNumberFormat="1" applyFont="1" applyFill="1" applyBorder="1" applyAlignment="1" applyProtection="1"/>
    <xf numFmtId="0" fontId="59" fillId="92" borderId="31" xfId="0" applyNumberFormat="1" applyFont="1" applyFill="1" applyBorder="1" applyAlignment="1" applyProtection="1"/>
    <xf numFmtId="0" fontId="59" fillId="92" borderId="23" xfId="0" applyNumberFormat="1" applyFont="1" applyFill="1" applyBorder="1" applyAlignment="1" applyProtection="1"/>
    <xf numFmtId="0" fontId="59" fillId="92" borderId="16" xfId="0" applyNumberFormat="1" applyFont="1" applyFill="1" applyBorder="1" applyAlignment="1" applyProtection="1"/>
    <xf numFmtId="0" fontId="33" fillId="92" borderId="16" xfId="0" applyNumberFormat="1" applyFont="1" applyFill="1" applyBorder="1" applyAlignment="1" applyProtection="1"/>
    <xf numFmtId="0" fontId="33" fillId="92" borderId="32" xfId="0" applyNumberFormat="1" applyFont="1" applyFill="1" applyBorder="1" applyAlignment="1" applyProtection="1"/>
    <xf numFmtId="0" fontId="45" fillId="92" borderId="21" xfId="0" applyNumberFormat="1" applyFont="1" applyFill="1" applyBorder="1" applyAlignment="1" applyProtection="1"/>
    <xf numFmtId="0" fontId="59" fillId="92" borderId="33" xfId="0" applyNumberFormat="1" applyFont="1" applyFill="1" applyBorder="1" applyAlignment="1" applyProtection="1"/>
    <xf numFmtId="0" fontId="59" fillId="92" borderId="34" xfId="0" applyNumberFormat="1" applyFont="1" applyFill="1" applyBorder="1" applyAlignment="1" applyProtection="1"/>
    <xf numFmtId="0" fontId="59" fillId="92" borderId="0" xfId="0" applyNumberFormat="1" applyFont="1" applyFill="1" applyBorder="1" applyAlignment="1" applyProtection="1"/>
    <xf numFmtId="0" fontId="33" fillId="92" borderId="0" xfId="0" applyNumberFormat="1" applyFont="1" applyFill="1" applyBorder="1" applyAlignment="1" applyProtection="1"/>
    <xf numFmtId="0" fontId="33" fillId="92" borderId="18" xfId="0" applyNumberFormat="1" applyFont="1" applyFill="1" applyBorder="1" applyAlignment="1" applyProtection="1"/>
    <xf numFmtId="0" fontId="178" fillId="92" borderId="21" xfId="0" applyNumberFormat="1" applyFont="1" applyFill="1" applyBorder="1" applyAlignment="1" applyProtection="1"/>
    <xf numFmtId="189" fontId="15" fillId="92" borderId="34" xfId="0" applyNumberFormat="1" applyFont="1" applyFill="1" applyBorder="1" applyAlignment="1" applyProtection="1">
      <protection locked="0"/>
    </xf>
    <xf numFmtId="189" fontId="15" fillId="92" borderId="0" xfId="0" applyNumberFormat="1" applyFont="1" applyFill="1" applyBorder="1" applyAlignment="1" applyProtection="1">
      <protection locked="0"/>
    </xf>
    <xf numFmtId="180" fontId="15" fillId="92" borderId="0" xfId="0" applyNumberFormat="1" applyFont="1" applyFill="1" applyBorder="1" applyAlignment="1" applyProtection="1">
      <protection locked="0"/>
    </xf>
    <xf numFmtId="0" fontId="179" fillId="92" borderId="0" xfId="0" applyNumberFormat="1" applyFont="1" applyFill="1" applyBorder="1" applyAlignment="1" applyProtection="1"/>
    <xf numFmtId="165" fontId="33" fillId="92" borderId="34" xfId="0" applyNumberFormat="1" applyFont="1" applyFill="1" applyBorder="1" applyAlignment="1" applyProtection="1">
      <protection locked="0"/>
    </xf>
    <xf numFmtId="189" fontId="33" fillId="92" borderId="0" xfId="0" applyNumberFormat="1" applyFont="1" applyFill="1" applyBorder="1" applyAlignment="1" applyProtection="1">
      <protection locked="0"/>
    </xf>
    <xf numFmtId="165" fontId="73" fillId="92" borderId="34" xfId="0" applyNumberFormat="1" applyFont="1" applyFill="1" applyBorder="1" applyAlignment="1" applyProtection="1">
      <protection locked="0"/>
    </xf>
    <xf numFmtId="165" fontId="180" fillId="92" borderId="34" xfId="0" applyNumberFormat="1" applyFont="1" applyFill="1" applyBorder="1" applyAlignment="1" applyProtection="1">
      <protection locked="0"/>
    </xf>
    <xf numFmtId="187" fontId="181" fillId="92" borderId="0" xfId="0" applyNumberFormat="1" applyFont="1" applyFill="1" applyBorder="1" applyAlignment="1" applyProtection="1">
      <protection locked="0"/>
    </xf>
    <xf numFmtId="0" fontId="15" fillId="92" borderId="0" xfId="0" applyNumberFormat="1" applyFont="1" applyFill="1" applyBorder="1" applyAlignment="1" applyProtection="1"/>
    <xf numFmtId="0" fontId="15" fillId="92" borderId="21" xfId="0" applyNumberFormat="1" applyFont="1" applyFill="1" applyBorder="1" applyAlignment="1" applyProtection="1"/>
    <xf numFmtId="0" fontId="75" fillId="92" borderId="34" xfId="0" applyNumberFormat="1" applyFont="1" applyFill="1" applyBorder="1" applyAlignment="1" applyProtection="1">
      <protection locked="0"/>
    </xf>
    <xf numFmtId="0" fontId="75" fillId="92" borderId="0" xfId="0" applyNumberFormat="1" applyFont="1" applyFill="1" applyBorder="1" applyAlignment="1" applyProtection="1">
      <protection locked="0"/>
    </xf>
    <xf numFmtId="0" fontId="178" fillId="92" borderId="34" xfId="0" applyNumberFormat="1" applyFont="1" applyFill="1" applyBorder="1" applyAlignment="1" applyProtection="1">
      <protection locked="0"/>
    </xf>
    <xf numFmtId="0" fontId="178" fillId="92" borderId="0" xfId="0" applyNumberFormat="1" applyFont="1" applyFill="1" applyBorder="1" applyAlignment="1" applyProtection="1">
      <protection locked="0"/>
    </xf>
    <xf numFmtId="0" fontId="33" fillId="92" borderId="21" xfId="0" applyNumberFormat="1" applyFont="1" applyFill="1" applyBorder="1" applyAlignment="1" applyProtection="1"/>
    <xf numFmtId="0" fontId="182" fillId="92" borderId="33" xfId="0" applyNumberFormat="1" applyFont="1" applyFill="1" applyBorder="1" applyAlignment="1" applyProtection="1"/>
    <xf numFmtId="0" fontId="75" fillId="92" borderId="34" xfId="0" applyNumberFormat="1" applyFont="1" applyFill="1" applyBorder="1" applyAlignment="1" applyProtection="1"/>
    <xf numFmtId="0" fontId="75" fillId="92" borderId="0" xfId="0" applyNumberFormat="1" applyFont="1" applyFill="1" applyBorder="1" applyAlignment="1" applyProtection="1"/>
    <xf numFmtId="3" fontId="73" fillId="92" borderId="0" xfId="0" applyNumberFormat="1" applyFont="1" applyFill="1" applyBorder="1" applyAlignment="1" applyProtection="1"/>
    <xf numFmtId="3" fontId="33" fillId="92" borderId="0" xfId="0" applyNumberFormat="1" applyFont="1" applyFill="1" applyBorder="1" applyAlignment="1" applyProtection="1"/>
    <xf numFmtId="0" fontId="33" fillId="92" borderId="21" xfId="0" applyNumberFormat="1" applyFont="1" applyFill="1" applyBorder="1" applyAlignment="1" applyProtection="1">
      <alignment horizontal="left" indent="1"/>
    </xf>
    <xf numFmtId="3" fontId="75" fillId="92" borderId="0" xfId="0" applyNumberFormat="1" applyFont="1" applyFill="1" applyBorder="1" applyAlignment="1" applyProtection="1"/>
    <xf numFmtId="1" fontId="75" fillId="92" borderId="0" xfId="0" applyNumberFormat="1" applyFont="1" applyFill="1" applyBorder="1" applyAlignment="1" applyProtection="1">
      <protection locked="0"/>
    </xf>
    <xf numFmtId="3" fontId="178" fillId="92" borderId="34" xfId="0" applyNumberFormat="1" applyFont="1" applyFill="1" applyBorder="1" applyAlignment="1" applyProtection="1"/>
    <xf numFmtId="3" fontId="178" fillId="92" borderId="0" xfId="0" applyNumberFormat="1" applyFont="1" applyFill="1" applyBorder="1" applyAlignment="1" applyProtection="1"/>
    <xf numFmtId="0" fontId="15" fillId="92" borderId="18" xfId="0" applyNumberFormat="1" applyFont="1" applyFill="1" applyBorder="1" applyAlignment="1" applyProtection="1"/>
    <xf numFmtId="0" fontId="15" fillId="92" borderId="0" xfId="0" applyNumberFormat="1" applyFont="1" applyFill="1" applyBorder="1" applyAlignment="1" applyProtection="1">
      <protection locked="0"/>
    </xf>
    <xf numFmtId="0" fontId="64" fillId="91" borderId="0" xfId="0" applyNumberFormat="1" applyFont="1" applyFill="1" applyBorder="1" applyAlignment="1" applyProtection="1"/>
    <xf numFmtId="0" fontId="33" fillId="92" borderId="33" xfId="0" applyNumberFormat="1" applyFont="1" applyFill="1" applyBorder="1" applyAlignment="1" applyProtection="1"/>
    <xf numFmtId="4" fontId="33" fillId="92" borderId="0" xfId="0" applyNumberFormat="1" applyFont="1" applyFill="1" applyBorder="1" applyAlignment="1" applyProtection="1"/>
    <xf numFmtId="0" fontId="15" fillId="92" borderId="33" xfId="0" applyNumberFormat="1" applyFont="1" applyFill="1" applyBorder="1" applyAlignment="1" applyProtection="1"/>
    <xf numFmtId="175" fontId="75" fillId="92" borderId="0" xfId="0" applyNumberFormat="1" applyFont="1" applyFill="1" applyBorder="1" applyAlignment="1" applyProtection="1"/>
    <xf numFmtId="4" fontId="75" fillId="92" borderId="0" xfId="0" applyNumberFormat="1" applyFont="1" applyFill="1" applyBorder="1" applyAlignment="1" applyProtection="1"/>
    <xf numFmtId="4" fontId="15" fillId="92" borderId="0" xfId="0" applyNumberFormat="1" applyFont="1" applyFill="1" applyBorder="1" applyAlignment="1" applyProtection="1"/>
    <xf numFmtId="9" fontId="75" fillId="92" borderId="0" xfId="0" applyNumberFormat="1" applyFont="1" applyFill="1" applyBorder="1" applyAlignment="1" applyProtection="1"/>
    <xf numFmtId="0" fontId="15" fillId="92" borderId="64" xfId="0" applyNumberFormat="1" applyFont="1" applyFill="1" applyBorder="1" applyAlignment="1" applyProtection="1"/>
    <xf numFmtId="0" fontId="15" fillId="92" borderId="68" xfId="0" applyNumberFormat="1" applyFont="1" applyFill="1" applyBorder="1" applyAlignment="1" applyProtection="1"/>
    <xf numFmtId="195" fontId="75" fillId="92" borderId="65" xfId="0" applyNumberFormat="1" applyFont="1" applyFill="1" applyBorder="1" applyAlignment="1" applyProtection="1"/>
    <xf numFmtId="0" fontId="33" fillId="92" borderId="66" xfId="0" applyNumberFormat="1" applyFont="1" applyFill="1" applyBorder="1" applyAlignment="1" applyProtection="1"/>
    <xf numFmtId="179" fontId="63" fillId="2" borderId="64" xfId="2572" applyFont="1" applyFill="1" applyBorder="1"/>
    <xf numFmtId="179" fontId="61" fillId="30" borderId="68" xfId="2572" applyFont="1" applyFill="1" applyBorder="1"/>
    <xf numFmtId="179" fontId="60" fillId="2" borderId="65" xfId="2572" applyFont="1" applyFill="1" applyBorder="1"/>
    <xf numFmtId="179" fontId="15" fillId="2" borderId="65" xfId="2572" applyFont="1" applyFill="1" applyBorder="1"/>
    <xf numFmtId="192" fontId="15" fillId="92" borderId="0" xfId="0" applyNumberFormat="1" applyFont="1" applyFill="1" applyBorder="1" applyAlignment="1" applyProtection="1"/>
    <xf numFmtId="180" fontId="75" fillId="92" borderId="0" xfId="0" applyNumberFormat="1" applyFont="1" applyFill="1" applyBorder="1" applyAlignment="1" applyProtection="1"/>
    <xf numFmtId="179" fontId="15" fillId="2" borderId="64" xfId="2572" applyFont="1" applyFill="1" applyBorder="1"/>
    <xf numFmtId="179" fontId="15" fillId="30" borderId="68" xfId="2572" applyFont="1" applyFill="1" applyBorder="1"/>
    <xf numFmtId="195" fontId="60" fillId="2" borderId="65" xfId="2572" applyNumberFormat="1" applyFont="1" applyFill="1" applyBorder="1"/>
    <xf numFmtId="165" fontId="68" fillId="92" borderId="34" xfId="0" applyNumberFormat="1" applyFont="1" applyFill="1" applyBorder="1" applyAlignment="1" applyProtection="1">
      <protection locked="0"/>
    </xf>
    <xf numFmtId="165" fontId="68" fillId="92" borderId="0" xfId="0" applyNumberFormat="1" applyFont="1" applyFill="1" applyBorder="1" applyAlignment="1" applyProtection="1">
      <protection locked="0"/>
    </xf>
    <xf numFmtId="0" fontId="33" fillId="92" borderId="64" xfId="0" applyNumberFormat="1" applyFont="1" applyFill="1" applyBorder="1" applyAlignment="1" applyProtection="1"/>
    <xf numFmtId="0" fontId="33" fillId="92" borderId="68" xfId="0" applyNumberFormat="1" applyFont="1" applyFill="1" applyBorder="1" applyAlignment="1" applyProtection="1"/>
    <xf numFmtId="192" fontId="75" fillId="92" borderId="65" xfId="0" applyNumberFormat="1" applyFont="1" applyFill="1" applyBorder="1" applyAlignment="1" applyProtection="1"/>
    <xf numFmtId="0" fontId="179" fillId="92" borderId="65" xfId="0" applyNumberFormat="1" applyFont="1" applyFill="1" applyBorder="1" applyAlignment="1" applyProtection="1"/>
    <xf numFmtId="179" fontId="33" fillId="30" borderId="68" xfId="2572" applyFill="1" applyBorder="1"/>
    <xf numFmtId="192" fontId="75" fillId="30" borderId="65" xfId="2572" applyNumberFormat="1" applyFont="1" applyFill="1" applyBorder="1"/>
    <xf numFmtId="179" fontId="62" fillId="2" borderId="65" xfId="2572" applyFont="1" applyFill="1" applyBorder="1"/>
    <xf numFmtId="193" fontId="33" fillId="91" borderId="0" xfId="0" applyNumberFormat="1" applyFont="1" applyFill="1" applyBorder="1" applyAlignment="1" applyProtection="1"/>
    <xf numFmtId="179" fontId="77" fillId="30" borderId="65" xfId="2572" applyFont="1" applyFill="1" applyBorder="1"/>
    <xf numFmtId="179" fontId="33" fillId="30" borderId="64" xfId="2572" applyFill="1" applyBorder="1"/>
    <xf numFmtId="165" fontId="76" fillId="30" borderId="65" xfId="2572" applyNumberFormat="1" applyFont="1" applyFill="1" applyBorder="1"/>
    <xf numFmtId="179" fontId="98" fillId="30" borderId="63" xfId="2572" applyFont="1" applyFill="1" applyBorder="1"/>
    <xf numFmtId="179" fontId="101" fillId="30" borderId="63" xfId="2572" applyFont="1" applyFill="1" applyBorder="1"/>
    <xf numFmtId="180" fontId="99" fillId="30" borderId="63" xfId="2572" applyNumberFormat="1" applyFont="1" applyFill="1" applyBorder="1"/>
    <xf numFmtId="2" fontId="77" fillId="0" borderId="0" xfId="0" applyNumberFormat="1" applyFont="1"/>
    <xf numFmtId="4" fontId="77" fillId="0" borderId="0" xfId="0" applyNumberFormat="1" applyFont="1" applyBorder="1"/>
    <xf numFmtId="0" fontId="74" fillId="36" borderId="63" xfId="0" applyFont="1" applyFill="1" applyBorder="1" applyAlignment="1">
      <alignment horizontal="center" vertical="center" wrapText="1"/>
    </xf>
    <xf numFmtId="0" fontId="33" fillId="36" borderId="22" xfId="0" applyFont="1" applyFill="1" applyBorder="1" applyAlignment="1">
      <alignment horizontal="left" vertical="center" wrapText="1"/>
    </xf>
    <xf numFmtId="2" fontId="0" fillId="90" borderId="0" xfId="0" applyNumberFormat="1" applyFill="1"/>
    <xf numFmtId="2" fontId="0" fillId="0" borderId="0" xfId="0" applyNumberFormat="1" applyFill="1"/>
    <xf numFmtId="175" fontId="0" fillId="0" borderId="0" xfId="0" applyNumberFormat="1"/>
    <xf numFmtId="0" fontId="0" fillId="0" borderId="0" xfId="0" applyFill="1" applyBorder="1"/>
    <xf numFmtId="0" fontId="15" fillId="0" borderId="16" xfId="0" applyFont="1" applyBorder="1"/>
    <xf numFmtId="2" fontId="0" fillId="90" borderId="16" xfId="0" applyNumberFormat="1" applyFill="1" applyBorder="1"/>
    <xf numFmtId="2" fontId="0" fillId="0" borderId="16" xfId="0" applyNumberFormat="1" applyFill="1" applyBorder="1"/>
    <xf numFmtId="0" fontId="0" fillId="0" borderId="16" xfId="0" applyFill="1" applyBorder="1"/>
    <xf numFmtId="0" fontId="39" fillId="0" borderId="0" xfId="0" applyFont="1" applyBorder="1"/>
    <xf numFmtId="2" fontId="0" fillId="90" borderId="0" xfId="0" applyNumberFormat="1" applyFill="1" applyBorder="1"/>
    <xf numFmtId="2" fontId="0" fillId="0" borderId="0" xfId="0" applyNumberFormat="1" applyFill="1" applyBorder="1"/>
    <xf numFmtId="175" fontId="0" fillId="0" borderId="0" xfId="0" applyNumberFormat="1" applyBorder="1"/>
    <xf numFmtId="0" fontId="39" fillId="0" borderId="16" xfId="0" applyFont="1" applyBorder="1"/>
    <xf numFmtId="175" fontId="0" fillId="0" borderId="16" xfId="0" applyNumberFormat="1" applyBorder="1"/>
    <xf numFmtId="0" fontId="174" fillId="36" borderId="0" xfId="40425" applyFont="1" applyFill="1"/>
    <xf numFmtId="14" fontId="174" fillId="36" borderId="0" xfId="40425" applyNumberFormat="1" applyFont="1" applyFill="1"/>
    <xf numFmtId="0" fontId="15" fillId="36" borderId="0" xfId="0" applyFont="1" applyFill="1"/>
    <xf numFmtId="0" fontId="174" fillId="38" borderId="0" xfId="40425" applyFont="1" applyFill="1"/>
    <xf numFmtId="0" fontId="4" fillId="38" borderId="0" xfId="40425" applyFill="1"/>
    <xf numFmtId="14" fontId="15" fillId="0" borderId="0" xfId="0" applyNumberFormat="1" applyFont="1"/>
    <xf numFmtId="0" fontId="93" fillId="0" borderId="25" xfId="40425" applyFont="1" applyFill="1" applyBorder="1" applyAlignment="1">
      <alignment horizontal="left" wrapText="1"/>
    </xf>
    <xf numFmtId="0" fontId="15" fillId="0" borderId="0" xfId="0" applyFont="1" applyFill="1" applyBorder="1"/>
    <xf numFmtId="0" fontId="15" fillId="0" borderId="18" xfId="0" applyFont="1" applyFill="1" applyBorder="1"/>
    <xf numFmtId="1" fontId="15" fillId="0" borderId="0" xfId="0" applyNumberFormat="1" applyFont="1" applyFill="1" applyBorder="1"/>
    <xf numFmtId="2" fontId="15" fillId="93" borderId="0" xfId="0" applyNumberFormat="1" applyFont="1" applyFill="1" applyBorder="1"/>
    <xf numFmtId="2" fontId="15" fillId="0" borderId="0" xfId="0" applyNumberFormat="1" applyFont="1" applyFill="1" applyBorder="1"/>
    <xf numFmtId="182" fontId="178" fillId="0" borderId="63" xfId="0" applyNumberFormat="1" applyFont="1" applyFill="1" applyBorder="1"/>
    <xf numFmtId="0" fontId="178" fillId="0" borderId="63" xfId="0" applyFont="1" applyFill="1" applyBorder="1"/>
    <xf numFmtId="1" fontId="178" fillId="0" borderId="63" xfId="0" applyNumberFormat="1" applyFont="1" applyFill="1" applyBorder="1"/>
    <xf numFmtId="0" fontId="178" fillId="0" borderId="0" xfId="0" applyFont="1" applyFill="1" applyBorder="1"/>
    <xf numFmtId="1" fontId="178" fillId="0" borderId="0" xfId="0" applyNumberFormat="1" applyFont="1" applyFill="1" applyBorder="1"/>
    <xf numFmtId="169" fontId="178" fillId="0" borderId="0" xfId="0" applyNumberFormat="1" applyFont="1" applyFill="1" applyBorder="1"/>
    <xf numFmtId="0" fontId="15" fillId="0" borderId="69" xfId="0" applyFont="1" applyFill="1" applyBorder="1"/>
    <xf numFmtId="2" fontId="15" fillId="93" borderId="69" xfId="0" applyNumberFormat="1" applyFont="1" applyFill="1" applyBorder="1"/>
    <xf numFmtId="2" fontId="15" fillId="0" borderId="69" xfId="0" applyNumberFormat="1" applyFont="1" applyFill="1" applyBorder="1"/>
    <xf numFmtId="0" fontId="15" fillId="0" borderId="63" xfId="0" applyFont="1" applyFill="1" applyBorder="1"/>
    <xf numFmtId="1" fontId="15" fillId="0" borderId="63" xfId="0" applyNumberFormat="1" applyFont="1" applyFill="1" applyBorder="1"/>
    <xf numFmtId="4" fontId="183" fillId="0" borderId="0" xfId="0" applyNumberFormat="1" applyFont="1" applyBorder="1"/>
    <xf numFmtId="2" fontId="0" fillId="36" borderId="0" xfId="0" applyNumberFormat="1" applyFill="1" applyBorder="1"/>
    <xf numFmtId="0" fontId="0" fillId="0" borderId="0" xfId="0" applyFont="1" applyFill="1" applyBorder="1"/>
    <xf numFmtId="0" fontId="0" fillId="0" borderId="21" xfId="0" applyFill="1" applyBorder="1"/>
    <xf numFmtId="0" fontId="0" fillId="0" borderId="18" xfId="0" applyFill="1" applyBorder="1"/>
    <xf numFmtId="0" fontId="0" fillId="43" borderId="36" xfId="0" applyFill="1" applyBorder="1" applyAlignment="1">
      <alignment horizontal="left"/>
    </xf>
    <xf numFmtId="0" fontId="0" fillId="43" borderId="22" xfId="0" applyFill="1" applyBorder="1" applyAlignment="1">
      <alignment horizontal="left"/>
    </xf>
    <xf numFmtId="0" fontId="0" fillId="43" borderId="37" xfId="0" applyFill="1" applyBorder="1" applyAlignment="1">
      <alignment horizontal="left"/>
    </xf>
    <xf numFmtId="0" fontId="15" fillId="0" borderId="24" xfId="0" applyFont="1" applyBorder="1"/>
    <xf numFmtId="0" fontId="15" fillId="36" borderId="0" xfId="0" applyFont="1" applyFill="1" applyBorder="1"/>
    <xf numFmtId="1" fontId="0" fillId="0" borderId="0" xfId="0" applyNumberFormat="1" applyFill="1" applyBorder="1"/>
    <xf numFmtId="185" fontId="0" fillId="0" borderId="18" xfId="0" applyNumberFormat="1" applyBorder="1"/>
    <xf numFmtId="0" fontId="45" fillId="0" borderId="24" xfId="0" applyFont="1" applyBorder="1"/>
    <xf numFmtId="0" fontId="77" fillId="36" borderId="0" xfId="0" applyFont="1" applyFill="1" applyBorder="1"/>
  </cellXfs>
  <cellStyles count="40426">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10" xfId="2013" xr:uid="{00000000-0005-0000-0000-000061680000}"/>
    <cellStyle name="Comma 11" xfId="3141" xr:uid="{00000000-0005-0000-0000-000062680000}"/>
    <cellStyle name="Comma 11 2" xfId="23141" xr:uid="{00000000-0005-0000-0000-000063680000}"/>
    <cellStyle name="Comma 12" xfId="39045" xr:uid="{00000000-0005-0000-0000-000064680000}"/>
    <cellStyle name="Comma 2" xfId="38" xr:uid="{00000000-0005-0000-0000-000065680000}"/>
    <cellStyle name="Comma 2 10" xfId="21245" xr:uid="{00000000-0005-0000-0000-000066680000}"/>
    <cellStyle name="Comma 2 11" xfId="39046" xr:uid="{00000000-0005-0000-0000-000067680000}"/>
    <cellStyle name="Comma 2 2" xfId="39" xr:uid="{00000000-0005-0000-0000-000068680000}"/>
    <cellStyle name="Comma 2 2 2" xfId="11193" xr:uid="{00000000-0005-0000-0000-000069680000}"/>
    <cellStyle name="Comma 2 2 2 2" xfId="20237" xr:uid="{00000000-0005-0000-0000-00006A680000}"/>
    <cellStyle name="Comma 2 2 2 2 2" xfId="21200" xr:uid="{00000000-0005-0000-0000-00006B680000}"/>
    <cellStyle name="Comma 2 2 2 3" xfId="21174" xr:uid="{00000000-0005-0000-0000-00006C680000}"/>
    <cellStyle name="Comma 2 2 2 4" xfId="18972" xr:uid="{00000000-0005-0000-0000-00006D680000}"/>
    <cellStyle name="Comma 2 2 3" xfId="11959" xr:uid="{00000000-0005-0000-0000-00006E680000}"/>
    <cellStyle name="Comma 2 2 3 2" xfId="21173" xr:uid="{00000000-0005-0000-0000-00006F680000}"/>
    <cellStyle name="Comma 2 2 3 3" xfId="30148" xr:uid="{00000000-0005-0000-0000-000070680000}"/>
    <cellStyle name="Comma 2 2 4" xfId="3143" xr:uid="{00000000-0005-0000-0000-000071680000}"/>
    <cellStyle name="Comma 2 2 4 2" xfId="23143" xr:uid="{00000000-0005-0000-0000-000072680000}"/>
    <cellStyle name="Comma 2 2 5" xfId="21246" xr:uid="{00000000-0005-0000-0000-000073680000}"/>
    <cellStyle name="Comma 2 2 6" xfId="39047" xr:uid="{00000000-0005-0000-0000-000074680000}"/>
    <cellStyle name="Comma 2 3" xfId="40" xr:uid="{00000000-0005-0000-0000-000075680000}"/>
    <cellStyle name="Comma 2 3 2" xfId="41" xr:uid="{00000000-0005-0000-0000-000076680000}"/>
    <cellStyle name="Comma 2 3 2 2" xfId="11195" xr:uid="{00000000-0005-0000-0000-000077680000}"/>
    <cellStyle name="Comma 2 3 2 3" xfId="11961" xr:uid="{00000000-0005-0000-0000-000078680000}"/>
    <cellStyle name="Comma 2 3 2 3 2" xfId="30150" xr:uid="{00000000-0005-0000-0000-000079680000}"/>
    <cellStyle name="Comma 2 3 2 4" xfId="3145" xr:uid="{00000000-0005-0000-0000-00007A680000}"/>
    <cellStyle name="Comma 2 3 2 4 2" xfId="23145" xr:uid="{00000000-0005-0000-0000-00007B680000}"/>
    <cellStyle name="Comma 2 3 2 5" xfId="21248" xr:uid="{00000000-0005-0000-0000-00007C680000}"/>
    <cellStyle name="Comma 2 3 2 6" xfId="39049" xr:uid="{00000000-0005-0000-0000-00007D680000}"/>
    <cellStyle name="Comma 2 3 3" xfId="11194" xr:uid="{00000000-0005-0000-0000-00007E680000}"/>
    <cellStyle name="Comma 2 3 3 2" xfId="20239" xr:uid="{00000000-0005-0000-0000-00007F680000}"/>
    <cellStyle name="Comma 2 3 3 2 2" xfId="21202" xr:uid="{00000000-0005-0000-0000-000080680000}"/>
    <cellStyle name="Comma 2 3 3 3" xfId="21176" xr:uid="{00000000-0005-0000-0000-000081680000}"/>
    <cellStyle name="Comma 2 3 3 4" xfId="18974" xr:uid="{00000000-0005-0000-0000-000082680000}"/>
    <cellStyle name="Comma 2 3 4" xfId="11960" xr:uid="{00000000-0005-0000-0000-000083680000}"/>
    <cellStyle name="Comma 2 3 4 2" xfId="21201" xr:uid="{00000000-0005-0000-0000-000084680000}"/>
    <cellStyle name="Comma 2 3 4 3" xfId="20238" xr:uid="{00000000-0005-0000-0000-000085680000}"/>
    <cellStyle name="Comma 2 3 4 4" xfId="30149" xr:uid="{00000000-0005-0000-0000-000086680000}"/>
    <cellStyle name="Comma 2 3 5" xfId="21175" xr:uid="{00000000-0005-0000-0000-000087680000}"/>
    <cellStyle name="Comma 2 3 6" xfId="18973" xr:uid="{00000000-0005-0000-0000-000088680000}"/>
    <cellStyle name="Comma 2 3 7" xfId="3144" xr:uid="{00000000-0005-0000-0000-000089680000}"/>
    <cellStyle name="Comma 2 3 7 2" xfId="23144" xr:uid="{00000000-0005-0000-0000-00008A680000}"/>
    <cellStyle name="Comma 2 3 8" xfId="21247" xr:uid="{00000000-0005-0000-0000-00008B680000}"/>
    <cellStyle name="Comma 2 3 9" xfId="39048" xr:uid="{00000000-0005-0000-0000-00008C680000}"/>
    <cellStyle name="Comma 2 4" xfId="42" xr:uid="{00000000-0005-0000-0000-00008D680000}"/>
    <cellStyle name="Comma 2 4 2" xfId="43" xr:uid="{00000000-0005-0000-0000-00008E680000}"/>
    <cellStyle name="Comma 2 4 2 2" xfId="11183" xr:uid="{00000000-0005-0000-0000-00008F680000}"/>
    <cellStyle name="Comma 2 4 2 2 2" xfId="18957" xr:uid="{00000000-0005-0000-0000-000090680000}"/>
    <cellStyle name="Comma 2 4 2 2 2 2" xfId="37116" xr:uid="{00000000-0005-0000-0000-000091680000}"/>
    <cellStyle name="Comma 2 4 2 2 3" xfId="30115" xr:uid="{00000000-0005-0000-0000-000092680000}"/>
    <cellStyle name="Comma 2 4 2 3" xfId="12297" xr:uid="{00000000-0005-0000-0000-000093680000}"/>
    <cellStyle name="Comma 2 4 2 3 2" xfId="30467" xr:uid="{00000000-0005-0000-0000-000094680000}"/>
    <cellStyle name="Comma 2 4 2 4" xfId="21177" xr:uid="{00000000-0005-0000-0000-000095680000}"/>
    <cellStyle name="Comma 2 4 2 5" xfId="3490" xr:uid="{00000000-0005-0000-0000-000096680000}"/>
    <cellStyle name="Comma 2 4 2 5 2" xfId="23465" xr:uid="{00000000-0005-0000-0000-000097680000}"/>
    <cellStyle name="Comma 2 4 2 6" xfId="21250" xr:uid="{00000000-0005-0000-0000-000098680000}"/>
    <cellStyle name="Comma 2 4 2 7" xfId="39381" xr:uid="{00000000-0005-0000-0000-000099680000}"/>
    <cellStyle name="Comma 2 4 2 8" xfId="39450" xr:uid="{00000000-0005-0000-0000-00009A680000}"/>
    <cellStyle name="Comma 2 4 2 9" xfId="39937" xr:uid="{00000000-0005-0000-0000-00009B680000}"/>
    <cellStyle name="Comma 2 4 3" xfId="11151" xr:uid="{00000000-0005-0000-0000-00009C680000}"/>
    <cellStyle name="Comma 2 4 3 2" xfId="18926" xr:uid="{00000000-0005-0000-0000-00009D680000}"/>
    <cellStyle name="Comma 2 4 3 2 2" xfId="37085" xr:uid="{00000000-0005-0000-0000-00009E680000}"/>
    <cellStyle name="Comma 2 4 3 3" xfId="30084" xr:uid="{00000000-0005-0000-0000-00009F680000}"/>
    <cellStyle name="Comma 2 4 4" xfId="11196" xr:uid="{00000000-0005-0000-0000-0000A0680000}"/>
    <cellStyle name="Comma 2 4 5" xfId="11962" xr:uid="{00000000-0005-0000-0000-0000A1680000}"/>
    <cellStyle name="Comma 2 4 5 2" xfId="30151" xr:uid="{00000000-0005-0000-0000-0000A2680000}"/>
    <cellStyle name="Comma 2 4 6" xfId="3146" xr:uid="{00000000-0005-0000-0000-0000A3680000}"/>
    <cellStyle name="Comma 2 4 6 2" xfId="23146" xr:uid="{00000000-0005-0000-0000-0000A4680000}"/>
    <cellStyle name="Comma 2 4 7" xfId="21249" xr:uid="{00000000-0005-0000-0000-0000A5680000}"/>
    <cellStyle name="Comma 2 4 8" xfId="39050" xr:uid="{00000000-0005-0000-0000-0000A6680000}"/>
    <cellStyle name="Comma 2 5" xfId="11192" xr:uid="{00000000-0005-0000-0000-0000A7680000}"/>
    <cellStyle name="Comma 2 5 2" xfId="21178" xr:uid="{00000000-0005-0000-0000-0000A8680000}"/>
    <cellStyle name="Comma 2 5 3" xfId="18975" xr:uid="{00000000-0005-0000-0000-0000A9680000}"/>
    <cellStyle name="Comma 2 6" xfId="11958" xr:uid="{00000000-0005-0000-0000-0000AA680000}"/>
    <cellStyle name="Comma 2 6 2" xfId="18977" xr:uid="{00000000-0005-0000-0000-0000AB680000}"/>
    <cellStyle name="Comma 2 6 2 2" xfId="37129" xr:uid="{00000000-0005-0000-0000-0000AC680000}"/>
    <cellStyle name="Comma 2 6 2 3" xfId="38084" xr:uid="{00000000-0005-0000-0000-0000AD680000}"/>
    <cellStyle name="Comma 2 6 3" xfId="18976" xr:uid="{00000000-0005-0000-0000-0000AE680000}"/>
    <cellStyle name="Comma 2 6 3 2" xfId="37128" xr:uid="{00000000-0005-0000-0000-0000AF680000}"/>
    <cellStyle name="Comma 2 6 4" xfId="30147" xr:uid="{00000000-0005-0000-0000-0000B0680000}"/>
    <cellStyle name="Comma 2 6 5" xfId="38083" xr:uid="{00000000-0005-0000-0000-0000B1680000}"/>
    <cellStyle name="Comma 2 7" xfId="21221" xr:uid="{00000000-0005-0000-0000-0000B2680000}"/>
    <cellStyle name="Comma 2 7 2" xfId="38072" xr:uid="{00000000-0005-0000-0000-0000B3680000}"/>
    <cellStyle name="Comma 2 7 3" xfId="39027" xr:uid="{00000000-0005-0000-0000-0000B4680000}"/>
    <cellStyle name="Comma 2 8" xfId="21172" xr:uid="{00000000-0005-0000-0000-0000B5680000}"/>
    <cellStyle name="Comma 2 9" xfId="3142" xr:uid="{00000000-0005-0000-0000-0000B6680000}"/>
    <cellStyle name="Comma 2 9 2" xfId="23142" xr:uid="{00000000-0005-0000-0000-0000B7680000}"/>
    <cellStyle name="Comma 3" xfId="44" xr:uid="{00000000-0005-0000-0000-0000B8680000}"/>
    <cellStyle name="Comma 3 2" xfId="2014" xr:uid="{00000000-0005-0000-0000-0000B9680000}"/>
    <cellStyle name="Comma 3 2 2" xfId="18979" xr:uid="{00000000-0005-0000-0000-0000BA680000}"/>
    <cellStyle name="Comma 3 2 2 2" xfId="21181" xr:uid="{00000000-0005-0000-0000-0000BB680000}"/>
    <cellStyle name="Comma 3 2 3" xfId="21180" xr:uid="{00000000-0005-0000-0000-0000BC680000}"/>
    <cellStyle name="Comma 3 2 4" xfId="18978" xr:uid="{00000000-0005-0000-0000-0000BD680000}"/>
    <cellStyle name="Comma 3 2 5" xfId="3463" xr:uid="{00000000-0005-0000-0000-0000BE680000}"/>
    <cellStyle name="Comma 3 3" xfId="3491" xr:uid="{00000000-0005-0000-0000-0000BF680000}"/>
    <cellStyle name="Comma 3 3 2" xfId="12298" xr:uid="{00000000-0005-0000-0000-0000C0680000}"/>
    <cellStyle name="Comma 3 3 2 2" xfId="21204" xr:uid="{00000000-0005-0000-0000-0000C1680000}"/>
    <cellStyle name="Comma 3 3 2 2 2" xfId="38060" xr:uid="{00000000-0005-0000-0000-0000C2680000}"/>
    <cellStyle name="Comma 3 3 2 2 3" xfId="39015" xr:uid="{00000000-0005-0000-0000-0000C3680000}"/>
    <cellStyle name="Comma 3 3 2 3" xfId="20241" xr:uid="{00000000-0005-0000-0000-0000C4680000}"/>
    <cellStyle name="Comma 3 3 2 3 2" xfId="37741" xr:uid="{00000000-0005-0000-0000-0000C5680000}"/>
    <cellStyle name="Comma 3 3 2 4" xfId="30468" xr:uid="{00000000-0005-0000-0000-0000C6680000}"/>
    <cellStyle name="Comma 3 3 2 5" xfId="38696" xr:uid="{00000000-0005-0000-0000-0000C7680000}"/>
    <cellStyle name="Comma 3 3 3" xfId="21182" xr:uid="{00000000-0005-0000-0000-0000C8680000}"/>
    <cellStyle name="Comma 3 3 3 2" xfId="38050" xr:uid="{00000000-0005-0000-0000-0000C9680000}"/>
    <cellStyle name="Comma 3 3 3 3" xfId="39005" xr:uid="{00000000-0005-0000-0000-0000CA680000}"/>
    <cellStyle name="Comma 3 3 4" xfId="18980" xr:uid="{00000000-0005-0000-0000-0000CB680000}"/>
    <cellStyle name="Comma 3 3 4 2" xfId="37130" xr:uid="{00000000-0005-0000-0000-0000CC680000}"/>
    <cellStyle name="Comma 3 3 5" xfId="23466" xr:uid="{00000000-0005-0000-0000-0000CD680000}"/>
    <cellStyle name="Comma 3 3 6" xfId="38085" xr:uid="{00000000-0005-0000-0000-0000CE680000}"/>
    <cellStyle name="Comma 3 3 7" xfId="39382" xr:uid="{00000000-0005-0000-0000-0000CF680000}"/>
    <cellStyle name="Comma 3 4" xfId="11963" xr:uid="{00000000-0005-0000-0000-0000D0680000}"/>
    <cellStyle name="Comma 3 4 2" xfId="21203" xr:uid="{00000000-0005-0000-0000-0000D1680000}"/>
    <cellStyle name="Comma 3 4 3" xfId="20240" xr:uid="{00000000-0005-0000-0000-0000D2680000}"/>
    <cellStyle name="Comma 3 4 4" xfId="30152" xr:uid="{00000000-0005-0000-0000-0000D3680000}"/>
    <cellStyle name="Comma 3 5" xfId="21223" xr:uid="{00000000-0005-0000-0000-0000D4680000}"/>
    <cellStyle name="Comma 3 5 2" xfId="38074" xr:uid="{00000000-0005-0000-0000-0000D5680000}"/>
    <cellStyle name="Comma 3 5 3" xfId="39029" xr:uid="{00000000-0005-0000-0000-0000D6680000}"/>
    <cellStyle name="Comma 3 6" xfId="21179" xr:uid="{00000000-0005-0000-0000-0000D7680000}"/>
    <cellStyle name="Comma 3 7" xfId="3147" xr:uid="{00000000-0005-0000-0000-0000D8680000}"/>
    <cellStyle name="Comma 3 7 2" xfId="23147" xr:uid="{00000000-0005-0000-0000-0000D9680000}"/>
    <cellStyle name="Comma 3 8" xfId="21251" xr:uid="{00000000-0005-0000-0000-0000DA680000}"/>
    <cellStyle name="Comma 3 9" xfId="39051" xr:uid="{00000000-0005-0000-0000-0000DB680000}"/>
    <cellStyle name="Comma 4" xfId="45" xr:uid="{00000000-0005-0000-0000-0000DC680000}"/>
    <cellStyle name="Comma 4 2" xfId="46" xr:uid="{00000000-0005-0000-0000-0000DD680000}"/>
    <cellStyle name="Comma 4 2 2" xfId="18983" xr:uid="{00000000-0005-0000-0000-0000DE680000}"/>
    <cellStyle name="Comma 4 2 2 2" xfId="21185" xr:uid="{00000000-0005-0000-0000-0000DF680000}"/>
    <cellStyle name="Comma 4 2 3" xfId="21184" xr:uid="{00000000-0005-0000-0000-0000E0680000}"/>
    <cellStyle name="Comma 4 2 4" xfId="18982" xr:uid="{00000000-0005-0000-0000-0000E1680000}"/>
    <cellStyle name="Comma 4 3" xfId="11197" xr:uid="{00000000-0005-0000-0000-0000E2680000}"/>
    <cellStyle name="Comma 4 3 2" xfId="20243" xr:uid="{00000000-0005-0000-0000-0000E3680000}"/>
    <cellStyle name="Comma 4 3 2 2" xfId="21206" xr:uid="{00000000-0005-0000-0000-0000E4680000}"/>
    <cellStyle name="Comma 4 3 2 2 2" xfId="38061" xr:uid="{00000000-0005-0000-0000-0000E5680000}"/>
    <cellStyle name="Comma 4 3 2 2 3" xfId="39016" xr:uid="{00000000-0005-0000-0000-0000E6680000}"/>
    <cellStyle name="Comma 4 3 2 3" xfId="37742" xr:uid="{00000000-0005-0000-0000-0000E7680000}"/>
    <cellStyle name="Comma 4 3 2 4" xfId="38697" xr:uid="{00000000-0005-0000-0000-0000E8680000}"/>
    <cellStyle name="Comma 4 3 3" xfId="21186" xr:uid="{00000000-0005-0000-0000-0000E9680000}"/>
    <cellStyle name="Comma 4 3 3 2" xfId="38051" xr:uid="{00000000-0005-0000-0000-0000EA680000}"/>
    <cellStyle name="Comma 4 3 3 3" xfId="39006" xr:uid="{00000000-0005-0000-0000-0000EB680000}"/>
    <cellStyle name="Comma 4 3 4" xfId="18984" xr:uid="{00000000-0005-0000-0000-0000EC680000}"/>
    <cellStyle name="Comma 4 3 4 2" xfId="37131" xr:uid="{00000000-0005-0000-0000-0000ED680000}"/>
    <cellStyle name="Comma 4 3 5" xfId="38086" xr:uid="{00000000-0005-0000-0000-0000EE680000}"/>
    <cellStyle name="Comma 4 4" xfId="11964" xr:uid="{00000000-0005-0000-0000-0000EF680000}"/>
    <cellStyle name="Comma 4 4 2" xfId="20244" xr:uid="{00000000-0005-0000-0000-0000F0680000}"/>
    <cellStyle name="Comma 4 4 2 2" xfId="21207" xr:uid="{00000000-0005-0000-0000-0000F1680000}"/>
    <cellStyle name="Comma 4 4 3" xfId="21187" xr:uid="{00000000-0005-0000-0000-0000F2680000}"/>
    <cellStyle name="Comma 4 4 4" xfId="18985" xr:uid="{00000000-0005-0000-0000-0000F3680000}"/>
    <cellStyle name="Comma 4 5" xfId="20242" xr:uid="{00000000-0005-0000-0000-0000F4680000}"/>
    <cellStyle name="Comma 4 5 2" xfId="21205" xr:uid="{00000000-0005-0000-0000-0000F5680000}"/>
    <cellStyle name="Comma 4 6" xfId="21183" xr:uid="{00000000-0005-0000-0000-0000F6680000}"/>
    <cellStyle name="Comma 4 7" xfId="18981" xr:uid="{00000000-0005-0000-0000-0000F7680000}"/>
    <cellStyle name="Comma 4 8" xfId="21252" xr:uid="{00000000-0005-0000-0000-0000F8680000}"/>
    <cellStyle name="Comma 5" xfId="47" xr:uid="{00000000-0005-0000-0000-0000F9680000}"/>
    <cellStyle name="Comma 5 2" xfId="2015" xr:uid="{00000000-0005-0000-0000-0000FA680000}"/>
    <cellStyle name="Comma 5 2 2" xfId="21208" xr:uid="{00000000-0005-0000-0000-0000FB680000}"/>
    <cellStyle name="Comma 5 2 3" xfId="20245" xr:uid="{00000000-0005-0000-0000-0000FC680000}"/>
    <cellStyle name="Comma 5 2 4" xfId="18919" xr:uid="{00000000-0005-0000-0000-0000FD680000}"/>
    <cellStyle name="Comma 5 2 4 2" xfId="37079" xr:uid="{00000000-0005-0000-0000-0000FE680000}"/>
    <cellStyle name="Comma 5 2 5" xfId="22097" xr:uid="{00000000-0005-0000-0000-0000FF680000}"/>
    <cellStyle name="Comma 5 3" xfId="21188" xr:uid="{00000000-0005-0000-0000-000000690000}"/>
    <cellStyle name="Comma 5 4" xfId="18986" xr:uid="{00000000-0005-0000-0000-000001690000}"/>
    <cellStyle name="Comma 5 5" xfId="11070" xr:uid="{00000000-0005-0000-0000-000002690000}"/>
    <cellStyle name="Comma 5 5 2" xfId="30078" xr:uid="{00000000-0005-0000-0000-000003690000}"/>
    <cellStyle name="Comma 5 6" xfId="21253" xr:uid="{00000000-0005-0000-0000-000004690000}"/>
    <cellStyle name="Comma 6" xfId="48" xr:uid="{00000000-0005-0000-0000-000005690000}"/>
    <cellStyle name="Comma 6 2" xfId="2016" xr:uid="{00000000-0005-0000-0000-000006690000}"/>
    <cellStyle name="Comma 6 2 2" xfId="21209" xr:uid="{00000000-0005-0000-0000-000007690000}"/>
    <cellStyle name="Comma 6 2 3" xfId="20246" xr:uid="{00000000-0005-0000-0000-000008690000}"/>
    <cellStyle name="Comma 6 3" xfId="21189" xr:uid="{00000000-0005-0000-0000-000009690000}"/>
    <cellStyle name="Comma 6 4" xfId="11198" xr:uid="{00000000-0005-0000-0000-00000A690000}"/>
    <cellStyle name="Comma 6 5" xfId="21254" xr:uid="{00000000-0005-0000-0000-00000B690000}"/>
    <cellStyle name="Comma 7" xfId="2017" xr:uid="{00000000-0005-0000-0000-00000C690000}"/>
    <cellStyle name="Comma 7 2" xfId="21171" xr:uid="{00000000-0005-0000-0000-00000D690000}"/>
    <cellStyle name="Comma 7 2 2" xfId="21218" xr:uid="{00000000-0005-0000-0000-00000E690000}"/>
    <cellStyle name="Comma 7 2 2 2" xfId="38069" xr:uid="{00000000-0005-0000-0000-00000F690000}"/>
    <cellStyle name="Comma 7 2 2 3" xfId="39024" xr:uid="{00000000-0005-0000-0000-000010690000}"/>
    <cellStyle name="Comma 7 2 3" xfId="38049" xr:uid="{00000000-0005-0000-0000-000011690000}"/>
    <cellStyle name="Comma 7 2 4" xfId="39004" xr:uid="{00000000-0005-0000-0000-000012690000}"/>
    <cellStyle name="Comma 7 3" xfId="21199" xr:uid="{00000000-0005-0000-0000-000013690000}"/>
    <cellStyle name="Comma 7 3 2" xfId="38059" xr:uid="{00000000-0005-0000-0000-000014690000}"/>
    <cellStyle name="Comma 7 3 3" xfId="39014" xr:uid="{00000000-0005-0000-0000-000015690000}"/>
    <cellStyle name="Comma 7 4" xfId="20168" xr:uid="{00000000-0005-0000-0000-000016690000}"/>
    <cellStyle name="Comma 7 4 2" xfId="37680" xr:uid="{00000000-0005-0000-0000-000017690000}"/>
    <cellStyle name="Comma 7 5" xfId="11957" xr:uid="{00000000-0005-0000-0000-000018690000}"/>
    <cellStyle name="Comma 7 5 2" xfId="30146" xr:uid="{00000000-0005-0000-0000-000019690000}"/>
    <cellStyle name="Comma 7 6" xfId="38635" xr:uid="{00000000-0005-0000-0000-00001A690000}"/>
    <cellStyle name="Comma 8" xfId="2018" xr:uid="{00000000-0005-0000-0000-00001B690000}"/>
    <cellStyle name="Comma 9" xfId="2019" xr:uid="{00000000-0005-0000-0000-00001C690000}"/>
    <cellStyle name="Comma 9 2" xfId="2020" xr:uid="{00000000-0005-0000-0000-00001D690000}"/>
    <cellStyle name="Comma 9 2 2" xfId="2021" xr:uid="{00000000-0005-0000-0000-00001E690000}"/>
    <cellStyle name="Comma 9 2 2 2" xfId="2022" xr:uid="{00000000-0005-0000-0000-00001F690000}"/>
    <cellStyle name="Comma 9 2 2 2 2" xfId="22101" xr:uid="{00000000-0005-0000-0000-000020690000}"/>
    <cellStyle name="Comma 9 2 2 3" xfId="22100" xr:uid="{00000000-0005-0000-0000-000021690000}"/>
    <cellStyle name="Comma 9 2 3" xfId="2023" xr:uid="{00000000-0005-0000-0000-000022690000}"/>
    <cellStyle name="Comma 9 2 3 2" xfId="2024" xr:uid="{00000000-0005-0000-0000-000023690000}"/>
    <cellStyle name="Comma 9 2 3 2 2" xfId="22103" xr:uid="{00000000-0005-0000-0000-000024690000}"/>
    <cellStyle name="Comma 9 2 3 3" xfId="22102" xr:uid="{00000000-0005-0000-0000-000025690000}"/>
    <cellStyle name="Comma 9 2 4" xfId="2025" xr:uid="{00000000-0005-0000-0000-000026690000}"/>
    <cellStyle name="Comma 9 2 4 2" xfId="22104" xr:uid="{00000000-0005-0000-0000-000027690000}"/>
    <cellStyle name="Comma 9 2 5" xfId="22099" xr:uid="{00000000-0005-0000-0000-000028690000}"/>
    <cellStyle name="Comma 9 3" xfId="2026" xr:uid="{00000000-0005-0000-0000-000029690000}"/>
    <cellStyle name="Comma 9 3 2" xfId="2027" xr:uid="{00000000-0005-0000-0000-00002A690000}"/>
    <cellStyle name="Comma 9 3 2 2" xfId="22106" xr:uid="{00000000-0005-0000-0000-00002B690000}"/>
    <cellStyle name="Comma 9 3 3" xfId="22105" xr:uid="{00000000-0005-0000-0000-00002C690000}"/>
    <cellStyle name="Comma 9 4" xfId="2028" xr:uid="{00000000-0005-0000-0000-00002D690000}"/>
    <cellStyle name="Comma 9 4 2" xfId="2029" xr:uid="{00000000-0005-0000-0000-00002E690000}"/>
    <cellStyle name="Comma 9 4 2 2" xfId="22108" xr:uid="{00000000-0005-0000-0000-00002F690000}"/>
    <cellStyle name="Comma 9 4 3" xfId="22107" xr:uid="{00000000-0005-0000-0000-000030690000}"/>
    <cellStyle name="Comma 9 5" xfId="2030" xr:uid="{00000000-0005-0000-0000-000031690000}"/>
    <cellStyle name="Comma 9 5 2" xfId="2031" xr:uid="{00000000-0005-0000-0000-000032690000}"/>
    <cellStyle name="Comma 9 5 2 2" xfId="22110" xr:uid="{00000000-0005-0000-0000-000033690000}"/>
    <cellStyle name="Comma 9 5 3" xfId="22109" xr:uid="{00000000-0005-0000-0000-000034690000}"/>
    <cellStyle name="Comma 9 6" xfId="2032" xr:uid="{00000000-0005-0000-0000-000035690000}"/>
    <cellStyle name="Comma 9 6 2" xfId="22111" xr:uid="{00000000-0005-0000-0000-000036690000}"/>
    <cellStyle name="Comma 9 7" xfId="22098" xr:uid="{00000000-0005-0000-0000-000037690000}"/>
    <cellStyle name="Comma0" xfId="7299" xr:uid="{00000000-0005-0000-0000-000038690000}"/>
    <cellStyle name="Comma0 - Type3" xfId="49" xr:uid="{00000000-0005-0000-0000-000039690000}"/>
    <cellStyle name="Comma0 - Typografi1" xfId="7300" xr:uid="{00000000-0005-0000-0000-00003A690000}"/>
    <cellStyle name="Comma0 - Typografi1 2" xfId="7301" xr:uid="{00000000-0005-0000-0000-00003B690000}"/>
    <cellStyle name="Comma0 - Typografi1 2 2" xfId="7302" xr:uid="{00000000-0005-0000-0000-00003C690000}"/>
    <cellStyle name="Comma0 - Typografi1 2 2 2" xfId="11077" xr:uid="{00000000-0005-0000-0000-00003D690000}"/>
    <cellStyle name="Comma0 - Typografi1 2 3" xfId="11076" xr:uid="{00000000-0005-0000-0000-00003E690000}"/>
    <cellStyle name="Comma0 - Typografi1 3" xfId="7303" xr:uid="{00000000-0005-0000-0000-00003F690000}"/>
    <cellStyle name="Comma0 - Typografi1 3 2" xfId="11078" xr:uid="{00000000-0005-0000-0000-000040690000}"/>
    <cellStyle name="Comma0 - Typografi1 4" xfId="7304" xr:uid="{00000000-0005-0000-0000-000041690000}"/>
    <cellStyle name="Comma0 - Typografi1 4 2" xfId="11079" xr:uid="{00000000-0005-0000-0000-000042690000}"/>
    <cellStyle name="Comma0 - Typografi1 5" xfId="11075" xr:uid="{00000000-0005-0000-0000-000043690000}"/>
    <cellStyle name="Comma0 10" xfId="11051" xr:uid="{00000000-0005-0000-0000-000044690000}"/>
    <cellStyle name="Comma0 11" xfId="11059" xr:uid="{00000000-0005-0000-0000-000045690000}"/>
    <cellStyle name="Comma0 12" xfId="11043" xr:uid="{00000000-0005-0000-0000-000046690000}"/>
    <cellStyle name="Comma0 13" xfId="8312" xr:uid="{00000000-0005-0000-0000-000047690000}"/>
    <cellStyle name="Comma0 14" xfId="11052" xr:uid="{00000000-0005-0000-0000-000048690000}"/>
    <cellStyle name="Comma0 15" xfId="11042" xr:uid="{00000000-0005-0000-0000-000049690000}"/>
    <cellStyle name="Comma0 16" xfId="11048" xr:uid="{00000000-0005-0000-0000-00004A690000}"/>
    <cellStyle name="Comma0 2" xfId="9707" xr:uid="{00000000-0005-0000-0000-00004B690000}"/>
    <cellStyle name="Comma0 3" xfId="11053" xr:uid="{00000000-0005-0000-0000-00004C690000}"/>
    <cellStyle name="Comma0 4" xfId="11058" xr:uid="{00000000-0005-0000-0000-00004D690000}"/>
    <cellStyle name="Comma0 5" xfId="11055" xr:uid="{00000000-0005-0000-0000-00004E690000}"/>
    <cellStyle name="Comma0 6" xfId="11039" xr:uid="{00000000-0005-0000-0000-00004F690000}"/>
    <cellStyle name="Comma0 7" xfId="11049" xr:uid="{00000000-0005-0000-0000-000050690000}"/>
    <cellStyle name="Comma0 8" xfId="11047" xr:uid="{00000000-0005-0000-0000-000051690000}"/>
    <cellStyle name="Comma0 9" xfId="11063" xr:uid="{00000000-0005-0000-0000-000052690000}"/>
    <cellStyle name="Comma1 - Typografi1" xfId="7305" xr:uid="{00000000-0005-0000-0000-000053690000}"/>
    <cellStyle name="Currency0" xfId="7306" xr:uid="{00000000-0005-0000-0000-000054690000}"/>
    <cellStyle name="Currency0 2" xfId="9708" xr:uid="{00000000-0005-0000-0000-000055690000}"/>
    <cellStyle name="CustomizationCells" xfId="50" xr:uid="{00000000-0005-0000-0000-000056690000}"/>
    <cellStyle name="CustomizationCells 2" xfId="11965" xr:uid="{00000000-0005-0000-0000-000057690000}"/>
    <cellStyle name="CustomizationCells 3" xfId="20131" xr:uid="{00000000-0005-0000-0000-000058690000}"/>
    <cellStyle name="Date" xfId="7307" xr:uid="{00000000-0005-0000-0000-000059690000}"/>
    <cellStyle name="Date - Typografi3" xfId="7308" xr:uid="{00000000-0005-0000-0000-00005A690000}"/>
    <cellStyle name="Date 10" xfId="11061" xr:uid="{00000000-0005-0000-0000-00005B690000}"/>
    <cellStyle name="Date 11" xfId="11046" xr:uid="{00000000-0005-0000-0000-00005C690000}"/>
    <cellStyle name="Date 12" xfId="11044" xr:uid="{00000000-0005-0000-0000-00005D690000}"/>
    <cellStyle name="Date 13" xfId="11041" xr:uid="{00000000-0005-0000-0000-00005E690000}"/>
    <cellStyle name="Date 14" xfId="11060" xr:uid="{00000000-0005-0000-0000-00005F690000}"/>
    <cellStyle name="Date 15" xfId="11050" xr:uid="{00000000-0005-0000-0000-000060690000}"/>
    <cellStyle name="Date 16" xfId="11057" xr:uid="{00000000-0005-0000-0000-000061690000}"/>
    <cellStyle name="Date 2" xfId="9709" xr:uid="{00000000-0005-0000-0000-000062690000}"/>
    <cellStyle name="Date 3" xfId="11054" xr:uid="{00000000-0005-0000-0000-000063690000}"/>
    <cellStyle name="Date 4" xfId="11038" xr:uid="{00000000-0005-0000-0000-000064690000}"/>
    <cellStyle name="Date 5" xfId="11056" xr:uid="{00000000-0005-0000-0000-000065690000}"/>
    <cellStyle name="Date 6" xfId="11040" xr:uid="{00000000-0005-0000-0000-000066690000}"/>
    <cellStyle name="Date 7" xfId="11064" xr:uid="{00000000-0005-0000-0000-000067690000}"/>
    <cellStyle name="Date 8" xfId="11045" xr:uid="{00000000-0005-0000-0000-000068690000}"/>
    <cellStyle name="Date 9" xfId="11062" xr:uid="{00000000-0005-0000-0000-000069690000}"/>
    <cellStyle name="Euro" xfId="51" xr:uid="{00000000-0005-0000-0000-00006A690000}"/>
    <cellStyle name="Euro 10" xfId="52" xr:uid="{00000000-0005-0000-0000-00006B690000}"/>
    <cellStyle name="Euro 10 2" xfId="53" xr:uid="{00000000-0005-0000-0000-00006C690000}"/>
    <cellStyle name="Euro 10 2 2" xfId="3492" xr:uid="{00000000-0005-0000-0000-00006D690000}"/>
    <cellStyle name="Euro 10 3" xfId="54" xr:uid="{00000000-0005-0000-0000-00006E690000}"/>
    <cellStyle name="Euro 10 3 2" xfId="55" xr:uid="{00000000-0005-0000-0000-00006F690000}"/>
    <cellStyle name="Euro 10 3 3" xfId="18988" xr:uid="{00000000-0005-0000-0000-000070690000}"/>
    <cellStyle name="Euro 10 3 3 2" xfId="20248" xr:uid="{00000000-0005-0000-0000-000071690000}"/>
    <cellStyle name="Euro 10 3 4" xfId="20247" xr:uid="{00000000-0005-0000-0000-000072690000}"/>
    <cellStyle name="Euro 10 3 5" xfId="18987" xr:uid="{00000000-0005-0000-0000-000073690000}"/>
    <cellStyle name="Euro 10 4" xfId="56" xr:uid="{00000000-0005-0000-0000-000074690000}"/>
    <cellStyle name="Euro 10 4 2" xfId="18990" xr:uid="{00000000-0005-0000-0000-000075690000}"/>
    <cellStyle name="Euro 10 4 2 2" xfId="20250" xr:uid="{00000000-0005-0000-0000-000076690000}"/>
    <cellStyle name="Euro 10 4 3" xfId="20249" xr:uid="{00000000-0005-0000-0000-000077690000}"/>
    <cellStyle name="Euro 10 4 4" xfId="18989" xr:uid="{00000000-0005-0000-0000-000078690000}"/>
    <cellStyle name="Euro 10 4 5" xfId="11199" xr:uid="{00000000-0005-0000-0000-000079690000}"/>
    <cellStyle name="Euro 10 5" xfId="57" xr:uid="{00000000-0005-0000-0000-00007A690000}"/>
    <cellStyle name="Euro 10 5 2" xfId="11200" xr:uid="{00000000-0005-0000-0000-00007B690000}"/>
    <cellStyle name="Euro 10 6" xfId="58" xr:uid="{00000000-0005-0000-0000-00007C690000}"/>
    <cellStyle name="Euro 10 6 2" xfId="21255" xr:uid="{00000000-0005-0000-0000-00007D690000}"/>
    <cellStyle name="Euro 11" xfId="59" xr:uid="{00000000-0005-0000-0000-00007E690000}"/>
    <cellStyle name="Euro 11 2" xfId="60" xr:uid="{00000000-0005-0000-0000-00007F690000}"/>
    <cellStyle name="Euro 11 2 2" xfId="3493" xr:uid="{00000000-0005-0000-0000-000080690000}"/>
    <cellStyle name="Euro 11 3" xfId="61" xr:uid="{00000000-0005-0000-0000-000081690000}"/>
    <cellStyle name="Euro 11 3 2" xfId="62" xr:uid="{00000000-0005-0000-0000-000082690000}"/>
    <cellStyle name="Euro 11 3 3" xfId="18992" xr:uid="{00000000-0005-0000-0000-000083690000}"/>
    <cellStyle name="Euro 11 3 3 2" xfId="20252" xr:uid="{00000000-0005-0000-0000-000084690000}"/>
    <cellStyle name="Euro 11 3 4" xfId="20251" xr:uid="{00000000-0005-0000-0000-000085690000}"/>
    <cellStyle name="Euro 11 3 5" xfId="18991" xr:uid="{00000000-0005-0000-0000-000086690000}"/>
    <cellStyle name="Euro 11 4" xfId="63" xr:uid="{00000000-0005-0000-0000-000087690000}"/>
    <cellStyle name="Euro 11 4 2" xfId="18994" xr:uid="{00000000-0005-0000-0000-000088690000}"/>
    <cellStyle name="Euro 11 4 2 2" xfId="20254" xr:uid="{00000000-0005-0000-0000-000089690000}"/>
    <cellStyle name="Euro 11 4 3" xfId="20253" xr:uid="{00000000-0005-0000-0000-00008A690000}"/>
    <cellStyle name="Euro 11 4 4" xfId="18993" xr:uid="{00000000-0005-0000-0000-00008B690000}"/>
    <cellStyle name="Euro 11 4 5" xfId="11201" xr:uid="{00000000-0005-0000-0000-00008C690000}"/>
    <cellStyle name="Euro 11 5" xfId="64" xr:uid="{00000000-0005-0000-0000-00008D690000}"/>
    <cellStyle name="Euro 11 5 2" xfId="11202" xr:uid="{00000000-0005-0000-0000-00008E690000}"/>
    <cellStyle name="Euro 11 6" xfId="65" xr:uid="{00000000-0005-0000-0000-00008F690000}"/>
    <cellStyle name="Euro 11 6 2" xfId="21256" xr:uid="{00000000-0005-0000-0000-000090690000}"/>
    <cellStyle name="Euro 12" xfId="66" xr:uid="{00000000-0005-0000-0000-000091690000}"/>
    <cellStyle name="Euro 12 2" xfId="67" xr:uid="{00000000-0005-0000-0000-000092690000}"/>
    <cellStyle name="Euro 12 2 2" xfId="3494" xr:uid="{00000000-0005-0000-0000-000093690000}"/>
    <cellStyle name="Euro 12 3" xfId="68" xr:uid="{00000000-0005-0000-0000-000094690000}"/>
    <cellStyle name="Euro 12 3 2" xfId="69" xr:uid="{00000000-0005-0000-0000-000095690000}"/>
    <cellStyle name="Euro 12 3 3" xfId="18996" xr:uid="{00000000-0005-0000-0000-000096690000}"/>
    <cellStyle name="Euro 12 3 3 2" xfId="20256" xr:uid="{00000000-0005-0000-0000-000097690000}"/>
    <cellStyle name="Euro 12 3 4" xfId="20255" xr:uid="{00000000-0005-0000-0000-000098690000}"/>
    <cellStyle name="Euro 12 3 5" xfId="18995" xr:uid="{00000000-0005-0000-0000-000099690000}"/>
    <cellStyle name="Euro 12 4" xfId="70" xr:uid="{00000000-0005-0000-0000-00009A690000}"/>
    <cellStyle name="Euro 12 4 2" xfId="18998" xr:uid="{00000000-0005-0000-0000-00009B690000}"/>
    <cellStyle name="Euro 12 4 2 2" xfId="20258" xr:uid="{00000000-0005-0000-0000-00009C690000}"/>
    <cellStyle name="Euro 12 4 3" xfId="20257" xr:uid="{00000000-0005-0000-0000-00009D690000}"/>
    <cellStyle name="Euro 12 4 4" xfId="18997" xr:uid="{00000000-0005-0000-0000-00009E690000}"/>
    <cellStyle name="Euro 12 4 5" xfId="11203" xr:uid="{00000000-0005-0000-0000-00009F690000}"/>
    <cellStyle name="Euro 12 5" xfId="71" xr:uid="{00000000-0005-0000-0000-0000A0690000}"/>
    <cellStyle name="Euro 12 5 2" xfId="11204" xr:uid="{00000000-0005-0000-0000-0000A1690000}"/>
    <cellStyle name="Euro 12 6" xfId="72" xr:uid="{00000000-0005-0000-0000-0000A2690000}"/>
    <cellStyle name="Euro 12 6 2" xfId="21257" xr:uid="{00000000-0005-0000-0000-0000A3690000}"/>
    <cellStyle name="Euro 13" xfId="73" xr:uid="{00000000-0005-0000-0000-0000A4690000}"/>
    <cellStyle name="Euro 13 2" xfId="74" xr:uid="{00000000-0005-0000-0000-0000A5690000}"/>
    <cellStyle name="Euro 13 2 2" xfId="3495" xr:uid="{00000000-0005-0000-0000-0000A6690000}"/>
    <cellStyle name="Euro 13 3" xfId="75" xr:uid="{00000000-0005-0000-0000-0000A7690000}"/>
    <cellStyle name="Euro 13 3 2" xfId="76" xr:uid="{00000000-0005-0000-0000-0000A8690000}"/>
    <cellStyle name="Euro 13 3 3" xfId="19000" xr:uid="{00000000-0005-0000-0000-0000A9690000}"/>
    <cellStyle name="Euro 13 3 3 2" xfId="20260" xr:uid="{00000000-0005-0000-0000-0000AA690000}"/>
    <cellStyle name="Euro 13 3 4" xfId="20259" xr:uid="{00000000-0005-0000-0000-0000AB690000}"/>
    <cellStyle name="Euro 13 3 5" xfId="18999" xr:uid="{00000000-0005-0000-0000-0000AC690000}"/>
    <cellStyle name="Euro 13 4" xfId="77" xr:uid="{00000000-0005-0000-0000-0000AD690000}"/>
    <cellStyle name="Euro 13 4 2" xfId="19002" xr:uid="{00000000-0005-0000-0000-0000AE690000}"/>
    <cellStyle name="Euro 13 4 2 2" xfId="20262" xr:uid="{00000000-0005-0000-0000-0000AF690000}"/>
    <cellStyle name="Euro 13 4 3" xfId="20261" xr:uid="{00000000-0005-0000-0000-0000B0690000}"/>
    <cellStyle name="Euro 13 4 4" xfId="19001" xr:uid="{00000000-0005-0000-0000-0000B1690000}"/>
    <cellStyle name="Euro 13 4 5" xfId="11205" xr:uid="{00000000-0005-0000-0000-0000B2690000}"/>
    <cellStyle name="Euro 13 5" xfId="78" xr:uid="{00000000-0005-0000-0000-0000B3690000}"/>
    <cellStyle name="Euro 13 5 2" xfId="11206" xr:uid="{00000000-0005-0000-0000-0000B4690000}"/>
    <cellStyle name="Euro 13 6" xfId="79" xr:uid="{00000000-0005-0000-0000-0000B5690000}"/>
    <cellStyle name="Euro 13 6 2" xfId="21258" xr:uid="{00000000-0005-0000-0000-0000B6690000}"/>
    <cellStyle name="Euro 14" xfId="80" xr:uid="{00000000-0005-0000-0000-0000B7690000}"/>
    <cellStyle name="Euro 14 2" xfId="81" xr:uid="{00000000-0005-0000-0000-0000B8690000}"/>
    <cellStyle name="Euro 14 2 2" xfId="3496" xr:uid="{00000000-0005-0000-0000-0000B9690000}"/>
    <cellStyle name="Euro 14 3" xfId="82" xr:uid="{00000000-0005-0000-0000-0000BA690000}"/>
    <cellStyle name="Euro 14 3 2" xfId="83" xr:uid="{00000000-0005-0000-0000-0000BB690000}"/>
    <cellStyle name="Euro 14 3 3" xfId="19005" xr:uid="{00000000-0005-0000-0000-0000BC690000}"/>
    <cellStyle name="Euro 14 3 3 2" xfId="20264" xr:uid="{00000000-0005-0000-0000-0000BD690000}"/>
    <cellStyle name="Euro 14 3 4" xfId="20263" xr:uid="{00000000-0005-0000-0000-0000BE690000}"/>
    <cellStyle name="Euro 14 3 5" xfId="19004" xr:uid="{00000000-0005-0000-0000-0000BF690000}"/>
    <cellStyle name="Euro 14 4" xfId="84" xr:uid="{00000000-0005-0000-0000-0000C0690000}"/>
    <cellStyle name="Euro 14 4 2" xfId="19007" xr:uid="{00000000-0005-0000-0000-0000C1690000}"/>
    <cellStyle name="Euro 14 4 2 2" xfId="20266" xr:uid="{00000000-0005-0000-0000-0000C2690000}"/>
    <cellStyle name="Euro 14 4 3" xfId="20265" xr:uid="{00000000-0005-0000-0000-0000C3690000}"/>
    <cellStyle name="Euro 14 4 4" xfId="19006" xr:uid="{00000000-0005-0000-0000-0000C4690000}"/>
    <cellStyle name="Euro 14 4 5" xfId="11207" xr:uid="{00000000-0005-0000-0000-0000C5690000}"/>
    <cellStyle name="Euro 14 5" xfId="85" xr:uid="{00000000-0005-0000-0000-0000C6690000}"/>
    <cellStyle name="Euro 14 5 2" xfId="11208" xr:uid="{00000000-0005-0000-0000-0000C7690000}"/>
    <cellStyle name="Euro 14 6" xfId="86" xr:uid="{00000000-0005-0000-0000-0000C8690000}"/>
    <cellStyle name="Euro 14 6 2" xfId="21259" xr:uid="{00000000-0005-0000-0000-0000C9690000}"/>
    <cellStyle name="Euro 15" xfId="87" xr:uid="{00000000-0005-0000-0000-0000CA690000}"/>
    <cellStyle name="Euro 15 2" xfId="88" xr:uid="{00000000-0005-0000-0000-0000CB690000}"/>
    <cellStyle name="Euro 15 2 2" xfId="3497" xr:uid="{00000000-0005-0000-0000-0000CC690000}"/>
    <cellStyle name="Euro 15 3" xfId="89" xr:uid="{00000000-0005-0000-0000-0000CD690000}"/>
    <cellStyle name="Euro 15 3 2" xfId="90" xr:uid="{00000000-0005-0000-0000-0000CE690000}"/>
    <cellStyle name="Euro 15 3 3" xfId="19009" xr:uid="{00000000-0005-0000-0000-0000CF690000}"/>
    <cellStyle name="Euro 15 3 3 2" xfId="20268" xr:uid="{00000000-0005-0000-0000-0000D0690000}"/>
    <cellStyle name="Euro 15 3 4" xfId="20267" xr:uid="{00000000-0005-0000-0000-0000D1690000}"/>
    <cellStyle name="Euro 15 3 5" xfId="19008" xr:uid="{00000000-0005-0000-0000-0000D2690000}"/>
    <cellStyle name="Euro 15 4" xfId="91" xr:uid="{00000000-0005-0000-0000-0000D3690000}"/>
    <cellStyle name="Euro 15 4 2" xfId="19011" xr:uid="{00000000-0005-0000-0000-0000D4690000}"/>
    <cellStyle name="Euro 15 4 2 2" xfId="20270" xr:uid="{00000000-0005-0000-0000-0000D5690000}"/>
    <cellStyle name="Euro 15 4 3" xfId="20269" xr:uid="{00000000-0005-0000-0000-0000D6690000}"/>
    <cellStyle name="Euro 15 4 4" xfId="19010" xr:uid="{00000000-0005-0000-0000-0000D7690000}"/>
    <cellStyle name="Euro 15 4 5" xfId="11209" xr:uid="{00000000-0005-0000-0000-0000D8690000}"/>
    <cellStyle name="Euro 15 5" xfId="92" xr:uid="{00000000-0005-0000-0000-0000D9690000}"/>
    <cellStyle name="Euro 15 5 2" xfId="11210" xr:uid="{00000000-0005-0000-0000-0000DA690000}"/>
    <cellStyle name="Euro 15 6" xfId="93" xr:uid="{00000000-0005-0000-0000-0000DB690000}"/>
    <cellStyle name="Euro 15 6 2" xfId="21260" xr:uid="{00000000-0005-0000-0000-0000DC690000}"/>
    <cellStyle name="Euro 16" xfId="94" xr:uid="{00000000-0005-0000-0000-0000DD690000}"/>
    <cellStyle name="Euro 16 2" xfId="95" xr:uid="{00000000-0005-0000-0000-0000DE690000}"/>
    <cellStyle name="Euro 16 2 2" xfId="3498" xr:uid="{00000000-0005-0000-0000-0000DF690000}"/>
    <cellStyle name="Euro 16 3" xfId="96" xr:uid="{00000000-0005-0000-0000-0000E0690000}"/>
    <cellStyle name="Euro 16 3 2" xfId="97" xr:uid="{00000000-0005-0000-0000-0000E1690000}"/>
    <cellStyle name="Euro 16 3 3" xfId="19013" xr:uid="{00000000-0005-0000-0000-0000E2690000}"/>
    <cellStyle name="Euro 16 3 3 2" xfId="20272" xr:uid="{00000000-0005-0000-0000-0000E3690000}"/>
    <cellStyle name="Euro 16 3 4" xfId="20271" xr:uid="{00000000-0005-0000-0000-0000E4690000}"/>
    <cellStyle name="Euro 16 3 5" xfId="19012" xr:uid="{00000000-0005-0000-0000-0000E5690000}"/>
    <cellStyle name="Euro 16 4" xfId="98" xr:uid="{00000000-0005-0000-0000-0000E6690000}"/>
    <cellStyle name="Euro 16 4 2" xfId="19015" xr:uid="{00000000-0005-0000-0000-0000E7690000}"/>
    <cellStyle name="Euro 16 4 2 2" xfId="20274" xr:uid="{00000000-0005-0000-0000-0000E8690000}"/>
    <cellStyle name="Euro 16 4 3" xfId="20273" xr:uid="{00000000-0005-0000-0000-0000E9690000}"/>
    <cellStyle name="Euro 16 4 4" xfId="19014" xr:uid="{00000000-0005-0000-0000-0000EA690000}"/>
    <cellStyle name="Euro 16 4 5" xfId="11211" xr:uid="{00000000-0005-0000-0000-0000EB690000}"/>
    <cellStyle name="Euro 16 5" xfId="99" xr:uid="{00000000-0005-0000-0000-0000EC690000}"/>
    <cellStyle name="Euro 16 5 2" xfId="11212" xr:uid="{00000000-0005-0000-0000-0000ED690000}"/>
    <cellStyle name="Euro 16 6" xfId="100" xr:uid="{00000000-0005-0000-0000-0000EE690000}"/>
    <cellStyle name="Euro 16 6 2" xfId="21261" xr:uid="{00000000-0005-0000-0000-0000EF690000}"/>
    <cellStyle name="Euro 17" xfId="101" xr:uid="{00000000-0005-0000-0000-0000F0690000}"/>
    <cellStyle name="Euro 17 2" xfId="102" xr:uid="{00000000-0005-0000-0000-0000F1690000}"/>
    <cellStyle name="Euro 17 2 2" xfId="3499" xr:uid="{00000000-0005-0000-0000-0000F2690000}"/>
    <cellStyle name="Euro 17 3" xfId="103" xr:uid="{00000000-0005-0000-0000-0000F3690000}"/>
    <cellStyle name="Euro 17 3 2" xfId="104" xr:uid="{00000000-0005-0000-0000-0000F4690000}"/>
    <cellStyle name="Euro 17 3 3" xfId="19017" xr:uid="{00000000-0005-0000-0000-0000F5690000}"/>
    <cellStyle name="Euro 17 3 3 2" xfId="20276" xr:uid="{00000000-0005-0000-0000-0000F6690000}"/>
    <cellStyle name="Euro 17 3 4" xfId="20275" xr:uid="{00000000-0005-0000-0000-0000F7690000}"/>
    <cellStyle name="Euro 17 3 5" xfId="19016" xr:uid="{00000000-0005-0000-0000-0000F8690000}"/>
    <cellStyle name="Euro 17 4" xfId="105" xr:uid="{00000000-0005-0000-0000-0000F9690000}"/>
    <cellStyle name="Euro 17 4 2" xfId="19019" xr:uid="{00000000-0005-0000-0000-0000FA690000}"/>
    <cellStyle name="Euro 17 4 2 2" xfId="20278" xr:uid="{00000000-0005-0000-0000-0000FB690000}"/>
    <cellStyle name="Euro 17 4 3" xfId="20277" xr:uid="{00000000-0005-0000-0000-0000FC690000}"/>
    <cellStyle name="Euro 17 4 4" xfId="19018" xr:uid="{00000000-0005-0000-0000-0000FD690000}"/>
    <cellStyle name="Euro 17 4 5" xfId="11213" xr:uid="{00000000-0005-0000-0000-0000FE690000}"/>
    <cellStyle name="Euro 17 5" xfId="106" xr:uid="{00000000-0005-0000-0000-0000FF690000}"/>
    <cellStyle name="Euro 17 5 2" xfId="11214" xr:uid="{00000000-0005-0000-0000-0000006A0000}"/>
    <cellStyle name="Euro 17 6" xfId="107" xr:uid="{00000000-0005-0000-0000-0000016A0000}"/>
    <cellStyle name="Euro 17 6 2" xfId="21262" xr:uid="{00000000-0005-0000-0000-0000026A0000}"/>
    <cellStyle name="Euro 18" xfId="108" xr:uid="{00000000-0005-0000-0000-0000036A0000}"/>
    <cellStyle name="Euro 18 2" xfId="109" xr:uid="{00000000-0005-0000-0000-0000046A0000}"/>
    <cellStyle name="Euro 18 2 2" xfId="3500" xr:uid="{00000000-0005-0000-0000-0000056A0000}"/>
    <cellStyle name="Euro 18 3" xfId="110" xr:uid="{00000000-0005-0000-0000-0000066A0000}"/>
    <cellStyle name="Euro 18 3 2" xfId="111" xr:uid="{00000000-0005-0000-0000-0000076A0000}"/>
    <cellStyle name="Euro 18 3 3" xfId="19021" xr:uid="{00000000-0005-0000-0000-0000086A0000}"/>
    <cellStyle name="Euro 18 3 3 2" xfId="20280" xr:uid="{00000000-0005-0000-0000-0000096A0000}"/>
    <cellStyle name="Euro 18 3 4" xfId="20279" xr:uid="{00000000-0005-0000-0000-00000A6A0000}"/>
    <cellStyle name="Euro 18 3 5" xfId="19020" xr:uid="{00000000-0005-0000-0000-00000B6A0000}"/>
    <cellStyle name="Euro 18 4" xfId="112" xr:uid="{00000000-0005-0000-0000-00000C6A0000}"/>
    <cellStyle name="Euro 18 4 2" xfId="19023" xr:uid="{00000000-0005-0000-0000-00000D6A0000}"/>
    <cellStyle name="Euro 18 4 2 2" xfId="20282" xr:uid="{00000000-0005-0000-0000-00000E6A0000}"/>
    <cellStyle name="Euro 18 4 3" xfId="20281" xr:uid="{00000000-0005-0000-0000-00000F6A0000}"/>
    <cellStyle name="Euro 18 4 4" xfId="19022" xr:uid="{00000000-0005-0000-0000-0000106A0000}"/>
    <cellStyle name="Euro 18 4 5" xfId="11215" xr:uid="{00000000-0005-0000-0000-0000116A0000}"/>
    <cellStyle name="Euro 18 5" xfId="113" xr:uid="{00000000-0005-0000-0000-0000126A0000}"/>
    <cellStyle name="Euro 18 5 2" xfId="11216" xr:uid="{00000000-0005-0000-0000-0000136A0000}"/>
    <cellStyle name="Euro 18 6" xfId="114" xr:uid="{00000000-0005-0000-0000-0000146A0000}"/>
    <cellStyle name="Euro 18 6 2" xfId="21263" xr:uid="{00000000-0005-0000-0000-0000156A0000}"/>
    <cellStyle name="Euro 19" xfId="115" xr:uid="{00000000-0005-0000-0000-0000166A0000}"/>
    <cellStyle name="Euro 19 2" xfId="116" xr:uid="{00000000-0005-0000-0000-0000176A0000}"/>
    <cellStyle name="Euro 19 2 2" xfId="3501" xr:uid="{00000000-0005-0000-0000-0000186A0000}"/>
    <cellStyle name="Euro 19 3" xfId="117" xr:uid="{00000000-0005-0000-0000-0000196A0000}"/>
    <cellStyle name="Euro 19 3 2" xfId="118" xr:uid="{00000000-0005-0000-0000-00001A6A0000}"/>
    <cellStyle name="Euro 19 3 3" xfId="19025" xr:uid="{00000000-0005-0000-0000-00001B6A0000}"/>
    <cellStyle name="Euro 19 3 3 2" xfId="20284" xr:uid="{00000000-0005-0000-0000-00001C6A0000}"/>
    <cellStyle name="Euro 19 3 4" xfId="20283" xr:uid="{00000000-0005-0000-0000-00001D6A0000}"/>
    <cellStyle name="Euro 19 3 5" xfId="19024" xr:uid="{00000000-0005-0000-0000-00001E6A0000}"/>
    <cellStyle name="Euro 19 4" xfId="119" xr:uid="{00000000-0005-0000-0000-00001F6A0000}"/>
    <cellStyle name="Euro 19 4 2" xfId="19027" xr:uid="{00000000-0005-0000-0000-0000206A0000}"/>
    <cellStyle name="Euro 19 4 2 2" xfId="20286" xr:uid="{00000000-0005-0000-0000-0000216A0000}"/>
    <cellStyle name="Euro 19 4 3" xfId="20285" xr:uid="{00000000-0005-0000-0000-0000226A0000}"/>
    <cellStyle name="Euro 19 4 4" xfId="19026" xr:uid="{00000000-0005-0000-0000-0000236A0000}"/>
    <cellStyle name="Euro 19 4 5" xfId="11217" xr:uid="{00000000-0005-0000-0000-0000246A0000}"/>
    <cellStyle name="Euro 19 5" xfId="120" xr:uid="{00000000-0005-0000-0000-0000256A0000}"/>
    <cellStyle name="Euro 19 5 2" xfId="11218" xr:uid="{00000000-0005-0000-0000-0000266A0000}"/>
    <cellStyle name="Euro 19 6" xfId="121" xr:uid="{00000000-0005-0000-0000-0000276A0000}"/>
    <cellStyle name="Euro 19 6 2" xfId="21264" xr:uid="{00000000-0005-0000-0000-0000286A0000}"/>
    <cellStyle name="Euro 2" xfId="122" xr:uid="{00000000-0005-0000-0000-0000296A0000}"/>
    <cellStyle name="Euro 2 2" xfId="123" xr:uid="{00000000-0005-0000-0000-00002A6A0000}"/>
    <cellStyle name="Euro 2 2 2" xfId="3502" xr:uid="{00000000-0005-0000-0000-00002B6A0000}"/>
    <cellStyle name="Euro 2 3" xfId="124" xr:uid="{00000000-0005-0000-0000-00002C6A0000}"/>
    <cellStyle name="Euro 2 3 2" xfId="125" xr:uid="{00000000-0005-0000-0000-00002D6A0000}"/>
    <cellStyle name="Euro 2 3 3" xfId="19029" xr:uid="{00000000-0005-0000-0000-00002E6A0000}"/>
    <cellStyle name="Euro 2 3 3 2" xfId="20288" xr:uid="{00000000-0005-0000-0000-00002F6A0000}"/>
    <cellStyle name="Euro 2 3 4" xfId="20287" xr:uid="{00000000-0005-0000-0000-0000306A0000}"/>
    <cellStyle name="Euro 2 3 5" xfId="19028" xr:uid="{00000000-0005-0000-0000-0000316A0000}"/>
    <cellStyle name="Euro 2 4" xfId="126" xr:uid="{00000000-0005-0000-0000-0000326A0000}"/>
    <cellStyle name="Euro 2 4 2" xfId="11219" xr:uid="{00000000-0005-0000-0000-0000336A0000}"/>
    <cellStyle name="Euro 2 4 2 2" xfId="20290" xr:uid="{00000000-0005-0000-0000-0000346A0000}"/>
    <cellStyle name="Euro 2 4 2 3" xfId="19031" xr:uid="{00000000-0005-0000-0000-0000356A0000}"/>
    <cellStyle name="Euro 2 4 3" xfId="18921" xr:uid="{00000000-0005-0000-0000-0000366A0000}"/>
    <cellStyle name="Euro 2 4 3 2" xfId="20289" xr:uid="{00000000-0005-0000-0000-0000376A0000}"/>
    <cellStyle name="Euro 2 4 4" xfId="19030" xr:uid="{00000000-0005-0000-0000-0000386A0000}"/>
    <cellStyle name="Euro 2 4 5" xfId="11080" xr:uid="{00000000-0005-0000-0000-0000396A0000}"/>
    <cellStyle name="Euro 2 5" xfId="127" xr:uid="{00000000-0005-0000-0000-00003A6A0000}"/>
    <cellStyle name="Euro 2 5 2" xfId="11220" xr:uid="{00000000-0005-0000-0000-00003B6A0000}"/>
    <cellStyle name="Euro 2 6" xfId="128" xr:uid="{00000000-0005-0000-0000-00003C6A0000}"/>
    <cellStyle name="Euro 2 6 2" xfId="21265" xr:uid="{00000000-0005-0000-0000-00003D6A0000}"/>
    <cellStyle name="Euro 20" xfId="129" xr:uid="{00000000-0005-0000-0000-00003E6A0000}"/>
    <cellStyle name="Euro 20 2" xfId="130" xr:uid="{00000000-0005-0000-0000-00003F6A0000}"/>
    <cellStyle name="Euro 20 2 2" xfId="3503" xr:uid="{00000000-0005-0000-0000-0000406A0000}"/>
    <cellStyle name="Euro 20 3" xfId="131" xr:uid="{00000000-0005-0000-0000-0000416A0000}"/>
    <cellStyle name="Euro 20 3 2" xfId="132" xr:uid="{00000000-0005-0000-0000-0000426A0000}"/>
    <cellStyle name="Euro 20 3 3" xfId="19033" xr:uid="{00000000-0005-0000-0000-0000436A0000}"/>
    <cellStyle name="Euro 20 3 3 2" xfId="20292" xr:uid="{00000000-0005-0000-0000-0000446A0000}"/>
    <cellStyle name="Euro 20 3 4" xfId="20291" xr:uid="{00000000-0005-0000-0000-0000456A0000}"/>
    <cellStyle name="Euro 20 3 5" xfId="19032" xr:uid="{00000000-0005-0000-0000-0000466A0000}"/>
    <cellStyle name="Euro 20 4" xfId="133" xr:uid="{00000000-0005-0000-0000-0000476A0000}"/>
    <cellStyle name="Euro 20 4 2" xfId="19035" xr:uid="{00000000-0005-0000-0000-0000486A0000}"/>
    <cellStyle name="Euro 20 4 2 2" xfId="20294" xr:uid="{00000000-0005-0000-0000-0000496A0000}"/>
    <cellStyle name="Euro 20 4 3" xfId="20293" xr:uid="{00000000-0005-0000-0000-00004A6A0000}"/>
    <cellStyle name="Euro 20 4 4" xfId="19034" xr:uid="{00000000-0005-0000-0000-00004B6A0000}"/>
    <cellStyle name="Euro 20 4 5" xfId="11221" xr:uid="{00000000-0005-0000-0000-00004C6A0000}"/>
    <cellStyle name="Euro 20 5" xfId="134" xr:uid="{00000000-0005-0000-0000-00004D6A0000}"/>
    <cellStyle name="Euro 20 5 2" xfId="11222" xr:uid="{00000000-0005-0000-0000-00004E6A0000}"/>
    <cellStyle name="Euro 20 6" xfId="135" xr:uid="{00000000-0005-0000-0000-00004F6A0000}"/>
    <cellStyle name="Euro 20 6 2" xfId="21266" xr:uid="{00000000-0005-0000-0000-0000506A0000}"/>
    <cellStyle name="Euro 21" xfId="136" xr:uid="{00000000-0005-0000-0000-0000516A0000}"/>
    <cellStyle name="Euro 21 2" xfId="137" xr:uid="{00000000-0005-0000-0000-0000526A0000}"/>
    <cellStyle name="Euro 21 2 2" xfId="3504" xr:uid="{00000000-0005-0000-0000-0000536A0000}"/>
    <cellStyle name="Euro 21 3" xfId="138" xr:uid="{00000000-0005-0000-0000-0000546A0000}"/>
    <cellStyle name="Euro 21 3 2" xfId="139" xr:uid="{00000000-0005-0000-0000-0000556A0000}"/>
    <cellStyle name="Euro 21 3 3" xfId="19037" xr:uid="{00000000-0005-0000-0000-0000566A0000}"/>
    <cellStyle name="Euro 21 3 3 2" xfId="20296" xr:uid="{00000000-0005-0000-0000-0000576A0000}"/>
    <cellStyle name="Euro 21 3 4" xfId="20295" xr:uid="{00000000-0005-0000-0000-0000586A0000}"/>
    <cellStyle name="Euro 21 3 5" xfId="19036" xr:uid="{00000000-0005-0000-0000-0000596A0000}"/>
    <cellStyle name="Euro 21 4" xfId="140" xr:uid="{00000000-0005-0000-0000-00005A6A0000}"/>
    <cellStyle name="Euro 21 4 2" xfId="19039" xr:uid="{00000000-0005-0000-0000-00005B6A0000}"/>
    <cellStyle name="Euro 21 4 2 2" xfId="20298" xr:uid="{00000000-0005-0000-0000-00005C6A0000}"/>
    <cellStyle name="Euro 21 4 3" xfId="20297" xr:uid="{00000000-0005-0000-0000-00005D6A0000}"/>
    <cellStyle name="Euro 21 4 4" xfId="19038" xr:uid="{00000000-0005-0000-0000-00005E6A0000}"/>
    <cellStyle name="Euro 21 4 5" xfId="11223" xr:uid="{00000000-0005-0000-0000-00005F6A0000}"/>
    <cellStyle name="Euro 21 5" xfId="141" xr:uid="{00000000-0005-0000-0000-0000606A0000}"/>
    <cellStyle name="Euro 21 5 2" xfId="11224" xr:uid="{00000000-0005-0000-0000-0000616A0000}"/>
    <cellStyle name="Euro 21 6" xfId="142" xr:uid="{00000000-0005-0000-0000-0000626A0000}"/>
    <cellStyle name="Euro 21 6 2" xfId="21267" xr:uid="{00000000-0005-0000-0000-0000636A0000}"/>
    <cellStyle name="Euro 22" xfId="143" xr:uid="{00000000-0005-0000-0000-0000646A0000}"/>
    <cellStyle name="Euro 22 2" xfId="144" xr:uid="{00000000-0005-0000-0000-0000656A0000}"/>
    <cellStyle name="Euro 22 2 2" xfId="3505" xr:uid="{00000000-0005-0000-0000-0000666A0000}"/>
    <cellStyle name="Euro 22 3" xfId="145" xr:uid="{00000000-0005-0000-0000-0000676A0000}"/>
    <cellStyle name="Euro 22 3 2" xfId="146" xr:uid="{00000000-0005-0000-0000-0000686A0000}"/>
    <cellStyle name="Euro 22 3 3" xfId="19041" xr:uid="{00000000-0005-0000-0000-0000696A0000}"/>
    <cellStyle name="Euro 22 3 3 2" xfId="20300" xr:uid="{00000000-0005-0000-0000-00006A6A0000}"/>
    <cellStyle name="Euro 22 3 4" xfId="20299" xr:uid="{00000000-0005-0000-0000-00006B6A0000}"/>
    <cellStyle name="Euro 22 3 5" xfId="19040" xr:uid="{00000000-0005-0000-0000-00006C6A0000}"/>
    <cellStyle name="Euro 22 4" xfId="147" xr:uid="{00000000-0005-0000-0000-00006D6A0000}"/>
    <cellStyle name="Euro 22 4 2" xfId="19043" xr:uid="{00000000-0005-0000-0000-00006E6A0000}"/>
    <cellStyle name="Euro 22 4 2 2" xfId="20302" xr:uid="{00000000-0005-0000-0000-00006F6A0000}"/>
    <cellStyle name="Euro 22 4 3" xfId="20301" xr:uid="{00000000-0005-0000-0000-0000706A0000}"/>
    <cellStyle name="Euro 22 4 4" xfId="19042" xr:uid="{00000000-0005-0000-0000-0000716A0000}"/>
    <cellStyle name="Euro 22 4 5" xfId="11225" xr:uid="{00000000-0005-0000-0000-0000726A0000}"/>
    <cellStyle name="Euro 22 5" xfId="148" xr:uid="{00000000-0005-0000-0000-0000736A0000}"/>
    <cellStyle name="Euro 22 5 2" xfId="11226" xr:uid="{00000000-0005-0000-0000-0000746A0000}"/>
    <cellStyle name="Euro 22 6" xfId="149" xr:uid="{00000000-0005-0000-0000-0000756A0000}"/>
    <cellStyle name="Euro 22 6 2" xfId="21268" xr:uid="{00000000-0005-0000-0000-0000766A0000}"/>
    <cellStyle name="Euro 23" xfId="150" xr:uid="{00000000-0005-0000-0000-0000776A0000}"/>
    <cellStyle name="Euro 23 2" xfId="151" xr:uid="{00000000-0005-0000-0000-0000786A0000}"/>
    <cellStyle name="Euro 23 2 2" xfId="3506" xr:uid="{00000000-0005-0000-0000-0000796A0000}"/>
    <cellStyle name="Euro 23 3" xfId="152" xr:uid="{00000000-0005-0000-0000-00007A6A0000}"/>
    <cellStyle name="Euro 23 3 2" xfId="153" xr:uid="{00000000-0005-0000-0000-00007B6A0000}"/>
    <cellStyle name="Euro 23 3 3" xfId="19045" xr:uid="{00000000-0005-0000-0000-00007C6A0000}"/>
    <cellStyle name="Euro 23 3 3 2" xfId="20304" xr:uid="{00000000-0005-0000-0000-00007D6A0000}"/>
    <cellStyle name="Euro 23 3 4" xfId="20303" xr:uid="{00000000-0005-0000-0000-00007E6A0000}"/>
    <cellStyle name="Euro 23 3 5" xfId="19044" xr:uid="{00000000-0005-0000-0000-00007F6A0000}"/>
    <cellStyle name="Euro 23 4" xfId="154" xr:uid="{00000000-0005-0000-0000-0000806A0000}"/>
    <cellStyle name="Euro 23 4 2" xfId="19047" xr:uid="{00000000-0005-0000-0000-0000816A0000}"/>
    <cellStyle name="Euro 23 4 2 2" xfId="20306" xr:uid="{00000000-0005-0000-0000-0000826A0000}"/>
    <cellStyle name="Euro 23 4 3" xfId="20305" xr:uid="{00000000-0005-0000-0000-0000836A0000}"/>
    <cellStyle name="Euro 23 4 4" xfId="19046" xr:uid="{00000000-0005-0000-0000-0000846A0000}"/>
    <cellStyle name="Euro 23 4 5" xfId="11227" xr:uid="{00000000-0005-0000-0000-0000856A0000}"/>
    <cellStyle name="Euro 23 5" xfId="155" xr:uid="{00000000-0005-0000-0000-0000866A0000}"/>
    <cellStyle name="Euro 23 5 2" xfId="11228" xr:uid="{00000000-0005-0000-0000-0000876A0000}"/>
    <cellStyle name="Euro 23 6" xfId="156" xr:uid="{00000000-0005-0000-0000-0000886A0000}"/>
    <cellStyle name="Euro 23 6 2" xfId="21269" xr:uid="{00000000-0005-0000-0000-0000896A0000}"/>
    <cellStyle name="Euro 24" xfId="157" xr:uid="{00000000-0005-0000-0000-00008A6A0000}"/>
    <cellStyle name="Euro 24 2" xfId="158" xr:uid="{00000000-0005-0000-0000-00008B6A0000}"/>
    <cellStyle name="Euro 24 2 2" xfId="3507" xr:uid="{00000000-0005-0000-0000-00008C6A0000}"/>
    <cellStyle name="Euro 24 3" xfId="159" xr:uid="{00000000-0005-0000-0000-00008D6A0000}"/>
    <cellStyle name="Euro 24 3 2" xfId="160" xr:uid="{00000000-0005-0000-0000-00008E6A0000}"/>
    <cellStyle name="Euro 24 3 3" xfId="19049" xr:uid="{00000000-0005-0000-0000-00008F6A0000}"/>
    <cellStyle name="Euro 24 3 3 2" xfId="20308" xr:uid="{00000000-0005-0000-0000-0000906A0000}"/>
    <cellStyle name="Euro 24 3 4" xfId="20307" xr:uid="{00000000-0005-0000-0000-0000916A0000}"/>
    <cellStyle name="Euro 24 3 5" xfId="19048" xr:uid="{00000000-0005-0000-0000-0000926A0000}"/>
    <cellStyle name="Euro 24 4" xfId="161" xr:uid="{00000000-0005-0000-0000-0000936A0000}"/>
    <cellStyle name="Euro 24 4 2" xfId="19051" xr:uid="{00000000-0005-0000-0000-0000946A0000}"/>
    <cellStyle name="Euro 24 4 2 2" xfId="20310" xr:uid="{00000000-0005-0000-0000-0000956A0000}"/>
    <cellStyle name="Euro 24 4 3" xfId="20309" xr:uid="{00000000-0005-0000-0000-0000966A0000}"/>
    <cellStyle name="Euro 24 4 4" xfId="19050" xr:uid="{00000000-0005-0000-0000-0000976A0000}"/>
    <cellStyle name="Euro 24 4 5" xfId="11229" xr:uid="{00000000-0005-0000-0000-0000986A0000}"/>
    <cellStyle name="Euro 24 5" xfId="162" xr:uid="{00000000-0005-0000-0000-0000996A0000}"/>
    <cellStyle name="Euro 24 5 2" xfId="11230" xr:uid="{00000000-0005-0000-0000-00009A6A0000}"/>
    <cellStyle name="Euro 24 6" xfId="163" xr:uid="{00000000-0005-0000-0000-00009B6A0000}"/>
    <cellStyle name="Euro 24 6 2" xfId="21270" xr:uid="{00000000-0005-0000-0000-00009C6A0000}"/>
    <cellStyle name="Euro 25" xfId="164" xr:uid="{00000000-0005-0000-0000-00009D6A0000}"/>
    <cellStyle name="Euro 25 2" xfId="165" xr:uid="{00000000-0005-0000-0000-00009E6A0000}"/>
    <cellStyle name="Euro 25 2 2" xfId="3508" xr:uid="{00000000-0005-0000-0000-00009F6A0000}"/>
    <cellStyle name="Euro 25 3" xfId="166" xr:uid="{00000000-0005-0000-0000-0000A06A0000}"/>
    <cellStyle name="Euro 25 3 2" xfId="167" xr:uid="{00000000-0005-0000-0000-0000A16A0000}"/>
    <cellStyle name="Euro 25 3 3" xfId="19053" xr:uid="{00000000-0005-0000-0000-0000A26A0000}"/>
    <cellStyle name="Euro 25 3 3 2" xfId="20312" xr:uid="{00000000-0005-0000-0000-0000A36A0000}"/>
    <cellStyle name="Euro 25 3 4" xfId="20311" xr:uid="{00000000-0005-0000-0000-0000A46A0000}"/>
    <cellStyle name="Euro 25 3 5" xfId="19052" xr:uid="{00000000-0005-0000-0000-0000A56A0000}"/>
    <cellStyle name="Euro 25 4" xfId="168" xr:uid="{00000000-0005-0000-0000-0000A66A0000}"/>
    <cellStyle name="Euro 25 4 2" xfId="19055" xr:uid="{00000000-0005-0000-0000-0000A76A0000}"/>
    <cellStyle name="Euro 25 4 2 2" xfId="20314" xr:uid="{00000000-0005-0000-0000-0000A86A0000}"/>
    <cellStyle name="Euro 25 4 3" xfId="20313" xr:uid="{00000000-0005-0000-0000-0000A96A0000}"/>
    <cellStyle name="Euro 25 4 4" xfId="19054" xr:uid="{00000000-0005-0000-0000-0000AA6A0000}"/>
    <cellStyle name="Euro 25 4 5" xfId="11231" xr:uid="{00000000-0005-0000-0000-0000AB6A0000}"/>
    <cellStyle name="Euro 25 5" xfId="169" xr:uid="{00000000-0005-0000-0000-0000AC6A0000}"/>
    <cellStyle name="Euro 25 5 2" xfId="11232" xr:uid="{00000000-0005-0000-0000-0000AD6A0000}"/>
    <cellStyle name="Euro 25 6" xfId="170" xr:uid="{00000000-0005-0000-0000-0000AE6A0000}"/>
    <cellStyle name="Euro 25 6 2" xfId="21271" xr:uid="{00000000-0005-0000-0000-0000AF6A0000}"/>
    <cellStyle name="Euro 26" xfId="171" xr:uid="{00000000-0005-0000-0000-0000B06A0000}"/>
    <cellStyle name="Euro 26 2" xfId="172" xr:uid="{00000000-0005-0000-0000-0000B16A0000}"/>
    <cellStyle name="Euro 26 2 2" xfId="3509" xr:uid="{00000000-0005-0000-0000-0000B26A0000}"/>
    <cellStyle name="Euro 26 3" xfId="173" xr:uid="{00000000-0005-0000-0000-0000B36A0000}"/>
    <cellStyle name="Euro 26 3 2" xfId="174" xr:uid="{00000000-0005-0000-0000-0000B46A0000}"/>
    <cellStyle name="Euro 26 3 3" xfId="19057" xr:uid="{00000000-0005-0000-0000-0000B56A0000}"/>
    <cellStyle name="Euro 26 3 3 2" xfId="20316" xr:uid="{00000000-0005-0000-0000-0000B66A0000}"/>
    <cellStyle name="Euro 26 3 4" xfId="20315" xr:uid="{00000000-0005-0000-0000-0000B76A0000}"/>
    <cellStyle name="Euro 26 3 5" xfId="19056" xr:uid="{00000000-0005-0000-0000-0000B86A0000}"/>
    <cellStyle name="Euro 26 4" xfId="175" xr:uid="{00000000-0005-0000-0000-0000B96A0000}"/>
    <cellStyle name="Euro 26 4 2" xfId="19059" xr:uid="{00000000-0005-0000-0000-0000BA6A0000}"/>
    <cellStyle name="Euro 26 4 2 2" xfId="20318" xr:uid="{00000000-0005-0000-0000-0000BB6A0000}"/>
    <cellStyle name="Euro 26 4 3" xfId="20317" xr:uid="{00000000-0005-0000-0000-0000BC6A0000}"/>
    <cellStyle name="Euro 26 4 4" xfId="19058" xr:uid="{00000000-0005-0000-0000-0000BD6A0000}"/>
    <cellStyle name="Euro 26 4 5" xfId="11233" xr:uid="{00000000-0005-0000-0000-0000BE6A0000}"/>
    <cellStyle name="Euro 26 5" xfId="176" xr:uid="{00000000-0005-0000-0000-0000BF6A0000}"/>
    <cellStyle name="Euro 26 5 2" xfId="11234" xr:uid="{00000000-0005-0000-0000-0000C06A0000}"/>
    <cellStyle name="Euro 26 6" xfId="177" xr:uid="{00000000-0005-0000-0000-0000C16A0000}"/>
    <cellStyle name="Euro 26 6 2" xfId="21272" xr:uid="{00000000-0005-0000-0000-0000C26A0000}"/>
    <cellStyle name="Euro 27" xfId="178" xr:uid="{00000000-0005-0000-0000-0000C36A0000}"/>
    <cellStyle name="Euro 27 2" xfId="179" xr:uid="{00000000-0005-0000-0000-0000C46A0000}"/>
    <cellStyle name="Euro 27 2 2" xfId="3510" xr:uid="{00000000-0005-0000-0000-0000C56A0000}"/>
    <cellStyle name="Euro 27 3" xfId="180" xr:uid="{00000000-0005-0000-0000-0000C66A0000}"/>
    <cellStyle name="Euro 27 3 2" xfId="181" xr:uid="{00000000-0005-0000-0000-0000C76A0000}"/>
    <cellStyle name="Euro 27 3 3" xfId="19061" xr:uid="{00000000-0005-0000-0000-0000C86A0000}"/>
    <cellStyle name="Euro 27 3 3 2" xfId="20320" xr:uid="{00000000-0005-0000-0000-0000C96A0000}"/>
    <cellStyle name="Euro 27 3 4" xfId="20319" xr:uid="{00000000-0005-0000-0000-0000CA6A0000}"/>
    <cellStyle name="Euro 27 3 5" xfId="19060" xr:uid="{00000000-0005-0000-0000-0000CB6A0000}"/>
    <cellStyle name="Euro 27 4" xfId="182" xr:uid="{00000000-0005-0000-0000-0000CC6A0000}"/>
    <cellStyle name="Euro 27 4 2" xfId="19063" xr:uid="{00000000-0005-0000-0000-0000CD6A0000}"/>
    <cellStyle name="Euro 27 4 2 2" xfId="20322" xr:uid="{00000000-0005-0000-0000-0000CE6A0000}"/>
    <cellStyle name="Euro 27 4 3" xfId="20321" xr:uid="{00000000-0005-0000-0000-0000CF6A0000}"/>
    <cellStyle name="Euro 27 4 4" xfId="19062" xr:uid="{00000000-0005-0000-0000-0000D06A0000}"/>
    <cellStyle name="Euro 27 4 5" xfId="11235" xr:uid="{00000000-0005-0000-0000-0000D16A0000}"/>
    <cellStyle name="Euro 27 5" xfId="183" xr:uid="{00000000-0005-0000-0000-0000D26A0000}"/>
    <cellStyle name="Euro 27 5 2" xfId="11236" xr:uid="{00000000-0005-0000-0000-0000D36A0000}"/>
    <cellStyle name="Euro 27 6" xfId="184" xr:uid="{00000000-0005-0000-0000-0000D46A0000}"/>
    <cellStyle name="Euro 27 6 2" xfId="21273" xr:uid="{00000000-0005-0000-0000-0000D56A0000}"/>
    <cellStyle name="Euro 28" xfId="185" xr:uid="{00000000-0005-0000-0000-0000D66A0000}"/>
    <cellStyle name="Euro 28 2" xfId="186" xr:uid="{00000000-0005-0000-0000-0000D76A0000}"/>
    <cellStyle name="Euro 28 2 2" xfId="3511" xr:uid="{00000000-0005-0000-0000-0000D86A0000}"/>
    <cellStyle name="Euro 28 3" xfId="187" xr:uid="{00000000-0005-0000-0000-0000D96A0000}"/>
    <cellStyle name="Euro 28 3 2" xfId="188" xr:uid="{00000000-0005-0000-0000-0000DA6A0000}"/>
    <cellStyle name="Euro 28 3 3" xfId="19065" xr:uid="{00000000-0005-0000-0000-0000DB6A0000}"/>
    <cellStyle name="Euro 28 3 3 2" xfId="20324" xr:uid="{00000000-0005-0000-0000-0000DC6A0000}"/>
    <cellStyle name="Euro 28 3 4" xfId="20323" xr:uid="{00000000-0005-0000-0000-0000DD6A0000}"/>
    <cellStyle name="Euro 28 3 5" xfId="19064" xr:uid="{00000000-0005-0000-0000-0000DE6A0000}"/>
    <cellStyle name="Euro 28 4" xfId="189" xr:uid="{00000000-0005-0000-0000-0000DF6A0000}"/>
    <cellStyle name="Euro 28 4 2" xfId="19067" xr:uid="{00000000-0005-0000-0000-0000E06A0000}"/>
    <cellStyle name="Euro 28 4 2 2" xfId="20326" xr:uid="{00000000-0005-0000-0000-0000E16A0000}"/>
    <cellStyle name="Euro 28 4 3" xfId="20325" xr:uid="{00000000-0005-0000-0000-0000E26A0000}"/>
    <cellStyle name="Euro 28 4 4" xfId="19066" xr:uid="{00000000-0005-0000-0000-0000E36A0000}"/>
    <cellStyle name="Euro 28 4 5" xfId="11237" xr:uid="{00000000-0005-0000-0000-0000E46A0000}"/>
    <cellStyle name="Euro 28 5" xfId="190" xr:uid="{00000000-0005-0000-0000-0000E56A0000}"/>
    <cellStyle name="Euro 28 5 2" xfId="11238" xr:uid="{00000000-0005-0000-0000-0000E66A0000}"/>
    <cellStyle name="Euro 28 6" xfId="191" xr:uid="{00000000-0005-0000-0000-0000E76A0000}"/>
    <cellStyle name="Euro 28 6 2" xfId="21274" xr:uid="{00000000-0005-0000-0000-0000E86A0000}"/>
    <cellStyle name="Euro 29" xfId="192" xr:uid="{00000000-0005-0000-0000-0000E96A0000}"/>
    <cellStyle name="Euro 29 2" xfId="193" xr:uid="{00000000-0005-0000-0000-0000EA6A0000}"/>
    <cellStyle name="Euro 29 2 2" xfId="3512" xr:uid="{00000000-0005-0000-0000-0000EB6A0000}"/>
    <cellStyle name="Euro 29 3" xfId="194" xr:uid="{00000000-0005-0000-0000-0000EC6A0000}"/>
    <cellStyle name="Euro 29 3 2" xfId="195" xr:uid="{00000000-0005-0000-0000-0000ED6A0000}"/>
    <cellStyle name="Euro 29 3 3" xfId="19069" xr:uid="{00000000-0005-0000-0000-0000EE6A0000}"/>
    <cellStyle name="Euro 29 3 3 2" xfId="20328" xr:uid="{00000000-0005-0000-0000-0000EF6A0000}"/>
    <cellStyle name="Euro 29 3 4" xfId="20327" xr:uid="{00000000-0005-0000-0000-0000F06A0000}"/>
    <cellStyle name="Euro 29 3 5" xfId="19068" xr:uid="{00000000-0005-0000-0000-0000F16A0000}"/>
    <cellStyle name="Euro 29 4" xfId="196" xr:uid="{00000000-0005-0000-0000-0000F26A0000}"/>
    <cellStyle name="Euro 29 4 2" xfId="19071" xr:uid="{00000000-0005-0000-0000-0000F36A0000}"/>
    <cellStyle name="Euro 29 4 2 2" xfId="20330" xr:uid="{00000000-0005-0000-0000-0000F46A0000}"/>
    <cellStyle name="Euro 29 4 3" xfId="20329" xr:uid="{00000000-0005-0000-0000-0000F56A0000}"/>
    <cellStyle name="Euro 29 4 4" xfId="19070" xr:uid="{00000000-0005-0000-0000-0000F66A0000}"/>
    <cellStyle name="Euro 29 4 5" xfId="11239" xr:uid="{00000000-0005-0000-0000-0000F76A0000}"/>
    <cellStyle name="Euro 29 5" xfId="197" xr:uid="{00000000-0005-0000-0000-0000F86A0000}"/>
    <cellStyle name="Euro 29 5 2" xfId="11240" xr:uid="{00000000-0005-0000-0000-0000F96A0000}"/>
    <cellStyle name="Euro 29 6" xfId="198" xr:uid="{00000000-0005-0000-0000-0000FA6A0000}"/>
    <cellStyle name="Euro 29 6 2" xfId="21275" xr:uid="{00000000-0005-0000-0000-0000FB6A0000}"/>
    <cellStyle name="Euro 3" xfId="199" xr:uid="{00000000-0005-0000-0000-0000FC6A0000}"/>
    <cellStyle name="Euro 3 2" xfId="200" xr:uid="{00000000-0005-0000-0000-0000FD6A0000}"/>
    <cellStyle name="Euro 3 2 2" xfId="3513" xr:uid="{00000000-0005-0000-0000-0000FE6A0000}"/>
    <cellStyle name="Euro 3 3" xfId="201" xr:uid="{00000000-0005-0000-0000-0000FF6A0000}"/>
    <cellStyle name="Euro 3 3 2" xfId="202" xr:uid="{00000000-0005-0000-0000-0000006B0000}"/>
    <cellStyle name="Euro 3 3 3" xfId="19073" xr:uid="{00000000-0005-0000-0000-0000016B0000}"/>
    <cellStyle name="Euro 3 3 3 2" xfId="20332" xr:uid="{00000000-0005-0000-0000-0000026B0000}"/>
    <cellStyle name="Euro 3 3 4" xfId="20331" xr:uid="{00000000-0005-0000-0000-0000036B0000}"/>
    <cellStyle name="Euro 3 3 5" xfId="19072" xr:uid="{00000000-0005-0000-0000-0000046B0000}"/>
    <cellStyle name="Euro 3 4" xfId="203" xr:uid="{00000000-0005-0000-0000-0000056B0000}"/>
    <cellStyle name="Euro 3 4 2" xfId="19075" xr:uid="{00000000-0005-0000-0000-0000066B0000}"/>
    <cellStyle name="Euro 3 4 2 2" xfId="20334" xr:uid="{00000000-0005-0000-0000-0000076B0000}"/>
    <cellStyle name="Euro 3 4 3" xfId="20333" xr:uid="{00000000-0005-0000-0000-0000086B0000}"/>
    <cellStyle name="Euro 3 4 4" xfId="19074" xr:uid="{00000000-0005-0000-0000-0000096B0000}"/>
    <cellStyle name="Euro 3 4 5" xfId="11241" xr:uid="{00000000-0005-0000-0000-00000A6B0000}"/>
    <cellStyle name="Euro 3 5" xfId="204" xr:uid="{00000000-0005-0000-0000-00000B6B0000}"/>
    <cellStyle name="Euro 3 5 2" xfId="11242" xr:uid="{00000000-0005-0000-0000-00000C6B0000}"/>
    <cellStyle name="Euro 3 6" xfId="205" xr:uid="{00000000-0005-0000-0000-00000D6B0000}"/>
    <cellStyle name="Euro 3 6 2" xfId="21276" xr:uid="{00000000-0005-0000-0000-00000E6B0000}"/>
    <cellStyle name="Euro 30" xfId="206" xr:uid="{00000000-0005-0000-0000-00000F6B0000}"/>
    <cellStyle name="Euro 30 2" xfId="207" xr:uid="{00000000-0005-0000-0000-0000106B0000}"/>
    <cellStyle name="Euro 30 2 2" xfId="3514" xr:uid="{00000000-0005-0000-0000-0000116B0000}"/>
    <cellStyle name="Euro 30 3" xfId="208" xr:uid="{00000000-0005-0000-0000-0000126B0000}"/>
    <cellStyle name="Euro 30 3 2" xfId="209" xr:uid="{00000000-0005-0000-0000-0000136B0000}"/>
    <cellStyle name="Euro 30 3 3" xfId="19077" xr:uid="{00000000-0005-0000-0000-0000146B0000}"/>
    <cellStyle name="Euro 30 3 3 2" xfId="20336" xr:uid="{00000000-0005-0000-0000-0000156B0000}"/>
    <cellStyle name="Euro 30 3 4" xfId="20335" xr:uid="{00000000-0005-0000-0000-0000166B0000}"/>
    <cellStyle name="Euro 30 3 5" xfId="19076" xr:uid="{00000000-0005-0000-0000-0000176B0000}"/>
    <cellStyle name="Euro 30 4" xfId="210" xr:uid="{00000000-0005-0000-0000-0000186B0000}"/>
    <cellStyle name="Euro 30 4 2" xfId="19079" xr:uid="{00000000-0005-0000-0000-0000196B0000}"/>
    <cellStyle name="Euro 30 4 2 2" xfId="20338" xr:uid="{00000000-0005-0000-0000-00001A6B0000}"/>
    <cellStyle name="Euro 30 4 3" xfId="20337" xr:uid="{00000000-0005-0000-0000-00001B6B0000}"/>
    <cellStyle name="Euro 30 4 4" xfId="19078" xr:uid="{00000000-0005-0000-0000-00001C6B0000}"/>
    <cellStyle name="Euro 30 4 5" xfId="11243" xr:uid="{00000000-0005-0000-0000-00001D6B0000}"/>
    <cellStyle name="Euro 30 5" xfId="211" xr:uid="{00000000-0005-0000-0000-00001E6B0000}"/>
    <cellStyle name="Euro 30 5 2" xfId="11244" xr:uid="{00000000-0005-0000-0000-00001F6B0000}"/>
    <cellStyle name="Euro 30 6" xfId="212" xr:uid="{00000000-0005-0000-0000-0000206B0000}"/>
    <cellStyle name="Euro 30 6 2" xfId="21277" xr:uid="{00000000-0005-0000-0000-0000216B0000}"/>
    <cellStyle name="Euro 31" xfId="213" xr:uid="{00000000-0005-0000-0000-0000226B0000}"/>
    <cellStyle name="Euro 31 2" xfId="214" xr:uid="{00000000-0005-0000-0000-0000236B0000}"/>
    <cellStyle name="Euro 31 2 2" xfId="3515" xr:uid="{00000000-0005-0000-0000-0000246B0000}"/>
    <cellStyle name="Euro 31 3" xfId="215" xr:uid="{00000000-0005-0000-0000-0000256B0000}"/>
    <cellStyle name="Euro 31 3 2" xfId="216" xr:uid="{00000000-0005-0000-0000-0000266B0000}"/>
    <cellStyle name="Euro 31 3 3" xfId="19081" xr:uid="{00000000-0005-0000-0000-0000276B0000}"/>
    <cellStyle name="Euro 31 3 3 2" xfId="20340" xr:uid="{00000000-0005-0000-0000-0000286B0000}"/>
    <cellStyle name="Euro 31 3 4" xfId="20339" xr:uid="{00000000-0005-0000-0000-0000296B0000}"/>
    <cellStyle name="Euro 31 3 5" xfId="19080" xr:uid="{00000000-0005-0000-0000-00002A6B0000}"/>
    <cellStyle name="Euro 31 4" xfId="217" xr:uid="{00000000-0005-0000-0000-00002B6B0000}"/>
    <cellStyle name="Euro 31 4 2" xfId="19083" xr:uid="{00000000-0005-0000-0000-00002C6B0000}"/>
    <cellStyle name="Euro 31 4 2 2" xfId="20342" xr:uid="{00000000-0005-0000-0000-00002D6B0000}"/>
    <cellStyle name="Euro 31 4 3" xfId="20341" xr:uid="{00000000-0005-0000-0000-00002E6B0000}"/>
    <cellStyle name="Euro 31 4 4" xfId="19082" xr:uid="{00000000-0005-0000-0000-00002F6B0000}"/>
    <cellStyle name="Euro 31 4 5" xfId="11245" xr:uid="{00000000-0005-0000-0000-0000306B0000}"/>
    <cellStyle name="Euro 31 5" xfId="218" xr:uid="{00000000-0005-0000-0000-0000316B0000}"/>
    <cellStyle name="Euro 31 5 2" xfId="11246" xr:uid="{00000000-0005-0000-0000-0000326B0000}"/>
    <cellStyle name="Euro 31 6" xfId="219" xr:uid="{00000000-0005-0000-0000-0000336B0000}"/>
    <cellStyle name="Euro 31 6 2" xfId="21278" xr:uid="{00000000-0005-0000-0000-0000346B0000}"/>
    <cellStyle name="Euro 32" xfId="220" xr:uid="{00000000-0005-0000-0000-0000356B0000}"/>
    <cellStyle name="Euro 32 2" xfId="221" xr:uid="{00000000-0005-0000-0000-0000366B0000}"/>
    <cellStyle name="Euro 32 2 2" xfId="3516" xr:uid="{00000000-0005-0000-0000-0000376B0000}"/>
    <cellStyle name="Euro 32 3" xfId="222" xr:uid="{00000000-0005-0000-0000-0000386B0000}"/>
    <cellStyle name="Euro 32 3 2" xfId="223" xr:uid="{00000000-0005-0000-0000-0000396B0000}"/>
    <cellStyle name="Euro 32 3 3" xfId="19085" xr:uid="{00000000-0005-0000-0000-00003A6B0000}"/>
    <cellStyle name="Euro 32 3 3 2" xfId="20344" xr:uid="{00000000-0005-0000-0000-00003B6B0000}"/>
    <cellStyle name="Euro 32 3 4" xfId="20343" xr:uid="{00000000-0005-0000-0000-00003C6B0000}"/>
    <cellStyle name="Euro 32 3 5" xfId="19084" xr:uid="{00000000-0005-0000-0000-00003D6B0000}"/>
    <cellStyle name="Euro 32 4" xfId="224" xr:uid="{00000000-0005-0000-0000-00003E6B0000}"/>
    <cellStyle name="Euro 32 4 2" xfId="19087" xr:uid="{00000000-0005-0000-0000-00003F6B0000}"/>
    <cellStyle name="Euro 32 4 2 2" xfId="20346" xr:uid="{00000000-0005-0000-0000-0000406B0000}"/>
    <cellStyle name="Euro 32 4 3" xfId="20345" xr:uid="{00000000-0005-0000-0000-0000416B0000}"/>
    <cellStyle name="Euro 32 4 4" xfId="19086" xr:uid="{00000000-0005-0000-0000-0000426B0000}"/>
    <cellStyle name="Euro 32 4 5" xfId="11247" xr:uid="{00000000-0005-0000-0000-0000436B0000}"/>
    <cellStyle name="Euro 32 5" xfId="225" xr:uid="{00000000-0005-0000-0000-0000446B0000}"/>
    <cellStyle name="Euro 32 5 2" xfId="11248" xr:uid="{00000000-0005-0000-0000-0000456B0000}"/>
    <cellStyle name="Euro 32 6" xfId="226" xr:uid="{00000000-0005-0000-0000-0000466B0000}"/>
    <cellStyle name="Euro 32 6 2" xfId="21279" xr:uid="{00000000-0005-0000-0000-0000476B0000}"/>
    <cellStyle name="Euro 33" xfId="227" xr:uid="{00000000-0005-0000-0000-0000486B0000}"/>
    <cellStyle name="Euro 33 2" xfId="228" xr:uid="{00000000-0005-0000-0000-0000496B0000}"/>
    <cellStyle name="Euro 33 2 2" xfId="3517" xr:uid="{00000000-0005-0000-0000-00004A6B0000}"/>
    <cellStyle name="Euro 33 3" xfId="229" xr:uid="{00000000-0005-0000-0000-00004B6B0000}"/>
    <cellStyle name="Euro 33 3 2" xfId="230" xr:uid="{00000000-0005-0000-0000-00004C6B0000}"/>
    <cellStyle name="Euro 33 3 3" xfId="19089" xr:uid="{00000000-0005-0000-0000-00004D6B0000}"/>
    <cellStyle name="Euro 33 3 3 2" xfId="20348" xr:uid="{00000000-0005-0000-0000-00004E6B0000}"/>
    <cellStyle name="Euro 33 3 4" xfId="20347" xr:uid="{00000000-0005-0000-0000-00004F6B0000}"/>
    <cellStyle name="Euro 33 3 5" xfId="19088" xr:uid="{00000000-0005-0000-0000-0000506B0000}"/>
    <cellStyle name="Euro 33 4" xfId="231" xr:uid="{00000000-0005-0000-0000-0000516B0000}"/>
    <cellStyle name="Euro 33 4 2" xfId="19091" xr:uid="{00000000-0005-0000-0000-0000526B0000}"/>
    <cellStyle name="Euro 33 4 2 2" xfId="20350" xr:uid="{00000000-0005-0000-0000-0000536B0000}"/>
    <cellStyle name="Euro 33 4 3" xfId="20349" xr:uid="{00000000-0005-0000-0000-0000546B0000}"/>
    <cellStyle name="Euro 33 4 4" xfId="19090" xr:uid="{00000000-0005-0000-0000-0000556B0000}"/>
    <cellStyle name="Euro 33 4 5" xfId="11249" xr:uid="{00000000-0005-0000-0000-0000566B0000}"/>
    <cellStyle name="Euro 33 5" xfId="232" xr:uid="{00000000-0005-0000-0000-0000576B0000}"/>
    <cellStyle name="Euro 33 5 2" xfId="11250" xr:uid="{00000000-0005-0000-0000-0000586B0000}"/>
    <cellStyle name="Euro 33 6" xfId="233" xr:uid="{00000000-0005-0000-0000-0000596B0000}"/>
    <cellStyle name="Euro 33 6 2" xfId="21280" xr:uid="{00000000-0005-0000-0000-00005A6B0000}"/>
    <cellStyle name="Euro 34" xfId="234" xr:uid="{00000000-0005-0000-0000-00005B6B0000}"/>
    <cellStyle name="Euro 34 2" xfId="235" xr:uid="{00000000-0005-0000-0000-00005C6B0000}"/>
    <cellStyle name="Euro 34 2 2" xfId="3518" xr:uid="{00000000-0005-0000-0000-00005D6B0000}"/>
    <cellStyle name="Euro 34 3" xfId="236" xr:uid="{00000000-0005-0000-0000-00005E6B0000}"/>
    <cellStyle name="Euro 34 3 2" xfId="237" xr:uid="{00000000-0005-0000-0000-00005F6B0000}"/>
    <cellStyle name="Euro 34 3 3" xfId="19093" xr:uid="{00000000-0005-0000-0000-0000606B0000}"/>
    <cellStyle name="Euro 34 3 3 2" xfId="20352" xr:uid="{00000000-0005-0000-0000-0000616B0000}"/>
    <cellStyle name="Euro 34 3 4" xfId="20351" xr:uid="{00000000-0005-0000-0000-0000626B0000}"/>
    <cellStyle name="Euro 34 3 5" xfId="19092" xr:uid="{00000000-0005-0000-0000-0000636B0000}"/>
    <cellStyle name="Euro 34 4" xfId="238" xr:uid="{00000000-0005-0000-0000-0000646B0000}"/>
    <cellStyle name="Euro 34 4 2" xfId="19095" xr:uid="{00000000-0005-0000-0000-0000656B0000}"/>
    <cellStyle name="Euro 34 4 2 2" xfId="20354" xr:uid="{00000000-0005-0000-0000-0000666B0000}"/>
    <cellStyle name="Euro 34 4 3" xfId="20353" xr:uid="{00000000-0005-0000-0000-0000676B0000}"/>
    <cellStyle name="Euro 34 4 4" xfId="19094" xr:uid="{00000000-0005-0000-0000-0000686B0000}"/>
    <cellStyle name="Euro 34 4 5" xfId="11251" xr:uid="{00000000-0005-0000-0000-0000696B0000}"/>
    <cellStyle name="Euro 34 5" xfId="239" xr:uid="{00000000-0005-0000-0000-00006A6B0000}"/>
    <cellStyle name="Euro 34 5 2" xfId="11252" xr:uid="{00000000-0005-0000-0000-00006B6B0000}"/>
    <cellStyle name="Euro 34 6" xfId="240" xr:uid="{00000000-0005-0000-0000-00006C6B0000}"/>
    <cellStyle name="Euro 34 6 2" xfId="21281" xr:uid="{00000000-0005-0000-0000-00006D6B0000}"/>
    <cellStyle name="Euro 35" xfId="241" xr:uid="{00000000-0005-0000-0000-00006E6B0000}"/>
    <cellStyle name="Euro 35 2" xfId="242" xr:uid="{00000000-0005-0000-0000-00006F6B0000}"/>
    <cellStyle name="Euro 35 2 2" xfId="3519" xr:uid="{00000000-0005-0000-0000-0000706B0000}"/>
    <cellStyle name="Euro 35 3" xfId="243" xr:uid="{00000000-0005-0000-0000-0000716B0000}"/>
    <cellStyle name="Euro 35 3 2" xfId="244" xr:uid="{00000000-0005-0000-0000-0000726B0000}"/>
    <cellStyle name="Euro 35 3 3" xfId="19097" xr:uid="{00000000-0005-0000-0000-0000736B0000}"/>
    <cellStyle name="Euro 35 3 3 2" xfId="20356" xr:uid="{00000000-0005-0000-0000-0000746B0000}"/>
    <cellStyle name="Euro 35 3 4" xfId="20355" xr:uid="{00000000-0005-0000-0000-0000756B0000}"/>
    <cellStyle name="Euro 35 3 5" xfId="19096" xr:uid="{00000000-0005-0000-0000-0000766B0000}"/>
    <cellStyle name="Euro 35 4" xfId="245" xr:uid="{00000000-0005-0000-0000-0000776B0000}"/>
    <cellStyle name="Euro 35 4 2" xfId="19099" xr:uid="{00000000-0005-0000-0000-0000786B0000}"/>
    <cellStyle name="Euro 35 4 2 2" xfId="20358" xr:uid="{00000000-0005-0000-0000-0000796B0000}"/>
    <cellStyle name="Euro 35 4 3" xfId="20357" xr:uid="{00000000-0005-0000-0000-00007A6B0000}"/>
    <cellStyle name="Euro 35 4 4" xfId="19098" xr:uid="{00000000-0005-0000-0000-00007B6B0000}"/>
    <cellStyle name="Euro 35 4 5" xfId="11253" xr:uid="{00000000-0005-0000-0000-00007C6B0000}"/>
    <cellStyle name="Euro 35 5" xfId="246" xr:uid="{00000000-0005-0000-0000-00007D6B0000}"/>
    <cellStyle name="Euro 35 5 2" xfId="11254" xr:uid="{00000000-0005-0000-0000-00007E6B0000}"/>
    <cellStyle name="Euro 35 6" xfId="247" xr:uid="{00000000-0005-0000-0000-00007F6B0000}"/>
    <cellStyle name="Euro 35 6 2" xfId="21282" xr:uid="{00000000-0005-0000-0000-0000806B0000}"/>
    <cellStyle name="Euro 36" xfId="248" xr:uid="{00000000-0005-0000-0000-0000816B0000}"/>
    <cellStyle name="Euro 36 2" xfId="249" xr:uid="{00000000-0005-0000-0000-0000826B0000}"/>
    <cellStyle name="Euro 36 2 2" xfId="3520" xr:uid="{00000000-0005-0000-0000-0000836B0000}"/>
    <cellStyle name="Euro 36 3" xfId="250" xr:uid="{00000000-0005-0000-0000-0000846B0000}"/>
    <cellStyle name="Euro 36 3 2" xfId="251" xr:uid="{00000000-0005-0000-0000-0000856B0000}"/>
    <cellStyle name="Euro 36 3 3" xfId="19101" xr:uid="{00000000-0005-0000-0000-0000866B0000}"/>
    <cellStyle name="Euro 36 3 3 2" xfId="20360" xr:uid="{00000000-0005-0000-0000-0000876B0000}"/>
    <cellStyle name="Euro 36 3 4" xfId="20359" xr:uid="{00000000-0005-0000-0000-0000886B0000}"/>
    <cellStyle name="Euro 36 3 5" xfId="19100" xr:uid="{00000000-0005-0000-0000-0000896B0000}"/>
    <cellStyle name="Euro 36 4" xfId="252" xr:uid="{00000000-0005-0000-0000-00008A6B0000}"/>
    <cellStyle name="Euro 36 4 2" xfId="19103" xr:uid="{00000000-0005-0000-0000-00008B6B0000}"/>
    <cellStyle name="Euro 36 4 2 2" xfId="20362" xr:uid="{00000000-0005-0000-0000-00008C6B0000}"/>
    <cellStyle name="Euro 36 4 3" xfId="20361" xr:uid="{00000000-0005-0000-0000-00008D6B0000}"/>
    <cellStyle name="Euro 36 4 4" xfId="19102" xr:uid="{00000000-0005-0000-0000-00008E6B0000}"/>
    <cellStyle name="Euro 36 4 5" xfId="11255" xr:uid="{00000000-0005-0000-0000-00008F6B0000}"/>
    <cellStyle name="Euro 36 5" xfId="253" xr:uid="{00000000-0005-0000-0000-0000906B0000}"/>
    <cellStyle name="Euro 36 5 2" xfId="11256" xr:uid="{00000000-0005-0000-0000-0000916B0000}"/>
    <cellStyle name="Euro 36 6" xfId="254" xr:uid="{00000000-0005-0000-0000-0000926B0000}"/>
    <cellStyle name="Euro 36 6 2" xfId="21283" xr:uid="{00000000-0005-0000-0000-0000936B0000}"/>
    <cellStyle name="Euro 37" xfId="255" xr:uid="{00000000-0005-0000-0000-0000946B0000}"/>
    <cellStyle name="Euro 37 2" xfId="256" xr:uid="{00000000-0005-0000-0000-0000956B0000}"/>
    <cellStyle name="Euro 37 2 2" xfId="3521" xr:uid="{00000000-0005-0000-0000-0000966B0000}"/>
    <cellStyle name="Euro 37 3" xfId="257" xr:uid="{00000000-0005-0000-0000-0000976B0000}"/>
    <cellStyle name="Euro 37 3 2" xfId="258" xr:uid="{00000000-0005-0000-0000-0000986B0000}"/>
    <cellStyle name="Euro 37 3 3" xfId="19105" xr:uid="{00000000-0005-0000-0000-0000996B0000}"/>
    <cellStyle name="Euro 37 3 3 2" xfId="20364" xr:uid="{00000000-0005-0000-0000-00009A6B0000}"/>
    <cellStyle name="Euro 37 3 4" xfId="20363" xr:uid="{00000000-0005-0000-0000-00009B6B0000}"/>
    <cellStyle name="Euro 37 3 5" xfId="19104" xr:uid="{00000000-0005-0000-0000-00009C6B0000}"/>
    <cellStyle name="Euro 37 4" xfId="259" xr:uid="{00000000-0005-0000-0000-00009D6B0000}"/>
    <cellStyle name="Euro 37 4 2" xfId="19107" xr:uid="{00000000-0005-0000-0000-00009E6B0000}"/>
    <cellStyle name="Euro 37 4 2 2" xfId="20366" xr:uid="{00000000-0005-0000-0000-00009F6B0000}"/>
    <cellStyle name="Euro 37 4 3" xfId="20365" xr:uid="{00000000-0005-0000-0000-0000A06B0000}"/>
    <cellStyle name="Euro 37 4 4" xfId="19106" xr:uid="{00000000-0005-0000-0000-0000A16B0000}"/>
    <cellStyle name="Euro 37 4 5" xfId="11257" xr:uid="{00000000-0005-0000-0000-0000A26B0000}"/>
    <cellStyle name="Euro 37 5" xfId="260" xr:uid="{00000000-0005-0000-0000-0000A36B0000}"/>
    <cellStyle name="Euro 37 5 2" xfId="11258" xr:uid="{00000000-0005-0000-0000-0000A46B0000}"/>
    <cellStyle name="Euro 37 6" xfId="261" xr:uid="{00000000-0005-0000-0000-0000A56B0000}"/>
    <cellStyle name="Euro 37 6 2" xfId="21284" xr:uid="{00000000-0005-0000-0000-0000A66B0000}"/>
    <cellStyle name="Euro 38" xfId="262" xr:uid="{00000000-0005-0000-0000-0000A76B0000}"/>
    <cellStyle name="Euro 38 2" xfId="263" xr:uid="{00000000-0005-0000-0000-0000A86B0000}"/>
    <cellStyle name="Euro 38 2 2" xfId="3522" xr:uid="{00000000-0005-0000-0000-0000A96B0000}"/>
    <cellStyle name="Euro 38 3" xfId="264" xr:uid="{00000000-0005-0000-0000-0000AA6B0000}"/>
    <cellStyle name="Euro 38 3 2" xfId="265" xr:uid="{00000000-0005-0000-0000-0000AB6B0000}"/>
    <cellStyle name="Euro 38 3 3" xfId="19109" xr:uid="{00000000-0005-0000-0000-0000AC6B0000}"/>
    <cellStyle name="Euro 38 3 3 2" xfId="20368" xr:uid="{00000000-0005-0000-0000-0000AD6B0000}"/>
    <cellStyle name="Euro 38 3 4" xfId="20367" xr:uid="{00000000-0005-0000-0000-0000AE6B0000}"/>
    <cellStyle name="Euro 38 3 5" xfId="19108" xr:uid="{00000000-0005-0000-0000-0000AF6B0000}"/>
    <cellStyle name="Euro 38 4" xfId="266" xr:uid="{00000000-0005-0000-0000-0000B06B0000}"/>
    <cellStyle name="Euro 38 4 2" xfId="19111" xr:uid="{00000000-0005-0000-0000-0000B16B0000}"/>
    <cellStyle name="Euro 38 4 2 2" xfId="20370" xr:uid="{00000000-0005-0000-0000-0000B26B0000}"/>
    <cellStyle name="Euro 38 4 3" xfId="20369" xr:uid="{00000000-0005-0000-0000-0000B36B0000}"/>
    <cellStyle name="Euro 38 4 4" xfId="19110" xr:uid="{00000000-0005-0000-0000-0000B46B0000}"/>
    <cellStyle name="Euro 38 4 5" xfId="11259" xr:uid="{00000000-0005-0000-0000-0000B56B0000}"/>
    <cellStyle name="Euro 38 5" xfId="267" xr:uid="{00000000-0005-0000-0000-0000B66B0000}"/>
    <cellStyle name="Euro 38 5 2" xfId="11260" xr:uid="{00000000-0005-0000-0000-0000B76B0000}"/>
    <cellStyle name="Euro 38 6" xfId="268" xr:uid="{00000000-0005-0000-0000-0000B86B0000}"/>
    <cellStyle name="Euro 38 6 2" xfId="21285" xr:uid="{00000000-0005-0000-0000-0000B96B0000}"/>
    <cellStyle name="Euro 39" xfId="269" xr:uid="{00000000-0005-0000-0000-0000BA6B0000}"/>
    <cellStyle name="Euro 39 2" xfId="270" xr:uid="{00000000-0005-0000-0000-0000BB6B0000}"/>
    <cellStyle name="Euro 39 2 2" xfId="3523" xr:uid="{00000000-0005-0000-0000-0000BC6B0000}"/>
    <cellStyle name="Euro 39 3" xfId="271" xr:uid="{00000000-0005-0000-0000-0000BD6B0000}"/>
    <cellStyle name="Euro 39 3 2" xfId="272" xr:uid="{00000000-0005-0000-0000-0000BE6B0000}"/>
    <cellStyle name="Euro 39 3 3" xfId="19113" xr:uid="{00000000-0005-0000-0000-0000BF6B0000}"/>
    <cellStyle name="Euro 39 3 3 2" xfId="20372" xr:uid="{00000000-0005-0000-0000-0000C06B0000}"/>
    <cellStyle name="Euro 39 3 4" xfId="20371" xr:uid="{00000000-0005-0000-0000-0000C16B0000}"/>
    <cellStyle name="Euro 39 3 5" xfId="19112" xr:uid="{00000000-0005-0000-0000-0000C26B0000}"/>
    <cellStyle name="Euro 39 4" xfId="273" xr:uid="{00000000-0005-0000-0000-0000C36B0000}"/>
    <cellStyle name="Euro 39 4 2" xfId="19115" xr:uid="{00000000-0005-0000-0000-0000C46B0000}"/>
    <cellStyle name="Euro 39 4 2 2" xfId="20374" xr:uid="{00000000-0005-0000-0000-0000C56B0000}"/>
    <cellStyle name="Euro 39 4 3" xfId="20373" xr:uid="{00000000-0005-0000-0000-0000C66B0000}"/>
    <cellStyle name="Euro 39 4 4" xfId="19114" xr:uid="{00000000-0005-0000-0000-0000C76B0000}"/>
    <cellStyle name="Euro 39 4 5" xfId="11261" xr:uid="{00000000-0005-0000-0000-0000C86B0000}"/>
    <cellStyle name="Euro 39 5" xfId="274" xr:uid="{00000000-0005-0000-0000-0000C96B0000}"/>
    <cellStyle name="Euro 39 5 2" xfId="11262" xr:uid="{00000000-0005-0000-0000-0000CA6B0000}"/>
    <cellStyle name="Euro 39 6" xfId="275" xr:uid="{00000000-0005-0000-0000-0000CB6B0000}"/>
    <cellStyle name="Euro 39 6 2" xfId="21286" xr:uid="{00000000-0005-0000-0000-0000CC6B0000}"/>
    <cellStyle name="Euro 4" xfId="276" xr:uid="{00000000-0005-0000-0000-0000CD6B0000}"/>
    <cellStyle name="Euro 4 2" xfId="277" xr:uid="{00000000-0005-0000-0000-0000CE6B0000}"/>
    <cellStyle name="Euro 4 2 2" xfId="3524" xr:uid="{00000000-0005-0000-0000-0000CF6B0000}"/>
    <cellStyle name="Euro 4 3" xfId="278" xr:uid="{00000000-0005-0000-0000-0000D06B0000}"/>
    <cellStyle name="Euro 4 3 2" xfId="279" xr:uid="{00000000-0005-0000-0000-0000D16B0000}"/>
    <cellStyle name="Euro 4 3 3" xfId="19117" xr:uid="{00000000-0005-0000-0000-0000D26B0000}"/>
    <cellStyle name="Euro 4 3 3 2" xfId="20376" xr:uid="{00000000-0005-0000-0000-0000D36B0000}"/>
    <cellStyle name="Euro 4 3 4" xfId="20375" xr:uid="{00000000-0005-0000-0000-0000D46B0000}"/>
    <cellStyle name="Euro 4 3 5" xfId="19116" xr:uid="{00000000-0005-0000-0000-0000D56B0000}"/>
    <cellStyle name="Euro 4 4" xfId="280" xr:uid="{00000000-0005-0000-0000-0000D66B0000}"/>
    <cellStyle name="Euro 4 4 2" xfId="19119" xr:uid="{00000000-0005-0000-0000-0000D76B0000}"/>
    <cellStyle name="Euro 4 4 2 2" xfId="20378" xr:uid="{00000000-0005-0000-0000-0000D86B0000}"/>
    <cellStyle name="Euro 4 4 3" xfId="20377" xr:uid="{00000000-0005-0000-0000-0000D96B0000}"/>
    <cellStyle name="Euro 4 4 4" xfId="19118" xr:uid="{00000000-0005-0000-0000-0000DA6B0000}"/>
    <cellStyle name="Euro 4 4 5" xfId="11263" xr:uid="{00000000-0005-0000-0000-0000DB6B0000}"/>
    <cellStyle name="Euro 4 5" xfId="281" xr:uid="{00000000-0005-0000-0000-0000DC6B0000}"/>
    <cellStyle name="Euro 4 5 2" xfId="11264" xr:uid="{00000000-0005-0000-0000-0000DD6B0000}"/>
    <cellStyle name="Euro 4 6" xfId="282" xr:uid="{00000000-0005-0000-0000-0000DE6B0000}"/>
    <cellStyle name="Euro 4 6 2" xfId="21287" xr:uid="{00000000-0005-0000-0000-0000DF6B0000}"/>
    <cellStyle name="Euro 40" xfId="283" xr:uid="{00000000-0005-0000-0000-0000E06B0000}"/>
    <cellStyle name="Euro 40 2" xfId="284" xr:uid="{00000000-0005-0000-0000-0000E16B0000}"/>
    <cellStyle name="Euro 40 2 2" xfId="3525" xr:uid="{00000000-0005-0000-0000-0000E26B0000}"/>
    <cellStyle name="Euro 40 3" xfId="285" xr:uid="{00000000-0005-0000-0000-0000E36B0000}"/>
    <cellStyle name="Euro 40 3 2" xfId="286" xr:uid="{00000000-0005-0000-0000-0000E46B0000}"/>
    <cellStyle name="Euro 40 3 3" xfId="19121" xr:uid="{00000000-0005-0000-0000-0000E56B0000}"/>
    <cellStyle name="Euro 40 3 3 2" xfId="20380" xr:uid="{00000000-0005-0000-0000-0000E66B0000}"/>
    <cellStyle name="Euro 40 3 4" xfId="20379" xr:uid="{00000000-0005-0000-0000-0000E76B0000}"/>
    <cellStyle name="Euro 40 3 5" xfId="19120" xr:uid="{00000000-0005-0000-0000-0000E86B0000}"/>
    <cellStyle name="Euro 40 4" xfId="287" xr:uid="{00000000-0005-0000-0000-0000E96B0000}"/>
    <cellStyle name="Euro 40 4 2" xfId="19123" xr:uid="{00000000-0005-0000-0000-0000EA6B0000}"/>
    <cellStyle name="Euro 40 4 2 2" xfId="20382" xr:uid="{00000000-0005-0000-0000-0000EB6B0000}"/>
    <cellStyle name="Euro 40 4 3" xfId="20381" xr:uid="{00000000-0005-0000-0000-0000EC6B0000}"/>
    <cellStyle name="Euro 40 4 4" xfId="19122" xr:uid="{00000000-0005-0000-0000-0000ED6B0000}"/>
    <cellStyle name="Euro 40 4 5" xfId="11265" xr:uid="{00000000-0005-0000-0000-0000EE6B0000}"/>
    <cellStyle name="Euro 40 5" xfId="288" xr:uid="{00000000-0005-0000-0000-0000EF6B0000}"/>
    <cellStyle name="Euro 40 5 2" xfId="11266" xr:uid="{00000000-0005-0000-0000-0000F06B0000}"/>
    <cellStyle name="Euro 40 6" xfId="289" xr:uid="{00000000-0005-0000-0000-0000F16B0000}"/>
    <cellStyle name="Euro 40 6 2" xfId="21288" xr:uid="{00000000-0005-0000-0000-0000F26B0000}"/>
    <cellStyle name="Euro 41" xfId="290" xr:uid="{00000000-0005-0000-0000-0000F36B0000}"/>
    <cellStyle name="Euro 41 2" xfId="291" xr:uid="{00000000-0005-0000-0000-0000F46B0000}"/>
    <cellStyle name="Euro 41 2 2" xfId="3526" xr:uid="{00000000-0005-0000-0000-0000F56B0000}"/>
    <cellStyle name="Euro 41 3" xfId="292" xr:uid="{00000000-0005-0000-0000-0000F66B0000}"/>
    <cellStyle name="Euro 41 3 2" xfId="293" xr:uid="{00000000-0005-0000-0000-0000F76B0000}"/>
    <cellStyle name="Euro 41 3 3" xfId="19125" xr:uid="{00000000-0005-0000-0000-0000F86B0000}"/>
    <cellStyle name="Euro 41 3 3 2" xfId="20384" xr:uid="{00000000-0005-0000-0000-0000F96B0000}"/>
    <cellStyle name="Euro 41 3 4" xfId="20383" xr:uid="{00000000-0005-0000-0000-0000FA6B0000}"/>
    <cellStyle name="Euro 41 3 5" xfId="19124" xr:uid="{00000000-0005-0000-0000-0000FB6B0000}"/>
    <cellStyle name="Euro 41 4" xfId="294" xr:uid="{00000000-0005-0000-0000-0000FC6B0000}"/>
    <cellStyle name="Euro 41 4 2" xfId="19127" xr:uid="{00000000-0005-0000-0000-0000FD6B0000}"/>
    <cellStyle name="Euro 41 4 2 2" xfId="20386" xr:uid="{00000000-0005-0000-0000-0000FE6B0000}"/>
    <cellStyle name="Euro 41 4 3" xfId="20385" xr:uid="{00000000-0005-0000-0000-0000FF6B0000}"/>
    <cellStyle name="Euro 41 4 4" xfId="19126" xr:uid="{00000000-0005-0000-0000-0000006C0000}"/>
    <cellStyle name="Euro 41 4 5" xfId="11267" xr:uid="{00000000-0005-0000-0000-0000016C0000}"/>
    <cellStyle name="Euro 41 5" xfId="295" xr:uid="{00000000-0005-0000-0000-0000026C0000}"/>
    <cellStyle name="Euro 41 5 2" xfId="11268" xr:uid="{00000000-0005-0000-0000-0000036C0000}"/>
    <cellStyle name="Euro 41 6" xfId="296" xr:uid="{00000000-0005-0000-0000-0000046C0000}"/>
    <cellStyle name="Euro 41 6 2" xfId="21289" xr:uid="{00000000-0005-0000-0000-0000056C0000}"/>
    <cellStyle name="Euro 42" xfId="297" xr:uid="{00000000-0005-0000-0000-0000066C0000}"/>
    <cellStyle name="Euro 42 2" xfId="298" xr:uid="{00000000-0005-0000-0000-0000076C0000}"/>
    <cellStyle name="Euro 42 2 2" xfId="3527" xr:uid="{00000000-0005-0000-0000-0000086C0000}"/>
    <cellStyle name="Euro 42 3" xfId="299" xr:uid="{00000000-0005-0000-0000-0000096C0000}"/>
    <cellStyle name="Euro 42 3 2" xfId="300" xr:uid="{00000000-0005-0000-0000-00000A6C0000}"/>
    <cellStyle name="Euro 42 3 3" xfId="19129" xr:uid="{00000000-0005-0000-0000-00000B6C0000}"/>
    <cellStyle name="Euro 42 3 3 2" xfId="20388" xr:uid="{00000000-0005-0000-0000-00000C6C0000}"/>
    <cellStyle name="Euro 42 3 4" xfId="20387" xr:uid="{00000000-0005-0000-0000-00000D6C0000}"/>
    <cellStyle name="Euro 42 3 5" xfId="19128" xr:uid="{00000000-0005-0000-0000-00000E6C0000}"/>
    <cellStyle name="Euro 42 4" xfId="301" xr:uid="{00000000-0005-0000-0000-00000F6C0000}"/>
    <cellStyle name="Euro 42 4 2" xfId="19131" xr:uid="{00000000-0005-0000-0000-0000106C0000}"/>
    <cellStyle name="Euro 42 4 2 2" xfId="20390" xr:uid="{00000000-0005-0000-0000-0000116C0000}"/>
    <cellStyle name="Euro 42 4 3" xfId="20389" xr:uid="{00000000-0005-0000-0000-0000126C0000}"/>
    <cellStyle name="Euro 42 4 4" xfId="19130" xr:uid="{00000000-0005-0000-0000-0000136C0000}"/>
    <cellStyle name="Euro 42 4 5" xfId="11269" xr:uid="{00000000-0005-0000-0000-0000146C0000}"/>
    <cellStyle name="Euro 42 5" xfId="302" xr:uid="{00000000-0005-0000-0000-0000156C0000}"/>
    <cellStyle name="Euro 42 5 2" xfId="11270" xr:uid="{00000000-0005-0000-0000-0000166C0000}"/>
    <cellStyle name="Euro 42 6" xfId="303" xr:uid="{00000000-0005-0000-0000-0000176C0000}"/>
    <cellStyle name="Euro 42 6 2" xfId="21290" xr:uid="{00000000-0005-0000-0000-0000186C0000}"/>
    <cellStyle name="Euro 43" xfId="304" xr:uid="{00000000-0005-0000-0000-0000196C0000}"/>
    <cellStyle name="Euro 43 2" xfId="305" xr:uid="{00000000-0005-0000-0000-00001A6C0000}"/>
    <cellStyle name="Euro 43 2 2" xfId="3528" xr:uid="{00000000-0005-0000-0000-00001B6C0000}"/>
    <cellStyle name="Euro 43 3" xfId="306" xr:uid="{00000000-0005-0000-0000-00001C6C0000}"/>
    <cellStyle name="Euro 43 3 2" xfId="307" xr:uid="{00000000-0005-0000-0000-00001D6C0000}"/>
    <cellStyle name="Euro 43 3 3" xfId="19133" xr:uid="{00000000-0005-0000-0000-00001E6C0000}"/>
    <cellStyle name="Euro 43 3 3 2" xfId="20392" xr:uid="{00000000-0005-0000-0000-00001F6C0000}"/>
    <cellStyle name="Euro 43 3 4" xfId="20391" xr:uid="{00000000-0005-0000-0000-0000206C0000}"/>
    <cellStyle name="Euro 43 3 5" xfId="19132" xr:uid="{00000000-0005-0000-0000-0000216C0000}"/>
    <cellStyle name="Euro 43 4" xfId="308" xr:uid="{00000000-0005-0000-0000-0000226C0000}"/>
    <cellStyle name="Euro 43 4 2" xfId="19135" xr:uid="{00000000-0005-0000-0000-0000236C0000}"/>
    <cellStyle name="Euro 43 4 2 2" xfId="20394" xr:uid="{00000000-0005-0000-0000-0000246C0000}"/>
    <cellStyle name="Euro 43 4 3" xfId="20393" xr:uid="{00000000-0005-0000-0000-0000256C0000}"/>
    <cellStyle name="Euro 43 4 4" xfId="19134" xr:uid="{00000000-0005-0000-0000-0000266C0000}"/>
    <cellStyle name="Euro 43 4 5" xfId="11271" xr:uid="{00000000-0005-0000-0000-0000276C0000}"/>
    <cellStyle name="Euro 43 5" xfId="309" xr:uid="{00000000-0005-0000-0000-0000286C0000}"/>
    <cellStyle name="Euro 43 5 2" xfId="11272" xr:uid="{00000000-0005-0000-0000-0000296C0000}"/>
    <cellStyle name="Euro 43 6" xfId="310" xr:uid="{00000000-0005-0000-0000-00002A6C0000}"/>
    <cellStyle name="Euro 43 6 2" xfId="21291" xr:uid="{00000000-0005-0000-0000-00002B6C0000}"/>
    <cellStyle name="Euro 44" xfId="311" xr:uid="{00000000-0005-0000-0000-00002C6C0000}"/>
    <cellStyle name="Euro 44 2" xfId="312" xr:uid="{00000000-0005-0000-0000-00002D6C0000}"/>
    <cellStyle name="Euro 44 2 2" xfId="3529" xr:uid="{00000000-0005-0000-0000-00002E6C0000}"/>
    <cellStyle name="Euro 44 3" xfId="313" xr:uid="{00000000-0005-0000-0000-00002F6C0000}"/>
    <cellStyle name="Euro 44 3 2" xfId="314" xr:uid="{00000000-0005-0000-0000-0000306C0000}"/>
    <cellStyle name="Euro 44 3 3" xfId="19137" xr:uid="{00000000-0005-0000-0000-0000316C0000}"/>
    <cellStyle name="Euro 44 3 3 2" xfId="20396" xr:uid="{00000000-0005-0000-0000-0000326C0000}"/>
    <cellStyle name="Euro 44 3 4" xfId="20395" xr:uid="{00000000-0005-0000-0000-0000336C0000}"/>
    <cellStyle name="Euro 44 3 5" xfId="19136" xr:uid="{00000000-0005-0000-0000-0000346C0000}"/>
    <cellStyle name="Euro 44 4" xfId="315" xr:uid="{00000000-0005-0000-0000-0000356C0000}"/>
    <cellStyle name="Euro 44 4 2" xfId="19139" xr:uid="{00000000-0005-0000-0000-0000366C0000}"/>
    <cellStyle name="Euro 44 4 2 2" xfId="20398" xr:uid="{00000000-0005-0000-0000-0000376C0000}"/>
    <cellStyle name="Euro 44 4 3" xfId="20397" xr:uid="{00000000-0005-0000-0000-0000386C0000}"/>
    <cellStyle name="Euro 44 4 4" xfId="19138" xr:uid="{00000000-0005-0000-0000-0000396C0000}"/>
    <cellStyle name="Euro 44 4 5" xfId="11273" xr:uid="{00000000-0005-0000-0000-00003A6C0000}"/>
    <cellStyle name="Euro 44 5" xfId="316" xr:uid="{00000000-0005-0000-0000-00003B6C0000}"/>
    <cellStyle name="Euro 44 5 2" xfId="11274" xr:uid="{00000000-0005-0000-0000-00003C6C0000}"/>
    <cellStyle name="Euro 44 6" xfId="317" xr:uid="{00000000-0005-0000-0000-00003D6C0000}"/>
    <cellStyle name="Euro 44 6 2" xfId="21292" xr:uid="{00000000-0005-0000-0000-00003E6C0000}"/>
    <cellStyle name="Euro 45" xfId="318" xr:uid="{00000000-0005-0000-0000-00003F6C0000}"/>
    <cellStyle name="Euro 45 2" xfId="3530" xr:uid="{00000000-0005-0000-0000-0000406C0000}"/>
    <cellStyle name="Euro 45 2 2" xfId="20400" xr:uid="{00000000-0005-0000-0000-0000416C0000}"/>
    <cellStyle name="Euro 45 2 3" xfId="19140" xr:uid="{00000000-0005-0000-0000-0000426C0000}"/>
    <cellStyle name="Euro 45 3" xfId="20399" xr:uid="{00000000-0005-0000-0000-0000436C0000}"/>
    <cellStyle name="Euro 46" xfId="319" xr:uid="{00000000-0005-0000-0000-0000446C0000}"/>
    <cellStyle name="Euro 46 2" xfId="3531" xr:uid="{00000000-0005-0000-0000-0000456C0000}"/>
    <cellStyle name="Euro 47" xfId="320" xr:uid="{00000000-0005-0000-0000-0000466C0000}"/>
    <cellStyle name="Euro 47 2" xfId="321" xr:uid="{00000000-0005-0000-0000-0000476C0000}"/>
    <cellStyle name="Euro 47 3" xfId="19142" xr:uid="{00000000-0005-0000-0000-0000486C0000}"/>
    <cellStyle name="Euro 47 3 2" xfId="20402" xr:uid="{00000000-0005-0000-0000-0000496C0000}"/>
    <cellStyle name="Euro 47 4" xfId="20401" xr:uid="{00000000-0005-0000-0000-00004A6C0000}"/>
    <cellStyle name="Euro 47 5" xfId="19141" xr:uid="{00000000-0005-0000-0000-00004B6C0000}"/>
    <cellStyle name="Euro 48" xfId="322" xr:uid="{00000000-0005-0000-0000-00004C6C0000}"/>
    <cellStyle name="Euro 48 2" xfId="3532" xr:uid="{00000000-0005-0000-0000-00004D6C0000}"/>
    <cellStyle name="Euro 49" xfId="323" xr:uid="{00000000-0005-0000-0000-00004E6C0000}"/>
    <cellStyle name="Euro 49 2" xfId="11275" xr:uid="{00000000-0005-0000-0000-00004F6C0000}"/>
    <cellStyle name="Euro 49 2 2" xfId="20404" xr:uid="{00000000-0005-0000-0000-0000506C0000}"/>
    <cellStyle name="Euro 49 2 3" xfId="19144" xr:uid="{00000000-0005-0000-0000-0000516C0000}"/>
    <cellStyle name="Euro 49 3" xfId="12282" xr:uid="{00000000-0005-0000-0000-0000526C0000}"/>
    <cellStyle name="Euro 49 3 2" xfId="20403" xr:uid="{00000000-0005-0000-0000-0000536C0000}"/>
    <cellStyle name="Euro 49 4" xfId="19143" xr:uid="{00000000-0005-0000-0000-0000546C0000}"/>
    <cellStyle name="Euro 49 5" xfId="3456" xr:uid="{00000000-0005-0000-0000-0000556C0000}"/>
    <cellStyle name="Euro 5" xfId="324" xr:uid="{00000000-0005-0000-0000-0000566C0000}"/>
    <cellStyle name="Euro 5 2" xfId="325" xr:uid="{00000000-0005-0000-0000-0000576C0000}"/>
    <cellStyle name="Euro 5 2 2" xfId="3533" xr:uid="{00000000-0005-0000-0000-0000586C0000}"/>
    <cellStyle name="Euro 5 3" xfId="326" xr:uid="{00000000-0005-0000-0000-0000596C0000}"/>
    <cellStyle name="Euro 5 3 2" xfId="327" xr:uid="{00000000-0005-0000-0000-00005A6C0000}"/>
    <cellStyle name="Euro 5 3 3" xfId="19146" xr:uid="{00000000-0005-0000-0000-00005B6C0000}"/>
    <cellStyle name="Euro 5 3 3 2" xfId="20406" xr:uid="{00000000-0005-0000-0000-00005C6C0000}"/>
    <cellStyle name="Euro 5 3 4" xfId="20405" xr:uid="{00000000-0005-0000-0000-00005D6C0000}"/>
    <cellStyle name="Euro 5 3 5" xfId="19145" xr:uid="{00000000-0005-0000-0000-00005E6C0000}"/>
    <cellStyle name="Euro 5 4" xfId="328" xr:uid="{00000000-0005-0000-0000-00005F6C0000}"/>
    <cellStyle name="Euro 5 4 2" xfId="19148" xr:uid="{00000000-0005-0000-0000-0000606C0000}"/>
    <cellStyle name="Euro 5 4 2 2" xfId="20408" xr:uid="{00000000-0005-0000-0000-0000616C0000}"/>
    <cellStyle name="Euro 5 4 3" xfId="20407" xr:uid="{00000000-0005-0000-0000-0000626C0000}"/>
    <cellStyle name="Euro 5 4 4" xfId="19147" xr:uid="{00000000-0005-0000-0000-0000636C0000}"/>
    <cellStyle name="Euro 5 4 5" xfId="11276" xr:uid="{00000000-0005-0000-0000-0000646C0000}"/>
    <cellStyle name="Euro 5 5" xfId="329" xr:uid="{00000000-0005-0000-0000-0000656C0000}"/>
    <cellStyle name="Euro 5 5 2" xfId="11277" xr:uid="{00000000-0005-0000-0000-0000666C0000}"/>
    <cellStyle name="Euro 5 6" xfId="330" xr:uid="{00000000-0005-0000-0000-0000676C0000}"/>
    <cellStyle name="Euro 5 6 2" xfId="21293" xr:uid="{00000000-0005-0000-0000-0000686C0000}"/>
    <cellStyle name="Euro 50" xfId="331" xr:uid="{00000000-0005-0000-0000-0000696C0000}"/>
    <cellStyle name="Euro 50 2" xfId="11170" xr:uid="{00000000-0005-0000-0000-00006A6C0000}"/>
    <cellStyle name="Euro 50 3" xfId="11278" xr:uid="{00000000-0005-0000-0000-00006B6C0000}"/>
    <cellStyle name="Euro 50 4" xfId="12283" xr:uid="{00000000-0005-0000-0000-00006C6C0000}"/>
    <cellStyle name="Euro 50 5" xfId="3460" xr:uid="{00000000-0005-0000-0000-00006D6C0000}"/>
    <cellStyle name="Euro 51" xfId="332" xr:uid="{00000000-0005-0000-0000-00006E6C0000}"/>
    <cellStyle name="Euro 51 2" xfId="20409" xr:uid="{00000000-0005-0000-0000-00006F6C0000}"/>
    <cellStyle name="Euro 51 3" xfId="19149" xr:uid="{00000000-0005-0000-0000-0000706C0000}"/>
    <cellStyle name="Euro 51 4" xfId="21294" xr:uid="{00000000-0005-0000-0000-0000716C0000}"/>
    <cellStyle name="Euro 6" xfId="333" xr:uid="{00000000-0005-0000-0000-0000726C0000}"/>
    <cellStyle name="Euro 6 2" xfId="334" xr:uid="{00000000-0005-0000-0000-0000736C0000}"/>
    <cellStyle name="Euro 6 2 2" xfId="3534" xr:uid="{00000000-0005-0000-0000-0000746C0000}"/>
    <cellStyle name="Euro 6 3" xfId="335" xr:uid="{00000000-0005-0000-0000-0000756C0000}"/>
    <cellStyle name="Euro 6 3 2" xfId="336" xr:uid="{00000000-0005-0000-0000-0000766C0000}"/>
    <cellStyle name="Euro 6 3 3" xfId="19151" xr:uid="{00000000-0005-0000-0000-0000776C0000}"/>
    <cellStyle name="Euro 6 3 3 2" xfId="20411" xr:uid="{00000000-0005-0000-0000-0000786C0000}"/>
    <cellStyle name="Euro 6 3 4" xfId="20410" xr:uid="{00000000-0005-0000-0000-0000796C0000}"/>
    <cellStyle name="Euro 6 3 5" xfId="19150" xr:uid="{00000000-0005-0000-0000-00007A6C0000}"/>
    <cellStyle name="Euro 6 4" xfId="337" xr:uid="{00000000-0005-0000-0000-00007B6C0000}"/>
    <cellStyle name="Euro 6 4 2" xfId="19153" xr:uid="{00000000-0005-0000-0000-00007C6C0000}"/>
    <cellStyle name="Euro 6 4 2 2" xfId="20413" xr:uid="{00000000-0005-0000-0000-00007D6C0000}"/>
    <cellStyle name="Euro 6 4 3" xfId="20412" xr:uid="{00000000-0005-0000-0000-00007E6C0000}"/>
    <cellStyle name="Euro 6 4 4" xfId="19152" xr:uid="{00000000-0005-0000-0000-00007F6C0000}"/>
    <cellStyle name="Euro 6 4 5" xfId="11279" xr:uid="{00000000-0005-0000-0000-0000806C0000}"/>
    <cellStyle name="Euro 6 5" xfId="338" xr:uid="{00000000-0005-0000-0000-0000816C0000}"/>
    <cellStyle name="Euro 6 5 2" xfId="11280" xr:uid="{00000000-0005-0000-0000-0000826C0000}"/>
    <cellStyle name="Euro 6 6" xfId="339" xr:uid="{00000000-0005-0000-0000-0000836C0000}"/>
    <cellStyle name="Euro 6 6 2" xfId="21295" xr:uid="{00000000-0005-0000-0000-0000846C0000}"/>
    <cellStyle name="Euro 7" xfId="340" xr:uid="{00000000-0005-0000-0000-0000856C0000}"/>
    <cellStyle name="Euro 7 2" xfId="341" xr:uid="{00000000-0005-0000-0000-0000866C0000}"/>
    <cellStyle name="Euro 7 2 2" xfId="3535" xr:uid="{00000000-0005-0000-0000-0000876C0000}"/>
    <cellStyle name="Euro 7 3" xfId="342" xr:uid="{00000000-0005-0000-0000-0000886C0000}"/>
    <cellStyle name="Euro 7 3 2" xfId="343" xr:uid="{00000000-0005-0000-0000-0000896C0000}"/>
    <cellStyle name="Euro 7 3 3" xfId="19155" xr:uid="{00000000-0005-0000-0000-00008A6C0000}"/>
    <cellStyle name="Euro 7 3 3 2" xfId="20415" xr:uid="{00000000-0005-0000-0000-00008B6C0000}"/>
    <cellStyle name="Euro 7 3 4" xfId="20414" xr:uid="{00000000-0005-0000-0000-00008C6C0000}"/>
    <cellStyle name="Euro 7 3 5" xfId="19154" xr:uid="{00000000-0005-0000-0000-00008D6C0000}"/>
    <cellStyle name="Euro 7 4" xfId="344" xr:uid="{00000000-0005-0000-0000-00008E6C0000}"/>
    <cellStyle name="Euro 7 4 2" xfId="19157" xr:uid="{00000000-0005-0000-0000-00008F6C0000}"/>
    <cellStyle name="Euro 7 4 2 2" xfId="20417" xr:uid="{00000000-0005-0000-0000-0000906C0000}"/>
    <cellStyle name="Euro 7 4 3" xfId="20416" xr:uid="{00000000-0005-0000-0000-0000916C0000}"/>
    <cellStyle name="Euro 7 4 4" xfId="19156" xr:uid="{00000000-0005-0000-0000-0000926C0000}"/>
    <cellStyle name="Euro 7 4 5" xfId="11281" xr:uid="{00000000-0005-0000-0000-0000936C0000}"/>
    <cellStyle name="Euro 7 5" xfId="345" xr:uid="{00000000-0005-0000-0000-0000946C0000}"/>
    <cellStyle name="Euro 7 5 2" xfId="11282" xr:uid="{00000000-0005-0000-0000-0000956C0000}"/>
    <cellStyle name="Euro 7 6" xfId="346" xr:uid="{00000000-0005-0000-0000-0000966C0000}"/>
    <cellStyle name="Euro 7 6 2" xfId="21296" xr:uid="{00000000-0005-0000-0000-0000976C0000}"/>
    <cellStyle name="Euro 8" xfId="347" xr:uid="{00000000-0005-0000-0000-0000986C0000}"/>
    <cellStyle name="Euro 8 2" xfId="348" xr:uid="{00000000-0005-0000-0000-0000996C0000}"/>
    <cellStyle name="Euro 8 2 2" xfId="3536" xr:uid="{00000000-0005-0000-0000-00009A6C0000}"/>
    <cellStyle name="Euro 8 3" xfId="349" xr:uid="{00000000-0005-0000-0000-00009B6C0000}"/>
    <cellStyle name="Euro 8 3 2" xfId="350" xr:uid="{00000000-0005-0000-0000-00009C6C0000}"/>
    <cellStyle name="Euro 8 3 3" xfId="19159" xr:uid="{00000000-0005-0000-0000-00009D6C0000}"/>
    <cellStyle name="Euro 8 3 3 2" xfId="20419" xr:uid="{00000000-0005-0000-0000-00009E6C0000}"/>
    <cellStyle name="Euro 8 3 4" xfId="20418" xr:uid="{00000000-0005-0000-0000-00009F6C0000}"/>
    <cellStyle name="Euro 8 3 5" xfId="19158" xr:uid="{00000000-0005-0000-0000-0000A06C0000}"/>
    <cellStyle name="Euro 8 4" xfId="351" xr:uid="{00000000-0005-0000-0000-0000A16C0000}"/>
    <cellStyle name="Euro 8 4 2" xfId="19161" xr:uid="{00000000-0005-0000-0000-0000A26C0000}"/>
    <cellStyle name="Euro 8 4 2 2" xfId="20421" xr:uid="{00000000-0005-0000-0000-0000A36C0000}"/>
    <cellStyle name="Euro 8 4 3" xfId="20420" xr:uid="{00000000-0005-0000-0000-0000A46C0000}"/>
    <cellStyle name="Euro 8 4 4" xfId="19160" xr:uid="{00000000-0005-0000-0000-0000A56C0000}"/>
    <cellStyle name="Euro 8 4 5" xfId="11283" xr:uid="{00000000-0005-0000-0000-0000A66C0000}"/>
    <cellStyle name="Euro 8 5" xfId="352" xr:uid="{00000000-0005-0000-0000-0000A76C0000}"/>
    <cellStyle name="Euro 8 5 2" xfId="11284" xr:uid="{00000000-0005-0000-0000-0000A86C0000}"/>
    <cellStyle name="Euro 8 6" xfId="353" xr:uid="{00000000-0005-0000-0000-0000A96C0000}"/>
    <cellStyle name="Euro 8 6 2" xfId="21297" xr:uid="{00000000-0005-0000-0000-0000AA6C0000}"/>
    <cellStyle name="Euro 9" xfId="354" xr:uid="{00000000-0005-0000-0000-0000AB6C0000}"/>
    <cellStyle name="Euro 9 2" xfId="355" xr:uid="{00000000-0005-0000-0000-0000AC6C0000}"/>
    <cellStyle name="Euro 9 2 2" xfId="3537" xr:uid="{00000000-0005-0000-0000-0000AD6C0000}"/>
    <cellStyle name="Euro 9 3" xfId="356" xr:uid="{00000000-0005-0000-0000-0000AE6C0000}"/>
    <cellStyle name="Euro 9 3 2" xfId="357" xr:uid="{00000000-0005-0000-0000-0000AF6C0000}"/>
    <cellStyle name="Euro 9 3 3" xfId="19163" xr:uid="{00000000-0005-0000-0000-0000B06C0000}"/>
    <cellStyle name="Euro 9 3 3 2" xfId="20423" xr:uid="{00000000-0005-0000-0000-0000B16C0000}"/>
    <cellStyle name="Euro 9 3 4" xfId="20422" xr:uid="{00000000-0005-0000-0000-0000B26C0000}"/>
    <cellStyle name="Euro 9 3 5" xfId="19162" xr:uid="{00000000-0005-0000-0000-0000B36C0000}"/>
    <cellStyle name="Euro 9 4" xfId="358" xr:uid="{00000000-0005-0000-0000-0000B46C0000}"/>
    <cellStyle name="Euro 9 4 2" xfId="19165" xr:uid="{00000000-0005-0000-0000-0000B56C0000}"/>
    <cellStyle name="Euro 9 4 2 2" xfId="20425" xr:uid="{00000000-0005-0000-0000-0000B66C0000}"/>
    <cellStyle name="Euro 9 4 3" xfId="20424" xr:uid="{00000000-0005-0000-0000-0000B76C0000}"/>
    <cellStyle name="Euro 9 4 4" xfId="19164" xr:uid="{00000000-0005-0000-0000-0000B86C0000}"/>
    <cellStyle name="Euro 9 4 5" xfId="11285" xr:uid="{00000000-0005-0000-0000-0000B96C0000}"/>
    <cellStyle name="Euro 9 5" xfId="359" xr:uid="{00000000-0005-0000-0000-0000BA6C0000}"/>
    <cellStyle name="Euro 9 5 2" xfId="11286" xr:uid="{00000000-0005-0000-0000-0000BB6C0000}"/>
    <cellStyle name="Euro 9 6" xfId="360" xr:uid="{00000000-0005-0000-0000-0000BC6C0000}"/>
    <cellStyle name="Euro 9 6 2" xfId="21298" xr:uid="{00000000-0005-0000-0000-0000BD6C0000}"/>
    <cellStyle name="Explanatory Text" xfId="3115" builtinId="53" customBuiltin="1"/>
    <cellStyle name="Explanatory Text 2" xfId="2033" xr:uid="{00000000-0005-0000-0000-0000BF6C0000}"/>
    <cellStyle name="Fixed" xfId="7309" xr:uid="{00000000-0005-0000-0000-0000C06C0000}"/>
    <cellStyle name="Fixed 2" xfId="9710" xr:uid="{00000000-0005-0000-0000-0000C16C0000}"/>
    <cellStyle name="Fixed2 - Type2" xfId="361" xr:uid="{00000000-0005-0000-0000-0000C26C0000}"/>
    <cellStyle name="Format 1" xfId="3481" xr:uid="{00000000-0005-0000-0000-0000C36C0000}"/>
    <cellStyle name="God 2" xfId="3482" xr:uid="{00000000-0005-0000-0000-0000C46C0000}"/>
    <cellStyle name="God 2 2" xfId="7311" xr:uid="{00000000-0005-0000-0000-0000C56C0000}"/>
    <cellStyle name="God 3" xfId="7312" xr:uid="{00000000-0005-0000-0000-0000C66C0000}"/>
    <cellStyle name="God 4" xfId="7313" xr:uid="{00000000-0005-0000-0000-0000C76C0000}"/>
    <cellStyle name="God 5" xfId="7314" xr:uid="{00000000-0005-0000-0000-0000C86C0000}"/>
    <cellStyle name="God 5 2" xfId="10982" xr:uid="{00000000-0005-0000-0000-0000C96C0000}"/>
    <cellStyle name="God 6" xfId="7603" xr:uid="{00000000-0005-0000-0000-0000CA6C0000}"/>
    <cellStyle name="God 7" xfId="7310" xr:uid="{00000000-0005-0000-0000-0000CB6C0000}"/>
    <cellStyle name="Good" xfId="3108" builtinId="26" customBuiltin="1"/>
    <cellStyle name="Good 2" xfId="2034" xr:uid="{00000000-0005-0000-0000-0000CD6C0000}"/>
    <cellStyle name="Heading 1" xfId="3104" builtinId="16" customBuiltin="1"/>
    <cellStyle name="Heading 1 2" xfId="362" xr:uid="{00000000-0005-0000-0000-0000CF6C0000}"/>
    <cellStyle name="Heading 1 2 2" xfId="10430" xr:uid="{00000000-0005-0000-0000-0000D06C0000}"/>
    <cellStyle name="Heading 1 2 3" xfId="7316" xr:uid="{00000000-0005-0000-0000-0000D16C0000}"/>
    <cellStyle name="Heading 1 3" xfId="9711" xr:uid="{00000000-0005-0000-0000-0000D26C0000}"/>
    <cellStyle name="Heading 1 4" xfId="7315" xr:uid="{00000000-0005-0000-0000-0000D36C0000}"/>
    <cellStyle name="Heading 2" xfId="3105" builtinId="17" customBuiltin="1"/>
    <cellStyle name="Heading 2 2" xfId="2035" xr:uid="{00000000-0005-0000-0000-0000D56C0000}"/>
    <cellStyle name="Heading 2 2 2" xfId="10431" xr:uid="{00000000-0005-0000-0000-0000D66C0000}"/>
    <cellStyle name="Heading 2 2 3" xfId="7318" xr:uid="{00000000-0005-0000-0000-0000D76C0000}"/>
    <cellStyle name="Heading 2 3" xfId="9712" xr:uid="{00000000-0005-0000-0000-0000D86C0000}"/>
    <cellStyle name="Heading 2 4" xfId="7317" xr:uid="{00000000-0005-0000-0000-0000D96C0000}"/>
    <cellStyle name="Heading 3" xfId="3106" builtinId="18" customBuiltin="1"/>
    <cellStyle name="Heading 3 2" xfId="2036" xr:uid="{00000000-0005-0000-0000-0000DB6C0000}"/>
    <cellStyle name="Heading 4" xfId="3107" builtinId="19" customBuiltin="1"/>
    <cellStyle name="Heading 4 2" xfId="2037" xr:uid="{00000000-0005-0000-0000-0000DD6C0000}"/>
    <cellStyle name="Headline" xfId="363" xr:uid="{00000000-0005-0000-0000-0000DE6C0000}"/>
    <cellStyle name="Hyperlink" xfId="40423" builtinId="8"/>
    <cellStyle name="Hyperlink 2" xfId="364" xr:uid="{00000000-0005-0000-0000-0000E06C0000}"/>
    <cellStyle name="Hyperlink 2 2" xfId="2038" xr:uid="{00000000-0005-0000-0000-0000E16C0000}"/>
    <cellStyle name="Hyperlink 3" xfId="365" xr:uid="{00000000-0005-0000-0000-0000E26C0000}"/>
    <cellStyle name="Hyperlink 4" xfId="39451" xr:uid="{00000000-0005-0000-0000-0000E36C0000}"/>
    <cellStyle name="Input 2" xfId="366" xr:uid="{00000000-0005-0000-0000-0000E46C0000}"/>
    <cellStyle name="Input 2 2" xfId="2039" xr:uid="{00000000-0005-0000-0000-0000E56C0000}"/>
    <cellStyle name="Input 2 2 2" xfId="7320" xr:uid="{00000000-0005-0000-0000-0000E66C0000}"/>
    <cellStyle name="Input 2 2 3" xfId="22112" xr:uid="{00000000-0005-0000-0000-0000E76C0000}"/>
    <cellStyle name="Input 2 3" xfId="11967" xr:uid="{00000000-0005-0000-0000-0000E86C0000}"/>
    <cellStyle name="Input 3" xfId="3461" xr:uid="{00000000-0005-0000-0000-0000E96C0000}"/>
    <cellStyle name="Input 3 2" xfId="7321" xr:uid="{00000000-0005-0000-0000-0000EA6C0000}"/>
    <cellStyle name="Input 4" xfId="7322" xr:uid="{00000000-0005-0000-0000-0000EB6C0000}"/>
    <cellStyle name="Input 5" xfId="7323" xr:uid="{00000000-0005-0000-0000-0000EC6C0000}"/>
    <cellStyle name="Input 5 2" xfId="10932" xr:uid="{00000000-0005-0000-0000-0000ED6C0000}"/>
    <cellStyle name="Input 6" xfId="7606" xr:uid="{00000000-0005-0000-0000-0000EE6C0000}"/>
    <cellStyle name="Input 7" xfId="7319" xr:uid="{00000000-0005-0000-0000-0000EF6C0000}"/>
    <cellStyle name="Input 8" xfId="11966" xr:uid="{00000000-0005-0000-0000-0000F06C0000}"/>
    <cellStyle name="InputCell" xfId="3455" xr:uid="{00000000-0005-0000-0000-0000F16C0000}"/>
    <cellStyle name="InputCells" xfId="367" xr:uid="{00000000-0005-0000-0000-0000F26C0000}"/>
    <cellStyle name="Komma 10" xfId="2040" xr:uid="{00000000-0005-0000-0000-0000F36C0000}"/>
    <cellStyle name="Komma 10 2" xfId="2041" xr:uid="{00000000-0005-0000-0000-0000F46C0000}"/>
    <cellStyle name="Komma 10 2 2" xfId="18920" xr:uid="{00000000-0005-0000-0000-0000F56C0000}"/>
    <cellStyle name="Komma 10 2 2 2" xfId="37080" xr:uid="{00000000-0005-0000-0000-0000F66C0000}"/>
    <cellStyle name="Komma 10 2 3" xfId="22114" xr:uid="{00000000-0005-0000-0000-0000F76C0000}"/>
    <cellStyle name="Komma 10 3" xfId="11072" xr:uid="{00000000-0005-0000-0000-0000F86C0000}"/>
    <cellStyle name="Komma 10 3 2" xfId="30079" xr:uid="{00000000-0005-0000-0000-0000F96C0000}"/>
    <cellStyle name="Komma 10 4" xfId="22113" xr:uid="{00000000-0005-0000-0000-0000FA6C0000}"/>
    <cellStyle name="Komma 2" xfId="2042" xr:uid="{00000000-0005-0000-0000-0000FB6C0000}"/>
    <cellStyle name="Komma 2 2" xfId="2043" xr:uid="{00000000-0005-0000-0000-0000FC6C0000}"/>
    <cellStyle name="Komma 2 2 2" xfId="11083" xr:uid="{00000000-0005-0000-0000-0000FD6C0000}"/>
    <cellStyle name="Komma 2 2 2 2" xfId="18922" xr:uid="{00000000-0005-0000-0000-0000FE6C0000}"/>
    <cellStyle name="Komma 2 2 2 2 2" xfId="37081" xr:uid="{00000000-0005-0000-0000-0000FF6C0000}"/>
    <cellStyle name="Komma 2 2 2 3" xfId="21191" xr:uid="{00000000-0005-0000-0000-0000006D0000}"/>
    <cellStyle name="Komma 2 2 2 4" xfId="30080" xr:uid="{00000000-0005-0000-0000-0000016D0000}"/>
    <cellStyle name="Komma 2 2 3" xfId="7326" xr:uid="{00000000-0005-0000-0000-0000026D0000}"/>
    <cellStyle name="Komma 2 2 3 2" xfId="15486" xr:uid="{00000000-0005-0000-0000-0000036D0000}"/>
    <cellStyle name="Komma 2 2 3 2 2" xfId="33652" xr:uid="{00000000-0005-0000-0000-0000046D0000}"/>
    <cellStyle name="Komma 2 2 3 3" xfId="26650" xr:uid="{00000000-0005-0000-0000-0000056D0000}"/>
    <cellStyle name="Komma 2 2 4" xfId="19166" xr:uid="{00000000-0005-0000-0000-0000066D0000}"/>
    <cellStyle name="Komma 2 2 5" xfId="3480" xr:uid="{00000000-0005-0000-0000-0000076D0000}"/>
    <cellStyle name="Komma 2 2 6" xfId="22116" xr:uid="{00000000-0005-0000-0000-0000086D0000}"/>
    <cellStyle name="Komma 2 3" xfId="2044" xr:uid="{00000000-0005-0000-0000-0000096D0000}"/>
    <cellStyle name="Komma 2 3 2" xfId="11084" xr:uid="{00000000-0005-0000-0000-00000A6D0000}"/>
    <cellStyle name="Komma 2 3 2 2" xfId="18923" xr:uid="{00000000-0005-0000-0000-00000B6D0000}"/>
    <cellStyle name="Komma 2 3 2 2 2" xfId="37082" xr:uid="{00000000-0005-0000-0000-00000C6D0000}"/>
    <cellStyle name="Komma 2 3 2 3" xfId="30081" xr:uid="{00000000-0005-0000-0000-00000D6D0000}"/>
    <cellStyle name="Komma 2 3 3" xfId="15487" xr:uid="{00000000-0005-0000-0000-00000E6D0000}"/>
    <cellStyle name="Komma 2 3 3 2" xfId="33653" xr:uid="{00000000-0005-0000-0000-00000F6D0000}"/>
    <cellStyle name="Komma 2 3 4" xfId="21222" xr:uid="{00000000-0005-0000-0000-0000106D0000}"/>
    <cellStyle name="Komma 2 3 4 2" xfId="38073" xr:uid="{00000000-0005-0000-0000-0000116D0000}"/>
    <cellStyle name="Komma 2 3 5" xfId="7327" xr:uid="{00000000-0005-0000-0000-0000126D0000}"/>
    <cellStyle name="Komma 2 3 5 2" xfId="26651" xr:uid="{00000000-0005-0000-0000-0000136D0000}"/>
    <cellStyle name="Komma 2 3 6" xfId="39028" xr:uid="{00000000-0005-0000-0000-0000146D0000}"/>
    <cellStyle name="Komma 2 4" xfId="2045" xr:uid="{00000000-0005-0000-0000-0000156D0000}"/>
    <cellStyle name="Komma 2 4 2" xfId="2046" xr:uid="{00000000-0005-0000-0000-0000166D0000}"/>
    <cellStyle name="Komma 2 4 2 2" xfId="21190" xr:uid="{00000000-0005-0000-0000-0000176D0000}"/>
    <cellStyle name="Komma 2 4 2 3" xfId="22118" xr:uid="{00000000-0005-0000-0000-0000186D0000}"/>
    <cellStyle name="Komma 2 4 3" xfId="7328" xr:uid="{00000000-0005-0000-0000-0000196D0000}"/>
    <cellStyle name="Komma 2 4 4" xfId="22117" xr:uid="{00000000-0005-0000-0000-00001A6D0000}"/>
    <cellStyle name="Komma 2 5" xfId="7329" xr:uid="{00000000-0005-0000-0000-00001B6D0000}"/>
    <cellStyle name="Komma 2 5 2" xfId="7330" xr:uid="{00000000-0005-0000-0000-00001C6D0000}"/>
    <cellStyle name="Komma 2 5 2 2" xfId="7331" xr:uid="{00000000-0005-0000-0000-00001D6D0000}"/>
    <cellStyle name="Komma 2 5 2 2 2" xfId="10426" xr:uid="{00000000-0005-0000-0000-00001E6D0000}"/>
    <cellStyle name="Komma 2 5 2 2 2 2" xfId="18327" xr:uid="{00000000-0005-0000-0000-00001F6D0000}"/>
    <cellStyle name="Komma 2 5 2 2 2 2 2" xfId="36487" xr:uid="{00000000-0005-0000-0000-0000206D0000}"/>
    <cellStyle name="Komma 2 5 2 2 2 3" xfId="29486" xr:uid="{00000000-0005-0000-0000-0000216D0000}"/>
    <cellStyle name="Komma 2 5 3" xfId="7332" xr:uid="{00000000-0005-0000-0000-0000226D0000}"/>
    <cellStyle name="Komma 2 5 3 2" xfId="7333" xr:uid="{00000000-0005-0000-0000-0000236D0000}"/>
    <cellStyle name="Komma 2 5 3 2 2" xfId="11037" xr:uid="{00000000-0005-0000-0000-0000246D0000}"/>
    <cellStyle name="Komma 2 5 3 2 2 2" xfId="18913" xr:uid="{00000000-0005-0000-0000-0000256D0000}"/>
    <cellStyle name="Komma 2 5 3 2 2 2 2" xfId="37073" xr:uid="{00000000-0005-0000-0000-0000266D0000}"/>
    <cellStyle name="Komma 2 5 3 2 2 3" xfId="30072" xr:uid="{00000000-0005-0000-0000-0000276D0000}"/>
    <cellStyle name="Komma 2 5 3 3" xfId="8918" xr:uid="{00000000-0005-0000-0000-0000286D0000}"/>
    <cellStyle name="Komma 2 5 3 3 2" xfId="16832" xr:uid="{00000000-0005-0000-0000-0000296D0000}"/>
    <cellStyle name="Komma 2 5 3 3 2 2" xfId="34992" xr:uid="{00000000-0005-0000-0000-00002A6D0000}"/>
    <cellStyle name="Komma 2 5 3 3 3" xfId="27991" xr:uid="{00000000-0005-0000-0000-00002B6D0000}"/>
    <cellStyle name="Komma 2 5 4" xfId="7334" xr:uid="{00000000-0005-0000-0000-00002C6D0000}"/>
    <cellStyle name="Komma 2 5 4 2" xfId="9703" xr:uid="{00000000-0005-0000-0000-00002D6D0000}"/>
    <cellStyle name="Komma 2 5 4 2 2" xfId="17613" xr:uid="{00000000-0005-0000-0000-00002E6D0000}"/>
    <cellStyle name="Komma 2 5 4 2 2 2" xfId="35773" xr:uid="{00000000-0005-0000-0000-00002F6D0000}"/>
    <cellStyle name="Komma 2 5 4 2 3" xfId="28772" xr:uid="{00000000-0005-0000-0000-0000306D0000}"/>
    <cellStyle name="Komma 2 6" xfId="7335" xr:uid="{00000000-0005-0000-0000-0000316D0000}"/>
    <cellStyle name="Komma 2 7" xfId="11082" xr:uid="{00000000-0005-0000-0000-0000326D0000}"/>
    <cellStyle name="Komma 2 8" xfId="7325" xr:uid="{00000000-0005-0000-0000-0000336D0000}"/>
    <cellStyle name="Komma 2 9" xfId="22115" xr:uid="{00000000-0005-0000-0000-0000346D0000}"/>
    <cellStyle name="Komma 3" xfId="2047" xr:uid="{00000000-0005-0000-0000-0000356D0000}"/>
    <cellStyle name="Komma 3 10" xfId="22119" xr:uid="{00000000-0005-0000-0000-0000366D0000}"/>
    <cellStyle name="Komma 3 11" xfId="38087" xr:uid="{00000000-0005-0000-0000-0000376D0000}"/>
    <cellStyle name="Komma 3 2" xfId="2048" xr:uid="{00000000-0005-0000-0000-0000386D0000}"/>
    <cellStyle name="Komma 3 2 2" xfId="2049" xr:uid="{00000000-0005-0000-0000-0000396D0000}"/>
    <cellStyle name="Komma 3 2 2 2" xfId="2050" xr:uid="{00000000-0005-0000-0000-00003A6D0000}"/>
    <cellStyle name="Komma 3 2 2 2 2" xfId="2051" xr:uid="{00000000-0005-0000-0000-00003B6D0000}"/>
    <cellStyle name="Komma 3 2 2 2 2 2" xfId="22123" xr:uid="{00000000-0005-0000-0000-00003C6D0000}"/>
    <cellStyle name="Komma 3 2 2 2 3" xfId="22122" xr:uid="{00000000-0005-0000-0000-00003D6D0000}"/>
    <cellStyle name="Komma 3 2 2 3" xfId="2052" xr:uid="{00000000-0005-0000-0000-00003E6D0000}"/>
    <cellStyle name="Komma 3 2 2 3 2" xfId="22124" xr:uid="{00000000-0005-0000-0000-00003F6D0000}"/>
    <cellStyle name="Komma 3 2 2 4" xfId="7337" xr:uid="{00000000-0005-0000-0000-0000406D0000}"/>
    <cellStyle name="Komma 3 2 2 5" xfId="22121" xr:uid="{00000000-0005-0000-0000-0000416D0000}"/>
    <cellStyle name="Komma 3 2 3" xfId="2053" xr:uid="{00000000-0005-0000-0000-0000426D0000}"/>
    <cellStyle name="Komma 3 2 3 2" xfId="2054" xr:uid="{00000000-0005-0000-0000-0000436D0000}"/>
    <cellStyle name="Komma 3 2 3 2 2" xfId="2055" xr:uid="{00000000-0005-0000-0000-0000446D0000}"/>
    <cellStyle name="Komma 3 2 3 2 2 2" xfId="22127" xr:uid="{00000000-0005-0000-0000-0000456D0000}"/>
    <cellStyle name="Komma 3 2 3 2 3" xfId="22126" xr:uid="{00000000-0005-0000-0000-0000466D0000}"/>
    <cellStyle name="Komma 3 2 3 3" xfId="2056" xr:uid="{00000000-0005-0000-0000-0000476D0000}"/>
    <cellStyle name="Komma 3 2 3 3 2" xfId="22128" xr:uid="{00000000-0005-0000-0000-0000486D0000}"/>
    <cellStyle name="Komma 3 2 3 4" xfId="19168" xr:uid="{00000000-0005-0000-0000-0000496D0000}"/>
    <cellStyle name="Komma 3 2 3 4 2" xfId="37133" xr:uid="{00000000-0005-0000-0000-00004A6D0000}"/>
    <cellStyle name="Komma 3 2 3 5" xfId="22125" xr:uid="{00000000-0005-0000-0000-00004B6D0000}"/>
    <cellStyle name="Komma 3 2 4" xfId="2057" xr:uid="{00000000-0005-0000-0000-00004C6D0000}"/>
    <cellStyle name="Komma 3 2 4 2" xfId="2058" xr:uid="{00000000-0005-0000-0000-00004D6D0000}"/>
    <cellStyle name="Komma 3 2 4 2 2" xfId="22130" xr:uid="{00000000-0005-0000-0000-00004E6D0000}"/>
    <cellStyle name="Komma 3 2 4 3" xfId="22129" xr:uid="{00000000-0005-0000-0000-00004F6D0000}"/>
    <cellStyle name="Komma 3 2 5" xfId="2059" xr:uid="{00000000-0005-0000-0000-0000506D0000}"/>
    <cellStyle name="Komma 3 2 5 2" xfId="22131" xr:uid="{00000000-0005-0000-0000-0000516D0000}"/>
    <cellStyle name="Komma 3 2 6" xfId="3485" xr:uid="{00000000-0005-0000-0000-0000526D0000}"/>
    <cellStyle name="Komma 3 2 7" xfId="22120" xr:uid="{00000000-0005-0000-0000-0000536D0000}"/>
    <cellStyle name="Komma 3 2 8" xfId="38088" xr:uid="{00000000-0005-0000-0000-0000546D0000}"/>
    <cellStyle name="Komma 3 3" xfId="2060" xr:uid="{00000000-0005-0000-0000-0000556D0000}"/>
    <cellStyle name="Komma 3 3 2" xfId="2061" xr:uid="{00000000-0005-0000-0000-0000566D0000}"/>
    <cellStyle name="Komma 3 3 2 2" xfId="2062" xr:uid="{00000000-0005-0000-0000-0000576D0000}"/>
    <cellStyle name="Komma 3 3 2 2 2" xfId="22134" xr:uid="{00000000-0005-0000-0000-0000586D0000}"/>
    <cellStyle name="Komma 3 3 2 3" xfId="22133" xr:uid="{00000000-0005-0000-0000-0000596D0000}"/>
    <cellStyle name="Komma 3 3 3" xfId="2063" xr:uid="{00000000-0005-0000-0000-00005A6D0000}"/>
    <cellStyle name="Komma 3 3 3 2" xfId="22135" xr:uid="{00000000-0005-0000-0000-00005B6D0000}"/>
    <cellStyle name="Komma 3 3 4" xfId="7338" xr:uid="{00000000-0005-0000-0000-00005C6D0000}"/>
    <cellStyle name="Komma 3 3 5" xfId="22132" xr:uid="{00000000-0005-0000-0000-00005D6D0000}"/>
    <cellStyle name="Komma 3 4" xfId="2064" xr:uid="{00000000-0005-0000-0000-00005E6D0000}"/>
    <cellStyle name="Komma 3 4 2" xfId="2065" xr:uid="{00000000-0005-0000-0000-00005F6D0000}"/>
    <cellStyle name="Komma 3 4 2 2" xfId="2066" xr:uid="{00000000-0005-0000-0000-0000606D0000}"/>
    <cellStyle name="Komma 3 4 2 2 2" xfId="22138" xr:uid="{00000000-0005-0000-0000-0000616D0000}"/>
    <cellStyle name="Komma 3 4 2 3" xfId="18924" xr:uid="{00000000-0005-0000-0000-0000626D0000}"/>
    <cellStyle name="Komma 3 4 2 3 2" xfId="37083" xr:uid="{00000000-0005-0000-0000-0000636D0000}"/>
    <cellStyle name="Komma 3 4 2 4" xfId="22137" xr:uid="{00000000-0005-0000-0000-0000646D0000}"/>
    <cellStyle name="Komma 3 4 3" xfId="2067" xr:uid="{00000000-0005-0000-0000-0000656D0000}"/>
    <cellStyle name="Komma 3 4 3 2" xfId="22139" xr:uid="{00000000-0005-0000-0000-0000666D0000}"/>
    <cellStyle name="Komma 3 4 4" xfId="11085" xr:uid="{00000000-0005-0000-0000-0000676D0000}"/>
    <cellStyle name="Komma 3 4 4 2" xfId="30082" xr:uid="{00000000-0005-0000-0000-0000686D0000}"/>
    <cellStyle name="Komma 3 4 5" xfId="22136" xr:uid="{00000000-0005-0000-0000-0000696D0000}"/>
    <cellStyle name="Komma 3 5" xfId="2068" xr:uid="{00000000-0005-0000-0000-00006A6D0000}"/>
    <cellStyle name="Komma 3 5 2" xfId="2069" xr:uid="{00000000-0005-0000-0000-00006B6D0000}"/>
    <cellStyle name="Komma 3 5 2 2" xfId="15488" xr:uid="{00000000-0005-0000-0000-00006C6D0000}"/>
    <cellStyle name="Komma 3 5 2 2 2" xfId="33654" xr:uid="{00000000-0005-0000-0000-00006D6D0000}"/>
    <cellStyle name="Komma 3 5 2 3" xfId="22141" xr:uid="{00000000-0005-0000-0000-00006E6D0000}"/>
    <cellStyle name="Komma 3 5 3" xfId="7336" xr:uid="{00000000-0005-0000-0000-00006F6D0000}"/>
    <cellStyle name="Komma 3 5 3 2" xfId="26652" xr:uid="{00000000-0005-0000-0000-0000706D0000}"/>
    <cellStyle name="Komma 3 5 4" xfId="22140" xr:uid="{00000000-0005-0000-0000-0000716D0000}"/>
    <cellStyle name="Komma 3 6" xfId="2070" xr:uid="{00000000-0005-0000-0000-0000726D0000}"/>
    <cellStyle name="Komma 3 7" xfId="2071" xr:uid="{00000000-0005-0000-0000-0000736D0000}"/>
    <cellStyle name="Komma 3 7 2" xfId="2072" xr:uid="{00000000-0005-0000-0000-0000746D0000}"/>
    <cellStyle name="Komma 3 7 2 2" xfId="22143" xr:uid="{00000000-0005-0000-0000-0000756D0000}"/>
    <cellStyle name="Komma 3 7 3" xfId="19167" xr:uid="{00000000-0005-0000-0000-0000766D0000}"/>
    <cellStyle name="Komma 3 7 3 2" xfId="37132" xr:uid="{00000000-0005-0000-0000-0000776D0000}"/>
    <cellStyle name="Komma 3 7 4" xfId="22142" xr:uid="{00000000-0005-0000-0000-0000786D0000}"/>
    <cellStyle name="Komma 3 8" xfId="2073" xr:uid="{00000000-0005-0000-0000-0000796D0000}"/>
    <cellStyle name="Komma 3 9" xfId="2074" xr:uid="{00000000-0005-0000-0000-00007A6D0000}"/>
    <cellStyle name="Komma 3 9 2" xfId="22144" xr:uid="{00000000-0005-0000-0000-00007B6D0000}"/>
    <cellStyle name="Komma 4" xfId="2075" xr:uid="{00000000-0005-0000-0000-00007C6D0000}"/>
    <cellStyle name="Komma 4 10" xfId="38089" xr:uid="{00000000-0005-0000-0000-00007D6D0000}"/>
    <cellStyle name="Komma 4 11" xfId="39379" xr:uid="{00000000-0005-0000-0000-00007E6D0000}"/>
    <cellStyle name="Komma 4 2" xfId="2076" xr:uid="{00000000-0005-0000-0000-00007F6D0000}"/>
    <cellStyle name="Komma 4 2 2" xfId="2077" xr:uid="{00000000-0005-0000-0000-0000806D0000}"/>
    <cellStyle name="Komma 4 2 2 2" xfId="2078" xr:uid="{00000000-0005-0000-0000-0000816D0000}"/>
    <cellStyle name="Komma 4 2 2 2 2" xfId="21210" xr:uid="{00000000-0005-0000-0000-0000826D0000}"/>
    <cellStyle name="Komma 4 2 2 2 2 2" xfId="38062" xr:uid="{00000000-0005-0000-0000-0000836D0000}"/>
    <cellStyle name="Komma 4 2 2 2 3" xfId="22148" xr:uid="{00000000-0005-0000-0000-0000846D0000}"/>
    <cellStyle name="Komma 4 2 2 3" xfId="11087" xr:uid="{00000000-0005-0000-0000-0000856D0000}"/>
    <cellStyle name="Komma 4 2 2 4" xfId="22147" xr:uid="{00000000-0005-0000-0000-0000866D0000}"/>
    <cellStyle name="Komma 4 2 2 5" xfId="39017" xr:uid="{00000000-0005-0000-0000-0000876D0000}"/>
    <cellStyle name="Komma 4 2 3" xfId="2079" xr:uid="{00000000-0005-0000-0000-0000886D0000}"/>
    <cellStyle name="Komma 4 2 3 2" xfId="2080" xr:uid="{00000000-0005-0000-0000-0000896D0000}"/>
    <cellStyle name="Komma 4 2 3 2 2" xfId="22150" xr:uid="{00000000-0005-0000-0000-00008A6D0000}"/>
    <cellStyle name="Komma 4 2 3 3" xfId="20426" xr:uid="{00000000-0005-0000-0000-00008B6D0000}"/>
    <cellStyle name="Komma 4 2 3 3 2" xfId="37743" xr:uid="{00000000-0005-0000-0000-00008C6D0000}"/>
    <cellStyle name="Komma 4 2 3 4" xfId="22149" xr:uid="{00000000-0005-0000-0000-00008D6D0000}"/>
    <cellStyle name="Komma 4 2 4" xfId="2081" xr:uid="{00000000-0005-0000-0000-00008E6D0000}"/>
    <cellStyle name="Komma 4 2 4 2" xfId="2082" xr:uid="{00000000-0005-0000-0000-00008F6D0000}"/>
    <cellStyle name="Komma 4 2 4 2 2" xfId="22152" xr:uid="{00000000-0005-0000-0000-0000906D0000}"/>
    <cellStyle name="Komma 4 2 4 3" xfId="22151" xr:uid="{00000000-0005-0000-0000-0000916D0000}"/>
    <cellStyle name="Komma 4 2 5" xfId="2083" xr:uid="{00000000-0005-0000-0000-0000926D0000}"/>
    <cellStyle name="Komma 4 2 5 2" xfId="22153" xr:uid="{00000000-0005-0000-0000-0000936D0000}"/>
    <cellStyle name="Komma 4 2 6" xfId="7340" xr:uid="{00000000-0005-0000-0000-0000946D0000}"/>
    <cellStyle name="Komma 4 2 7" xfId="22146" xr:uid="{00000000-0005-0000-0000-0000956D0000}"/>
    <cellStyle name="Komma 4 2 8" xfId="38698" xr:uid="{00000000-0005-0000-0000-0000966D0000}"/>
    <cellStyle name="Komma 4 3" xfId="2084" xr:uid="{00000000-0005-0000-0000-0000976D0000}"/>
    <cellStyle name="Komma 4 3 2" xfId="2085" xr:uid="{00000000-0005-0000-0000-0000986D0000}"/>
    <cellStyle name="Komma 4 3 2 2" xfId="2086" xr:uid="{00000000-0005-0000-0000-0000996D0000}"/>
    <cellStyle name="Komma 4 3 2 2 2" xfId="22156" xr:uid="{00000000-0005-0000-0000-00009A6D0000}"/>
    <cellStyle name="Komma 4 3 2 3" xfId="21192" xr:uid="{00000000-0005-0000-0000-00009B6D0000}"/>
    <cellStyle name="Komma 4 3 2 3 2" xfId="38052" xr:uid="{00000000-0005-0000-0000-00009C6D0000}"/>
    <cellStyle name="Komma 4 3 2 4" xfId="22155" xr:uid="{00000000-0005-0000-0000-00009D6D0000}"/>
    <cellStyle name="Komma 4 3 3" xfId="2087" xr:uid="{00000000-0005-0000-0000-00009E6D0000}"/>
    <cellStyle name="Komma 4 3 3 2" xfId="2088" xr:uid="{00000000-0005-0000-0000-00009F6D0000}"/>
    <cellStyle name="Komma 4 3 3 2 2" xfId="22158" xr:uid="{00000000-0005-0000-0000-0000A06D0000}"/>
    <cellStyle name="Komma 4 3 3 3" xfId="22157" xr:uid="{00000000-0005-0000-0000-0000A16D0000}"/>
    <cellStyle name="Komma 4 3 4" xfId="2089" xr:uid="{00000000-0005-0000-0000-0000A26D0000}"/>
    <cellStyle name="Komma 4 3 4 2" xfId="22159" xr:uid="{00000000-0005-0000-0000-0000A36D0000}"/>
    <cellStyle name="Komma 4 3 5" xfId="11086" xr:uid="{00000000-0005-0000-0000-0000A46D0000}"/>
    <cellStyle name="Komma 4 3 6" xfId="22154" xr:uid="{00000000-0005-0000-0000-0000A56D0000}"/>
    <cellStyle name="Komma 4 3 7" xfId="39007" xr:uid="{00000000-0005-0000-0000-0000A66D0000}"/>
    <cellStyle name="Komma 4 4" xfId="2090" xr:uid="{00000000-0005-0000-0000-0000A76D0000}"/>
    <cellStyle name="Komma 4 4 2" xfId="2091" xr:uid="{00000000-0005-0000-0000-0000A86D0000}"/>
    <cellStyle name="Komma 4 4 2 2" xfId="22161" xr:uid="{00000000-0005-0000-0000-0000A96D0000}"/>
    <cellStyle name="Komma 4 4 3" xfId="7339" xr:uid="{00000000-0005-0000-0000-0000AA6D0000}"/>
    <cellStyle name="Komma 4 4 4" xfId="22160" xr:uid="{00000000-0005-0000-0000-0000AB6D0000}"/>
    <cellStyle name="Komma 4 5" xfId="2092" xr:uid="{00000000-0005-0000-0000-0000AC6D0000}"/>
    <cellStyle name="Komma 4 5 2" xfId="2093" xr:uid="{00000000-0005-0000-0000-0000AD6D0000}"/>
    <cellStyle name="Komma 4 5 2 2" xfId="18955" xr:uid="{00000000-0005-0000-0000-0000AE6D0000}"/>
    <cellStyle name="Komma 4 5 2 2 2" xfId="37114" xr:uid="{00000000-0005-0000-0000-0000AF6D0000}"/>
    <cellStyle name="Komma 4 5 2 3" xfId="22163" xr:uid="{00000000-0005-0000-0000-0000B06D0000}"/>
    <cellStyle name="Komma 4 5 3" xfId="11181" xr:uid="{00000000-0005-0000-0000-0000B16D0000}"/>
    <cellStyle name="Komma 4 5 3 2" xfId="30113" xr:uid="{00000000-0005-0000-0000-0000B26D0000}"/>
    <cellStyle name="Komma 4 5 4" xfId="22162" xr:uid="{00000000-0005-0000-0000-0000B36D0000}"/>
    <cellStyle name="Komma 4 6" xfId="2094" xr:uid="{00000000-0005-0000-0000-0000B46D0000}"/>
    <cellStyle name="Komma 4 6 2" xfId="2095" xr:uid="{00000000-0005-0000-0000-0000B56D0000}"/>
    <cellStyle name="Komma 4 6 2 2" xfId="22165" xr:uid="{00000000-0005-0000-0000-0000B66D0000}"/>
    <cellStyle name="Komma 4 6 3" xfId="12295" xr:uid="{00000000-0005-0000-0000-0000B76D0000}"/>
    <cellStyle name="Komma 4 6 3 2" xfId="30465" xr:uid="{00000000-0005-0000-0000-0000B86D0000}"/>
    <cellStyle name="Komma 4 6 4" xfId="22164" xr:uid="{00000000-0005-0000-0000-0000B96D0000}"/>
    <cellStyle name="Komma 4 7" xfId="2096" xr:uid="{00000000-0005-0000-0000-0000BA6D0000}"/>
    <cellStyle name="Komma 4 7 2" xfId="19169" xr:uid="{00000000-0005-0000-0000-0000BB6D0000}"/>
    <cellStyle name="Komma 4 7 2 2" xfId="37134" xr:uid="{00000000-0005-0000-0000-0000BC6D0000}"/>
    <cellStyle name="Komma 4 7 3" xfId="22166" xr:uid="{00000000-0005-0000-0000-0000BD6D0000}"/>
    <cellStyle name="Komma 4 8" xfId="3486" xr:uid="{00000000-0005-0000-0000-0000BE6D0000}"/>
    <cellStyle name="Komma 4 8 2" xfId="23463" xr:uid="{00000000-0005-0000-0000-0000BF6D0000}"/>
    <cellStyle name="Komma 4 9" xfId="22145" xr:uid="{00000000-0005-0000-0000-0000C06D0000}"/>
    <cellStyle name="Komma 5" xfId="2097" xr:uid="{00000000-0005-0000-0000-0000C16D0000}"/>
    <cellStyle name="Komma 5 2" xfId="2098" xr:uid="{00000000-0005-0000-0000-0000C26D0000}"/>
    <cellStyle name="Komma 5 2 2" xfId="2099" xr:uid="{00000000-0005-0000-0000-0000C36D0000}"/>
    <cellStyle name="Komma 5 2 2 2" xfId="2100" xr:uid="{00000000-0005-0000-0000-0000C46D0000}"/>
    <cellStyle name="Komma 5 2 2 2 2" xfId="22170" xr:uid="{00000000-0005-0000-0000-0000C56D0000}"/>
    <cellStyle name="Komma 5 2 2 3" xfId="21211" xr:uid="{00000000-0005-0000-0000-0000C66D0000}"/>
    <cellStyle name="Komma 5 2 2 4" xfId="22169" xr:uid="{00000000-0005-0000-0000-0000C76D0000}"/>
    <cellStyle name="Komma 5 2 3" xfId="2101" xr:uid="{00000000-0005-0000-0000-0000C86D0000}"/>
    <cellStyle name="Komma 5 2 3 2" xfId="2102" xr:uid="{00000000-0005-0000-0000-0000C96D0000}"/>
    <cellStyle name="Komma 5 2 3 2 2" xfId="22172" xr:uid="{00000000-0005-0000-0000-0000CA6D0000}"/>
    <cellStyle name="Komma 5 2 3 3" xfId="22171" xr:uid="{00000000-0005-0000-0000-0000CB6D0000}"/>
    <cellStyle name="Komma 5 2 4" xfId="2103" xr:uid="{00000000-0005-0000-0000-0000CC6D0000}"/>
    <cellStyle name="Komma 5 2 4 2" xfId="22173" xr:uid="{00000000-0005-0000-0000-0000CD6D0000}"/>
    <cellStyle name="Komma 5 2 5" xfId="11088" xr:uid="{00000000-0005-0000-0000-0000CE6D0000}"/>
    <cellStyle name="Komma 5 2 6" xfId="22168" xr:uid="{00000000-0005-0000-0000-0000CF6D0000}"/>
    <cellStyle name="Komma 5 3" xfId="2104" xr:uid="{00000000-0005-0000-0000-0000D06D0000}"/>
    <cellStyle name="Komma 5 3 2" xfId="2105" xr:uid="{00000000-0005-0000-0000-0000D16D0000}"/>
    <cellStyle name="Komma 5 3 2 2" xfId="22175" xr:uid="{00000000-0005-0000-0000-0000D26D0000}"/>
    <cellStyle name="Komma 5 3 3" xfId="7341" xr:uid="{00000000-0005-0000-0000-0000D36D0000}"/>
    <cellStyle name="Komma 5 3 4" xfId="22174" xr:uid="{00000000-0005-0000-0000-0000D46D0000}"/>
    <cellStyle name="Komma 5 4" xfId="2106" xr:uid="{00000000-0005-0000-0000-0000D56D0000}"/>
    <cellStyle name="Komma 5 4 2" xfId="2107" xr:uid="{00000000-0005-0000-0000-0000D66D0000}"/>
    <cellStyle name="Komma 5 4 2 2" xfId="22177" xr:uid="{00000000-0005-0000-0000-0000D76D0000}"/>
    <cellStyle name="Komma 5 4 3" xfId="22176" xr:uid="{00000000-0005-0000-0000-0000D86D0000}"/>
    <cellStyle name="Komma 5 5" xfId="2108" xr:uid="{00000000-0005-0000-0000-0000D96D0000}"/>
    <cellStyle name="Komma 5 5 2" xfId="2109" xr:uid="{00000000-0005-0000-0000-0000DA6D0000}"/>
    <cellStyle name="Komma 5 5 2 2" xfId="22179" xr:uid="{00000000-0005-0000-0000-0000DB6D0000}"/>
    <cellStyle name="Komma 5 5 3" xfId="22178" xr:uid="{00000000-0005-0000-0000-0000DC6D0000}"/>
    <cellStyle name="Komma 5 6" xfId="2110" xr:uid="{00000000-0005-0000-0000-0000DD6D0000}"/>
    <cellStyle name="Komma 5 6 2" xfId="22180" xr:uid="{00000000-0005-0000-0000-0000DE6D0000}"/>
    <cellStyle name="Komma 5 7" xfId="3477" xr:uid="{00000000-0005-0000-0000-0000DF6D0000}"/>
    <cellStyle name="Komma 5 8" xfId="22167" xr:uid="{00000000-0005-0000-0000-0000E06D0000}"/>
    <cellStyle name="Komma 6" xfId="2111" xr:uid="{00000000-0005-0000-0000-0000E16D0000}"/>
    <cellStyle name="Komma 6 2" xfId="2112" xr:uid="{00000000-0005-0000-0000-0000E26D0000}"/>
    <cellStyle name="Komma 6 2 2" xfId="2113" xr:uid="{00000000-0005-0000-0000-0000E36D0000}"/>
    <cellStyle name="Komma 6 2 2 2" xfId="2114" xr:uid="{00000000-0005-0000-0000-0000E46D0000}"/>
    <cellStyle name="Komma 6 2 2 2 2" xfId="22184" xr:uid="{00000000-0005-0000-0000-0000E56D0000}"/>
    <cellStyle name="Komma 6 2 2 3" xfId="22183" xr:uid="{00000000-0005-0000-0000-0000E66D0000}"/>
    <cellStyle name="Komma 6 2 3" xfId="2115" xr:uid="{00000000-0005-0000-0000-0000E76D0000}"/>
    <cellStyle name="Komma 6 2 3 2" xfId="2116" xr:uid="{00000000-0005-0000-0000-0000E86D0000}"/>
    <cellStyle name="Komma 6 2 3 2 2" xfId="22186" xr:uid="{00000000-0005-0000-0000-0000E96D0000}"/>
    <cellStyle name="Komma 6 2 3 3" xfId="22185" xr:uid="{00000000-0005-0000-0000-0000EA6D0000}"/>
    <cellStyle name="Komma 6 2 4" xfId="2117" xr:uid="{00000000-0005-0000-0000-0000EB6D0000}"/>
    <cellStyle name="Komma 6 2 4 2" xfId="22187" xr:uid="{00000000-0005-0000-0000-0000EC6D0000}"/>
    <cellStyle name="Komma 6 2 5" xfId="22182" xr:uid="{00000000-0005-0000-0000-0000ED6D0000}"/>
    <cellStyle name="Komma 6 3" xfId="2118" xr:uid="{00000000-0005-0000-0000-0000EE6D0000}"/>
    <cellStyle name="Komma 6 3 2" xfId="2119" xr:uid="{00000000-0005-0000-0000-0000EF6D0000}"/>
    <cellStyle name="Komma 6 3 2 2" xfId="22189" xr:uid="{00000000-0005-0000-0000-0000F06D0000}"/>
    <cellStyle name="Komma 6 3 3" xfId="22188" xr:uid="{00000000-0005-0000-0000-0000F16D0000}"/>
    <cellStyle name="Komma 6 4" xfId="2120" xr:uid="{00000000-0005-0000-0000-0000F26D0000}"/>
    <cellStyle name="Komma 6 4 2" xfId="2121" xr:uid="{00000000-0005-0000-0000-0000F36D0000}"/>
    <cellStyle name="Komma 6 4 2 2" xfId="22191" xr:uid="{00000000-0005-0000-0000-0000F46D0000}"/>
    <cellStyle name="Komma 6 4 3" xfId="22190" xr:uid="{00000000-0005-0000-0000-0000F56D0000}"/>
    <cellStyle name="Komma 6 5" xfId="2122" xr:uid="{00000000-0005-0000-0000-0000F66D0000}"/>
    <cellStyle name="Komma 6 5 2" xfId="2123" xr:uid="{00000000-0005-0000-0000-0000F76D0000}"/>
    <cellStyle name="Komma 6 5 2 2" xfId="22193" xr:uid="{00000000-0005-0000-0000-0000F86D0000}"/>
    <cellStyle name="Komma 6 5 3" xfId="22192" xr:uid="{00000000-0005-0000-0000-0000F96D0000}"/>
    <cellStyle name="Komma 6 6" xfId="2124" xr:uid="{00000000-0005-0000-0000-0000FA6D0000}"/>
    <cellStyle name="Komma 6 6 2" xfId="22194" xr:uid="{00000000-0005-0000-0000-0000FB6D0000}"/>
    <cellStyle name="Komma 6 7" xfId="7342" xr:uid="{00000000-0005-0000-0000-0000FC6D0000}"/>
    <cellStyle name="Komma 6 8" xfId="22181" xr:uid="{00000000-0005-0000-0000-0000FD6D0000}"/>
    <cellStyle name="Komma 7" xfId="2125" xr:uid="{00000000-0005-0000-0000-0000FE6D0000}"/>
    <cellStyle name="Komma 7 2" xfId="2126" xr:uid="{00000000-0005-0000-0000-0000FF6D0000}"/>
    <cellStyle name="Komma 7 2 2" xfId="2127" xr:uid="{00000000-0005-0000-0000-0000006E0000}"/>
    <cellStyle name="Komma 7 2 2 2" xfId="2128" xr:uid="{00000000-0005-0000-0000-0000016E0000}"/>
    <cellStyle name="Komma 7 2 2 2 2" xfId="22198" xr:uid="{00000000-0005-0000-0000-0000026E0000}"/>
    <cellStyle name="Komma 7 2 2 3" xfId="22197" xr:uid="{00000000-0005-0000-0000-0000036E0000}"/>
    <cellStyle name="Komma 7 2 3" xfId="2129" xr:uid="{00000000-0005-0000-0000-0000046E0000}"/>
    <cellStyle name="Komma 7 2 3 2" xfId="2130" xr:uid="{00000000-0005-0000-0000-0000056E0000}"/>
    <cellStyle name="Komma 7 2 3 2 2" xfId="22200" xr:uid="{00000000-0005-0000-0000-0000066E0000}"/>
    <cellStyle name="Komma 7 2 3 3" xfId="22199" xr:uid="{00000000-0005-0000-0000-0000076E0000}"/>
    <cellStyle name="Komma 7 2 4" xfId="2131" xr:uid="{00000000-0005-0000-0000-0000086E0000}"/>
    <cellStyle name="Komma 7 2 4 2" xfId="22201" xr:uid="{00000000-0005-0000-0000-0000096E0000}"/>
    <cellStyle name="Komma 7 2 5" xfId="11089" xr:uid="{00000000-0005-0000-0000-00000A6E0000}"/>
    <cellStyle name="Komma 7 2 6" xfId="22196" xr:uid="{00000000-0005-0000-0000-00000B6E0000}"/>
    <cellStyle name="Komma 7 3" xfId="2132" xr:uid="{00000000-0005-0000-0000-00000C6E0000}"/>
    <cellStyle name="Komma 7 3 2" xfId="2133" xr:uid="{00000000-0005-0000-0000-00000D6E0000}"/>
    <cellStyle name="Komma 7 3 2 2" xfId="22203" xr:uid="{00000000-0005-0000-0000-00000E6E0000}"/>
    <cellStyle name="Komma 7 3 3" xfId="22202" xr:uid="{00000000-0005-0000-0000-00000F6E0000}"/>
    <cellStyle name="Komma 7 4" xfId="2134" xr:uid="{00000000-0005-0000-0000-0000106E0000}"/>
    <cellStyle name="Komma 7 4 2" xfId="2135" xr:uid="{00000000-0005-0000-0000-0000116E0000}"/>
    <cellStyle name="Komma 7 4 2 2" xfId="22205" xr:uid="{00000000-0005-0000-0000-0000126E0000}"/>
    <cellStyle name="Komma 7 4 3" xfId="22204" xr:uid="{00000000-0005-0000-0000-0000136E0000}"/>
    <cellStyle name="Komma 7 5" xfId="2136" xr:uid="{00000000-0005-0000-0000-0000146E0000}"/>
    <cellStyle name="Komma 7 5 2" xfId="22206" xr:uid="{00000000-0005-0000-0000-0000156E0000}"/>
    <cellStyle name="Komma 7 6" xfId="7343" xr:uid="{00000000-0005-0000-0000-0000166E0000}"/>
    <cellStyle name="Komma 7 7" xfId="22195" xr:uid="{00000000-0005-0000-0000-0000176E0000}"/>
    <cellStyle name="Komma 8" xfId="2137" xr:uid="{00000000-0005-0000-0000-0000186E0000}"/>
    <cellStyle name="Komma 8 2" xfId="2138" xr:uid="{00000000-0005-0000-0000-0000196E0000}"/>
    <cellStyle name="Komma 8 2 2" xfId="2139" xr:uid="{00000000-0005-0000-0000-00001A6E0000}"/>
    <cellStyle name="Komma 8 2 2 2" xfId="22209" xr:uid="{00000000-0005-0000-0000-00001B6E0000}"/>
    <cellStyle name="Komma 8 2 3" xfId="11081" xr:uid="{00000000-0005-0000-0000-00001C6E0000}"/>
    <cellStyle name="Komma 8 2 4" xfId="22208" xr:uid="{00000000-0005-0000-0000-00001D6E0000}"/>
    <cellStyle name="Komma 8 3" xfId="2140" xr:uid="{00000000-0005-0000-0000-00001E6E0000}"/>
    <cellStyle name="Komma 8 3 2" xfId="2141" xr:uid="{00000000-0005-0000-0000-00001F6E0000}"/>
    <cellStyle name="Komma 8 3 2 2" xfId="22211" xr:uid="{00000000-0005-0000-0000-0000206E0000}"/>
    <cellStyle name="Komma 8 3 3" xfId="22210" xr:uid="{00000000-0005-0000-0000-0000216E0000}"/>
    <cellStyle name="Komma 8 4" xfId="2142" xr:uid="{00000000-0005-0000-0000-0000226E0000}"/>
    <cellStyle name="Komma 8 4 2" xfId="22212" xr:uid="{00000000-0005-0000-0000-0000236E0000}"/>
    <cellStyle name="Komma 8 5" xfId="7324" xr:uid="{00000000-0005-0000-0000-0000246E0000}"/>
    <cellStyle name="Komma 8 6" xfId="22207" xr:uid="{00000000-0005-0000-0000-0000256E0000}"/>
    <cellStyle name="Komma 9" xfId="2143" xr:uid="{00000000-0005-0000-0000-0000266E0000}"/>
    <cellStyle name="Komma 9 2" xfId="2144" xr:uid="{00000000-0005-0000-0000-0000276E0000}"/>
    <cellStyle name="Komma 9 2 2" xfId="18925" xr:uid="{00000000-0005-0000-0000-0000286E0000}"/>
    <cellStyle name="Komma 9 2 2 2" xfId="37084" xr:uid="{00000000-0005-0000-0000-0000296E0000}"/>
    <cellStyle name="Komma 9 2 3" xfId="11148" xr:uid="{00000000-0005-0000-0000-00002A6E0000}"/>
    <cellStyle name="Komma 9 2 3 2" xfId="30083" xr:uid="{00000000-0005-0000-0000-00002B6E0000}"/>
    <cellStyle name="Komma 9 2 4" xfId="22214" xr:uid="{00000000-0005-0000-0000-00002C6E0000}"/>
    <cellStyle name="Komma 9 3" xfId="12372" xr:uid="{00000000-0005-0000-0000-00002D6E0000}"/>
    <cellStyle name="Komma 9 3 2" xfId="30539" xr:uid="{00000000-0005-0000-0000-00002E6E0000}"/>
    <cellStyle name="Komma 9 4" xfId="3815" xr:uid="{00000000-0005-0000-0000-00002F6E0000}"/>
    <cellStyle name="Komma 9 4 2" xfId="23537" xr:uid="{00000000-0005-0000-0000-0000306E0000}"/>
    <cellStyle name="Komma 9 5" xfId="22213" xr:uid="{00000000-0005-0000-0000-0000316E0000}"/>
    <cellStyle name="Link 2" xfId="2145" xr:uid="{00000000-0005-0000-0000-0000326E0000}"/>
    <cellStyle name="Link 2 2" xfId="2146" xr:uid="{00000000-0005-0000-0000-0000336E0000}"/>
    <cellStyle name="Link 2 3" xfId="2147" xr:uid="{00000000-0005-0000-0000-0000346E0000}"/>
    <cellStyle name="Link 2 3 2" xfId="7345" xr:uid="{00000000-0005-0000-0000-0000356E0000}"/>
    <cellStyle name="Link 2 4" xfId="2148" xr:uid="{00000000-0005-0000-0000-0000366E0000}"/>
    <cellStyle name="Link 2 5" xfId="3479" xr:uid="{00000000-0005-0000-0000-0000376E0000}"/>
    <cellStyle name="Link 3" xfId="2149" xr:uid="{00000000-0005-0000-0000-0000386E0000}"/>
    <cellStyle name="Link 3 2" xfId="7346" xr:uid="{00000000-0005-0000-0000-0000396E0000}"/>
    <cellStyle name="Link 3 3" xfId="19170" xr:uid="{00000000-0005-0000-0000-00003A6E0000}"/>
    <cellStyle name="Link 4" xfId="2150" xr:uid="{00000000-0005-0000-0000-00003B6E0000}"/>
    <cellStyle name="Link 4 2" xfId="7347" xr:uid="{00000000-0005-0000-0000-00003C6E0000}"/>
    <cellStyle name="Link 5" xfId="2151" xr:uid="{00000000-0005-0000-0000-00003D6E0000}"/>
    <cellStyle name="Link 5 2" xfId="7348" xr:uid="{00000000-0005-0000-0000-00003E6E0000}"/>
    <cellStyle name="Link 6" xfId="2152" xr:uid="{00000000-0005-0000-0000-00003F6E0000}"/>
    <cellStyle name="Link 6 2" xfId="7344" xr:uid="{00000000-0005-0000-0000-0000406E0000}"/>
    <cellStyle name="Link 7" xfId="3103" xr:uid="{00000000-0005-0000-0000-0000416E0000}"/>
    <cellStyle name="Linked Cell" xfId="3112" builtinId="24" customBuiltin="1"/>
    <cellStyle name="Linked Cell 2" xfId="2153" xr:uid="{00000000-0005-0000-0000-0000436E0000}"/>
    <cellStyle name="Markeringsfarve1 2" xfId="7350" xr:uid="{00000000-0005-0000-0000-0000446E0000}"/>
    <cellStyle name="Markeringsfarve1 3" xfId="7351" xr:uid="{00000000-0005-0000-0000-0000456E0000}"/>
    <cellStyle name="Markeringsfarve1 4" xfId="7352" xr:uid="{00000000-0005-0000-0000-0000466E0000}"/>
    <cellStyle name="Markeringsfarve1 5" xfId="7353" xr:uid="{00000000-0005-0000-0000-0000476E0000}"/>
    <cellStyle name="Markeringsfarve1 5 2" xfId="10496" xr:uid="{00000000-0005-0000-0000-0000486E0000}"/>
    <cellStyle name="Markeringsfarve1 6" xfId="7611" xr:uid="{00000000-0005-0000-0000-0000496E0000}"/>
    <cellStyle name="Markeringsfarve1 7" xfId="7349" xr:uid="{00000000-0005-0000-0000-00004A6E0000}"/>
    <cellStyle name="Markeringsfarve2 2" xfId="7355" xr:uid="{00000000-0005-0000-0000-00004B6E0000}"/>
    <cellStyle name="Markeringsfarve2 3" xfId="7356" xr:uid="{00000000-0005-0000-0000-00004C6E0000}"/>
    <cellStyle name="Markeringsfarve2 4" xfId="7357" xr:uid="{00000000-0005-0000-0000-00004D6E0000}"/>
    <cellStyle name="Markeringsfarve2 5" xfId="7358" xr:uid="{00000000-0005-0000-0000-00004E6E0000}"/>
    <cellStyle name="Markeringsfarve2 5 2" xfId="10981" xr:uid="{00000000-0005-0000-0000-00004F6E0000}"/>
    <cellStyle name="Markeringsfarve2 6" xfId="7615" xr:uid="{00000000-0005-0000-0000-0000506E0000}"/>
    <cellStyle name="Markeringsfarve2 7" xfId="7354" xr:uid="{00000000-0005-0000-0000-0000516E0000}"/>
    <cellStyle name="Markeringsfarve3 2" xfId="7360" xr:uid="{00000000-0005-0000-0000-0000526E0000}"/>
    <cellStyle name="Markeringsfarve3 3" xfId="7361" xr:uid="{00000000-0005-0000-0000-0000536E0000}"/>
    <cellStyle name="Markeringsfarve3 4" xfId="7362" xr:uid="{00000000-0005-0000-0000-0000546E0000}"/>
    <cellStyle name="Markeringsfarve3 5" xfId="7363" xr:uid="{00000000-0005-0000-0000-0000556E0000}"/>
    <cellStyle name="Markeringsfarve3 5 2" xfId="10685" xr:uid="{00000000-0005-0000-0000-0000566E0000}"/>
    <cellStyle name="Markeringsfarve3 6" xfId="7619" xr:uid="{00000000-0005-0000-0000-0000576E0000}"/>
    <cellStyle name="Markeringsfarve3 7" xfId="7359" xr:uid="{00000000-0005-0000-0000-0000586E0000}"/>
    <cellStyle name="Markeringsfarve4 2" xfId="7365" xr:uid="{00000000-0005-0000-0000-0000596E0000}"/>
    <cellStyle name="Markeringsfarve4 3" xfId="7366" xr:uid="{00000000-0005-0000-0000-00005A6E0000}"/>
    <cellStyle name="Markeringsfarve4 4" xfId="7367" xr:uid="{00000000-0005-0000-0000-00005B6E0000}"/>
    <cellStyle name="Markeringsfarve4 5" xfId="7368" xr:uid="{00000000-0005-0000-0000-00005C6E0000}"/>
    <cellStyle name="Markeringsfarve4 5 2" xfId="10498" xr:uid="{00000000-0005-0000-0000-00005D6E0000}"/>
    <cellStyle name="Markeringsfarve4 6" xfId="7623" xr:uid="{00000000-0005-0000-0000-00005E6E0000}"/>
    <cellStyle name="Markeringsfarve4 7" xfId="7364" xr:uid="{00000000-0005-0000-0000-00005F6E0000}"/>
    <cellStyle name="Markeringsfarve6 2" xfId="7370" xr:uid="{00000000-0005-0000-0000-0000606E0000}"/>
    <cellStyle name="Markeringsfarve6 3" xfId="7371" xr:uid="{00000000-0005-0000-0000-0000616E0000}"/>
    <cellStyle name="Markeringsfarve6 4" xfId="7372" xr:uid="{00000000-0005-0000-0000-0000626E0000}"/>
    <cellStyle name="Markeringsfarve6 5" xfId="7373" xr:uid="{00000000-0005-0000-0000-0000636E0000}"/>
    <cellStyle name="Markeringsfarve6 5 2" xfId="10701" xr:uid="{00000000-0005-0000-0000-0000646E0000}"/>
    <cellStyle name="Markeringsfarve6 6" xfId="7630" xr:uid="{00000000-0005-0000-0000-0000656E0000}"/>
    <cellStyle name="Markeringsfarve6 7" xfId="7369" xr:uid="{00000000-0005-0000-0000-0000666E0000}"/>
    <cellStyle name="Migliaia [0] 10" xfId="368" xr:uid="{00000000-0005-0000-0000-0000676E0000}"/>
    <cellStyle name="Migliaia [0] 10 10" xfId="39938" xr:uid="{00000000-0005-0000-0000-0000686E0000}"/>
    <cellStyle name="Migliaia [0] 10 2" xfId="11287" xr:uid="{00000000-0005-0000-0000-0000696E0000}"/>
    <cellStyle name="Migliaia [0] 10 2 2" xfId="20171" xr:uid="{00000000-0005-0000-0000-00006A6E0000}"/>
    <cellStyle name="Migliaia [0] 10 2 2 2" xfId="37681" xr:uid="{00000000-0005-0000-0000-00006B6E0000}"/>
    <cellStyle name="Migliaia [0] 10 2 3" xfId="38636" xr:uid="{00000000-0005-0000-0000-00006C6E0000}"/>
    <cellStyle name="Migliaia [0] 10 3" xfId="11968" xr:uid="{00000000-0005-0000-0000-00006D6E0000}"/>
    <cellStyle name="Migliaia [0] 10 3 2" xfId="30153" xr:uid="{00000000-0005-0000-0000-00006E6E0000}"/>
    <cellStyle name="Migliaia [0] 10 4" xfId="19171" xr:uid="{00000000-0005-0000-0000-00006F6E0000}"/>
    <cellStyle name="Migliaia [0] 10 4 2" xfId="37135" xr:uid="{00000000-0005-0000-0000-0000706E0000}"/>
    <cellStyle name="Migliaia [0] 10 5" xfId="3148" xr:uid="{00000000-0005-0000-0000-0000716E0000}"/>
    <cellStyle name="Migliaia [0] 10 5 2" xfId="23148" xr:uid="{00000000-0005-0000-0000-0000726E0000}"/>
    <cellStyle name="Migliaia [0] 10 6" xfId="21299" xr:uid="{00000000-0005-0000-0000-0000736E0000}"/>
    <cellStyle name="Migliaia [0] 10 7" xfId="38090" xr:uid="{00000000-0005-0000-0000-0000746E0000}"/>
    <cellStyle name="Migliaia [0] 10 8" xfId="39052" xr:uid="{00000000-0005-0000-0000-0000756E0000}"/>
    <cellStyle name="Migliaia [0] 10 9" xfId="39452" xr:uid="{00000000-0005-0000-0000-0000766E0000}"/>
    <cellStyle name="Migliaia [0] 11" xfId="369" xr:uid="{00000000-0005-0000-0000-0000776E0000}"/>
    <cellStyle name="Migliaia [0] 11 10" xfId="39939" xr:uid="{00000000-0005-0000-0000-0000786E0000}"/>
    <cellStyle name="Migliaia [0] 11 2" xfId="11288" xr:uid="{00000000-0005-0000-0000-0000796E0000}"/>
    <cellStyle name="Migliaia [0] 11 2 2" xfId="20172" xr:uid="{00000000-0005-0000-0000-00007A6E0000}"/>
    <cellStyle name="Migliaia [0] 11 2 2 2" xfId="37682" xr:uid="{00000000-0005-0000-0000-00007B6E0000}"/>
    <cellStyle name="Migliaia [0] 11 2 3" xfId="38637" xr:uid="{00000000-0005-0000-0000-00007C6E0000}"/>
    <cellStyle name="Migliaia [0] 11 3" xfId="11969" xr:uid="{00000000-0005-0000-0000-00007D6E0000}"/>
    <cellStyle name="Migliaia [0] 11 3 2" xfId="30154" xr:uid="{00000000-0005-0000-0000-00007E6E0000}"/>
    <cellStyle name="Migliaia [0] 11 4" xfId="19172" xr:uid="{00000000-0005-0000-0000-00007F6E0000}"/>
    <cellStyle name="Migliaia [0] 11 4 2" xfId="37136" xr:uid="{00000000-0005-0000-0000-0000806E0000}"/>
    <cellStyle name="Migliaia [0] 11 5" xfId="3149" xr:uid="{00000000-0005-0000-0000-0000816E0000}"/>
    <cellStyle name="Migliaia [0] 11 5 2" xfId="23149" xr:uid="{00000000-0005-0000-0000-0000826E0000}"/>
    <cellStyle name="Migliaia [0] 11 6" xfId="21300" xr:uid="{00000000-0005-0000-0000-0000836E0000}"/>
    <cellStyle name="Migliaia [0] 11 7" xfId="38091" xr:uid="{00000000-0005-0000-0000-0000846E0000}"/>
    <cellStyle name="Migliaia [0] 11 8" xfId="39053" xr:uid="{00000000-0005-0000-0000-0000856E0000}"/>
    <cellStyle name="Migliaia [0] 11 9" xfId="39453" xr:uid="{00000000-0005-0000-0000-0000866E0000}"/>
    <cellStyle name="Migliaia [0] 12" xfId="370" xr:uid="{00000000-0005-0000-0000-0000876E0000}"/>
    <cellStyle name="Migliaia [0] 12 10" xfId="39940" xr:uid="{00000000-0005-0000-0000-0000886E0000}"/>
    <cellStyle name="Migliaia [0] 12 2" xfId="11289" xr:uid="{00000000-0005-0000-0000-0000896E0000}"/>
    <cellStyle name="Migliaia [0] 12 2 2" xfId="20173" xr:uid="{00000000-0005-0000-0000-00008A6E0000}"/>
    <cellStyle name="Migliaia [0] 12 2 2 2" xfId="37683" xr:uid="{00000000-0005-0000-0000-00008B6E0000}"/>
    <cellStyle name="Migliaia [0] 12 2 3" xfId="38638" xr:uid="{00000000-0005-0000-0000-00008C6E0000}"/>
    <cellStyle name="Migliaia [0] 12 3" xfId="11970" xr:uid="{00000000-0005-0000-0000-00008D6E0000}"/>
    <cellStyle name="Migliaia [0] 12 3 2" xfId="30155" xr:uid="{00000000-0005-0000-0000-00008E6E0000}"/>
    <cellStyle name="Migliaia [0] 12 4" xfId="19173" xr:uid="{00000000-0005-0000-0000-00008F6E0000}"/>
    <cellStyle name="Migliaia [0] 12 4 2" xfId="37137" xr:uid="{00000000-0005-0000-0000-0000906E0000}"/>
    <cellStyle name="Migliaia [0] 12 5" xfId="3150" xr:uid="{00000000-0005-0000-0000-0000916E0000}"/>
    <cellStyle name="Migliaia [0] 12 5 2" xfId="23150" xr:uid="{00000000-0005-0000-0000-0000926E0000}"/>
    <cellStyle name="Migliaia [0] 12 6" xfId="21301" xr:uid="{00000000-0005-0000-0000-0000936E0000}"/>
    <cellStyle name="Migliaia [0] 12 7" xfId="38092" xr:uid="{00000000-0005-0000-0000-0000946E0000}"/>
    <cellStyle name="Migliaia [0] 12 8" xfId="39054" xr:uid="{00000000-0005-0000-0000-0000956E0000}"/>
    <cellStyle name="Migliaia [0] 12 9" xfId="39454" xr:uid="{00000000-0005-0000-0000-0000966E0000}"/>
    <cellStyle name="Migliaia [0] 13" xfId="371" xr:uid="{00000000-0005-0000-0000-0000976E0000}"/>
    <cellStyle name="Migliaia [0] 13 10" xfId="39941" xr:uid="{00000000-0005-0000-0000-0000986E0000}"/>
    <cellStyle name="Migliaia [0] 13 2" xfId="11290" xr:uid="{00000000-0005-0000-0000-0000996E0000}"/>
    <cellStyle name="Migliaia [0] 13 2 2" xfId="20174" xr:uid="{00000000-0005-0000-0000-00009A6E0000}"/>
    <cellStyle name="Migliaia [0] 13 2 2 2" xfId="37684" xr:uid="{00000000-0005-0000-0000-00009B6E0000}"/>
    <cellStyle name="Migliaia [0] 13 2 3" xfId="38639" xr:uid="{00000000-0005-0000-0000-00009C6E0000}"/>
    <cellStyle name="Migliaia [0] 13 3" xfId="11971" xr:uid="{00000000-0005-0000-0000-00009D6E0000}"/>
    <cellStyle name="Migliaia [0] 13 3 2" xfId="30156" xr:uid="{00000000-0005-0000-0000-00009E6E0000}"/>
    <cellStyle name="Migliaia [0] 13 4" xfId="19174" xr:uid="{00000000-0005-0000-0000-00009F6E0000}"/>
    <cellStyle name="Migliaia [0] 13 4 2" xfId="37138" xr:uid="{00000000-0005-0000-0000-0000A06E0000}"/>
    <cellStyle name="Migliaia [0] 13 5" xfId="3151" xr:uid="{00000000-0005-0000-0000-0000A16E0000}"/>
    <cellStyle name="Migliaia [0] 13 5 2" xfId="23151" xr:uid="{00000000-0005-0000-0000-0000A26E0000}"/>
    <cellStyle name="Migliaia [0] 13 6" xfId="21302" xr:uid="{00000000-0005-0000-0000-0000A36E0000}"/>
    <cellStyle name="Migliaia [0] 13 7" xfId="38093" xr:uid="{00000000-0005-0000-0000-0000A46E0000}"/>
    <cellStyle name="Migliaia [0] 13 8" xfId="39055" xr:uid="{00000000-0005-0000-0000-0000A56E0000}"/>
    <cellStyle name="Migliaia [0] 13 9" xfId="39455" xr:uid="{00000000-0005-0000-0000-0000A66E0000}"/>
    <cellStyle name="Migliaia [0] 14" xfId="372" xr:uid="{00000000-0005-0000-0000-0000A76E0000}"/>
    <cellStyle name="Migliaia [0] 14 10" xfId="39942" xr:uid="{00000000-0005-0000-0000-0000A86E0000}"/>
    <cellStyle name="Migliaia [0] 14 2" xfId="11291" xr:uid="{00000000-0005-0000-0000-0000A96E0000}"/>
    <cellStyle name="Migliaia [0] 14 2 2" xfId="20175" xr:uid="{00000000-0005-0000-0000-0000AA6E0000}"/>
    <cellStyle name="Migliaia [0] 14 2 2 2" xfId="37685" xr:uid="{00000000-0005-0000-0000-0000AB6E0000}"/>
    <cellStyle name="Migliaia [0] 14 2 3" xfId="38640" xr:uid="{00000000-0005-0000-0000-0000AC6E0000}"/>
    <cellStyle name="Migliaia [0] 14 3" xfId="11972" xr:uid="{00000000-0005-0000-0000-0000AD6E0000}"/>
    <cellStyle name="Migliaia [0] 14 3 2" xfId="30157" xr:uid="{00000000-0005-0000-0000-0000AE6E0000}"/>
    <cellStyle name="Migliaia [0] 14 4" xfId="19175" xr:uid="{00000000-0005-0000-0000-0000AF6E0000}"/>
    <cellStyle name="Migliaia [0] 14 4 2" xfId="37139" xr:uid="{00000000-0005-0000-0000-0000B06E0000}"/>
    <cellStyle name="Migliaia [0] 14 5" xfId="3152" xr:uid="{00000000-0005-0000-0000-0000B16E0000}"/>
    <cellStyle name="Migliaia [0] 14 5 2" xfId="23152" xr:uid="{00000000-0005-0000-0000-0000B26E0000}"/>
    <cellStyle name="Migliaia [0] 14 6" xfId="21303" xr:uid="{00000000-0005-0000-0000-0000B36E0000}"/>
    <cellStyle name="Migliaia [0] 14 7" xfId="38094" xr:uid="{00000000-0005-0000-0000-0000B46E0000}"/>
    <cellStyle name="Migliaia [0] 14 8" xfId="39056" xr:uid="{00000000-0005-0000-0000-0000B56E0000}"/>
    <cellStyle name="Migliaia [0] 14 9" xfId="39456" xr:uid="{00000000-0005-0000-0000-0000B66E0000}"/>
    <cellStyle name="Migliaia [0] 15" xfId="373" xr:uid="{00000000-0005-0000-0000-0000B76E0000}"/>
    <cellStyle name="Migliaia [0] 15 10" xfId="39943" xr:uid="{00000000-0005-0000-0000-0000B86E0000}"/>
    <cellStyle name="Migliaia [0] 15 2" xfId="11292" xr:uid="{00000000-0005-0000-0000-0000B96E0000}"/>
    <cellStyle name="Migliaia [0] 15 2 2" xfId="20176" xr:uid="{00000000-0005-0000-0000-0000BA6E0000}"/>
    <cellStyle name="Migliaia [0] 15 2 2 2" xfId="37686" xr:uid="{00000000-0005-0000-0000-0000BB6E0000}"/>
    <cellStyle name="Migliaia [0] 15 2 3" xfId="38641" xr:uid="{00000000-0005-0000-0000-0000BC6E0000}"/>
    <cellStyle name="Migliaia [0] 15 3" xfId="11973" xr:uid="{00000000-0005-0000-0000-0000BD6E0000}"/>
    <cellStyle name="Migliaia [0] 15 3 2" xfId="30158" xr:uid="{00000000-0005-0000-0000-0000BE6E0000}"/>
    <cellStyle name="Migliaia [0] 15 4" xfId="19176" xr:uid="{00000000-0005-0000-0000-0000BF6E0000}"/>
    <cellStyle name="Migliaia [0] 15 4 2" xfId="37140" xr:uid="{00000000-0005-0000-0000-0000C06E0000}"/>
    <cellStyle name="Migliaia [0] 15 5" xfId="3153" xr:uid="{00000000-0005-0000-0000-0000C16E0000}"/>
    <cellStyle name="Migliaia [0] 15 5 2" xfId="23153" xr:uid="{00000000-0005-0000-0000-0000C26E0000}"/>
    <cellStyle name="Migliaia [0] 15 6" xfId="21304" xr:uid="{00000000-0005-0000-0000-0000C36E0000}"/>
    <cellStyle name="Migliaia [0] 15 7" xfId="38095" xr:uid="{00000000-0005-0000-0000-0000C46E0000}"/>
    <cellStyle name="Migliaia [0] 15 8" xfId="39057" xr:uid="{00000000-0005-0000-0000-0000C56E0000}"/>
    <cellStyle name="Migliaia [0] 15 9" xfId="39457" xr:uid="{00000000-0005-0000-0000-0000C66E0000}"/>
    <cellStyle name="Migliaia [0] 16" xfId="374" xr:uid="{00000000-0005-0000-0000-0000C76E0000}"/>
    <cellStyle name="Migliaia [0] 16 10" xfId="39944" xr:uid="{00000000-0005-0000-0000-0000C86E0000}"/>
    <cellStyle name="Migliaia [0] 16 2" xfId="11293" xr:uid="{00000000-0005-0000-0000-0000C96E0000}"/>
    <cellStyle name="Migliaia [0] 16 2 2" xfId="20177" xr:uid="{00000000-0005-0000-0000-0000CA6E0000}"/>
    <cellStyle name="Migliaia [0] 16 2 2 2" xfId="37687" xr:uid="{00000000-0005-0000-0000-0000CB6E0000}"/>
    <cellStyle name="Migliaia [0] 16 2 3" xfId="38642" xr:uid="{00000000-0005-0000-0000-0000CC6E0000}"/>
    <cellStyle name="Migliaia [0] 16 3" xfId="11974" xr:uid="{00000000-0005-0000-0000-0000CD6E0000}"/>
    <cellStyle name="Migliaia [0] 16 3 2" xfId="30159" xr:uid="{00000000-0005-0000-0000-0000CE6E0000}"/>
    <cellStyle name="Migliaia [0] 16 4" xfId="19177" xr:uid="{00000000-0005-0000-0000-0000CF6E0000}"/>
    <cellStyle name="Migliaia [0] 16 4 2" xfId="37141" xr:uid="{00000000-0005-0000-0000-0000D06E0000}"/>
    <cellStyle name="Migliaia [0] 16 5" xfId="3154" xr:uid="{00000000-0005-0000-0000-0000D16E0000}"/>
    <cellStyle name="Migliaia [0] 16 5 2" xfId="23154" xr:uid="{00000000-0005-0000-0000-0000D26E0000}"/>
    <cellStyle name="Migliaia [0] 16 6" xfId="21305" xr:uid="{00000000-0005-0000-0000-0000D36E0000}"/>
    <cellStyle name="Migliaia [0] 16 7" xfId="38096" xr:uid="{00000000-0005-0000-0000-0000D46E0000}"/>
    <cellStyle name="Migliaia [0] 16 8" xfId="39058" xr:uid="{00000000-0005-0000-0000-0000D56E0000}"/>
    <cellStyle name="Migliaia [0] 16 9" xfId="39458" xr:uid="{00000000-0005-0000-0000-0000D66E0000}"/>
    <cellStyle name="Migliaia [0] 17" xfId="375" xr:uid="{00000000-0005-0000-0000-0000D76E0000}"/>
    <cellStyle name="Migliaia [0] 17 10" xfId="39945" xr:uid="{00000000-0005-0000-0000-0000D86E0000}"/>
    <cellStyle name="Migliaia [0] 17 2" xfId="11294" xr:uid="{00000000-0005-0000-0000-0000D96E0000}"/>
    <cellStyle name="Migliaia [0] 17 2 2" xfId="20178" xr:uid="{00000000-0005-0000-0000-0000DA6E0000}"/>
    <cellStyle name="Migliaia [0] 17 2 2 2" xfId="37688" xr:uid="{00000000-0005-0000-0000-0000DB6E0000}"/>
    <cellStyle name="Migliaia [0] 17 2 3" xfId="38643" xr:uid="{00000000-0005-0000-0000-0000DC6E0000}"/>
    <cellStyle name="Migliaia [0] 17 3" xfId="11975" xr:uid="{00000000-0005-0000-0000-0000DD6E0000}"/>
    <cellStyle name="Migliaia [0] 17 3 2" xfId="30160" xr:uid="{00000000-0005-0000-0000-0000DE6E0000}"/>
    <cellStyle name="Migliaia [0] 17 4" xfId="19178" xr:uid="{00000000-0005-0000-0000-0000DF6E0000}"/>
    <cellStyle name="Migliaia [0] 17 4 2" xfId="37142" xr:uid="{00000000-0005-0000-0000-0000E06E0000}"/>
    <cellStyle name="Migliaia [0] 17 5" xfId="3155" xr:uid="{00000000-0005-0000-0000-0000E16E0000}"/>
    <cellStyle name="Migliaia [0] 17 5 2" xfId="23155" xr:uid="{00000000-0005-0000-0000-0000E26E0000}"/>
    <cellStyle name="Migliaia [0] 17 6" xfId="21306" xr:uid="{00000000-0005-0000-0000-0000E36E0000}"/>
    <cellStyle name="Migliaia [0] 17 7" xfId="38097" xr:uid="{00000000-0005-0000-0000-0000E46E0000}"/>
    <cellStyle name="Migliaia [0] 17 8" xfId="39059" xr:uid="{00000000-0005-0000-0000-0000E56E0000}"/>
    <cellStyle name="Migliaia [0] 17 9" xfId="39459" xr:uid="{00000000-0005-0000-0000-0000E66E0000}"/>
    <cellStyle name="Migliaia [0] 18" xfId="376" xr:uid="{00000000-0005-0000-0000-0000E76E0000}"/>
    <cellStyle name="Migliaia [0] 18 10" xfId="39946" xr:uid="{00000000-0005-0000-0000-0000E86E0000}"/>
    <cellStyle name="Migliaia [0] 18 2" xfId="11295" xr:uid="{00000000-0005-0000-0000-0000E96E0000}"/>
    <cellStyle name="Migliaia [0] 18 2 2" xfId="20179" xr:uid="{00000000-0005-0000-0000-0000EA6E0000}"/>
    <cellStyle name="Migliaia [0] 18 2 2 2" xfId="37689" xr:uid="{00000000-0005-0000-0000-0000EB6E0000}"/>
    <cellStyle name="Migliaia [0] 18 2 3" xfId="38644" xr:uid="{00000000-0005-0000-0000-0000EC6E0000}"/>
    <cellStyle name="Migliaia [0] 18 3" xfId="11976" xr:uid="{00000000-0005-0000-0000-0000ED6E0000}"/>
    <cellStyle name="Migliaia [0] 18 3 2" xfId="30161" xr:uid="{00000000-0005-0000-0000-0000EE6E0000}"/>
    <cellStyle name="Migliaia [0] 18 4" xfId="19179" xr:uid="{00000000-0005-0000-0000-0000EF6E0000}"/>
    <cellStyle name="Migliaia [0] 18 4 2" xfId="37143" xr:uid="{00000000-0005-0000-0000-0000F06E0000}"/>
    <cellStyle name="Migliaia [0] 18 5" xfId="3156" xr:uid="{00000000-0005-0000-0000-0000F16E0000}"/>
    <cellStyle name="Migliaia [0] 18 5 2" xfId="23156" xr:uid="{00000000-0005-0000-0000-0000F26E0000}"/>
    <cellStyle name="Migliaia [0] 18 6" xfId="21307" xr:uid="{00000000-0005-0000-0000-0000F36E0000}"/>
    <cellStyle name="Migliaia [0] 18 7" xfId="38098" xr:uid="{00000000-0005-0000-0000-0000F46E0000}"/>
    <cellStyle name="Migliaia [0] 18 8" xfId="39060" xr:uid="{00000000-0005-0000-0000-0000F56E0000}"/>
    <cellStyle name="Migliaia [0] 18 9" xfId="39460" xr:uid="{00000000-0005-0000-0000-0000F66E0000}"/>
    <cellStyle name="Migliaia [0] 19" xfId="377" xr:uid="{00000000-0005-0000-0000-0000F76E0000}"/>
    <cellStyle name="Migliaia [0] 19 10" xfId="39947" xr:uid="{00000000-0005-0000-0000-0000F86E0000}"/>
    <cellStyle name="Migliaia [0] 19 2" xfId="11296" xr:uid="{00000000-0005-0000-0000-0000F96E0000}"/>
    <cellStyle name="Migliaia [0] 19 2 2" xfId="20180" xr:uid="{00000000-0005-0000-0000-0000FA6E0000}"/>
    <cellStyle name="Migliaia [0] 19 2 2 2" xfId="37690" xr:uid="{00000000-0005-0000-0000-0000FB6E0000}"/>
    <cellStyle name="Migliaia [0] 19 2 3" xfId="38645" xr:uid="{00000000-0005-0000-0000-0000FC6E0000}"/>
    <cellStyle name="Migliaia [0] 19 3" xfId="11977" xr:uid="{00000000-0005-0000-0000-0000FD6E0000}"/>
    <cellStyle name="Migliaia [0] 19 3 2" xfId="30162" xr:uid="{00000000-0005-0000-0000-0000FE6E0000}"/>
    <cellStyle name="Migliaia [0] 19 4" xfId="19180" xr:uid="{00000000-0005-0000-0000-0000FF6E0000}"/>
    <cellStyle name="Migliaia [0] 19 4 2" xfId="37144" xr:uid="{00000000-0005-0000-0000-0000006F0000}"/>
    <cellStyle name="Migliaia [0] 19 5" xfId="3157" xr:uid="{00000000-0005-0000-0000-0000016F0000}"/>
    <cellStyle name="Migliaia [0] 19 5 2" xfId="23157" xr:uid="{00000000-0005-0000-0000-0000026F0000}"/>
    <cellStyle name="Migliaia [0] 19 6" xfId="21308" xr:uid="{00000000-0005-0000-0000-0000036F0000}"/>
    <cellStyle name="Migliaia [0] 19 7" xfId="38099" xr:uid="{00000000-0005-0000-0000-0000046F0000}"/>
    <cellStyle name="Migliaia [0] 19 8" xfId="39061" xr:uid="{00000000-0005-0000-0000-0000056F0000}"/>
    <cellStyle name="Migliaia [0] 19 9" xfId="39461" xr:uid="{00000000-0005-0000-0000-0000066F0000}"/>
    <cellStyle name="Migliaia [0] 2" xfId="378" xr:uid="{00000000-0005-0000-0000-0000076F0000}"/>
    <cellStyle name="Migliaia [0] 2 10" xfId="39948" xr:uid="{00000000-0005-0000-0000-0000086F0000}"/>
    <cellStyle name="Migliaia [0] 2 2" xfId="11297" xr:uid="{00000000-0005-0000-0000-0000096F0000}"/>
    <cellStyle name="Migliaia [0] 2 2 2" xfId="20181" xr:uid="{00000000-0005-0000-0000-00000A6F0000}"/>
    <cellStyle name="Migliaia [0] 2 2 2 2" xfId="37691" xr:uid="{00000000-0005-0000-0000-00000B6F0000}"/>
    <cellStyle name="Migliaia [0] 2 2 3" xfId="38646" xr:uid="{00000000-0005-0000-0000-00000C6F0000}"/>
    <cellStyle name="Migliaia [0] 2 3" xfId="11978" xr:uid="{00000000-0005-0000-0000-00000D6F0000}"/>
    <cellStyle name="Migliaia [0] 2 3 2" xfId="30163" xr:uid="{00000000-0005-0000-0000-00000E6F0000}"/>
    <cellStyle name="Migliaia [0] 2 4" xfId="19181" xr:uid="{00000000-0005-0000-0000-00000F6F0000}"/>
    <cellStyle name="Migliaia [0] 2 4 2" xfId="37145" xr:uid="{00000000-0005-0000-0000-0000106F0000}"/>
    <cellStyle name="Migliaia [0] 2 5" xfId="3158" xr:uid="{00000000-0005-0000-0000-0000116F0000}"/>
    <cellStyle name="Migliaia [0] 2 5 2" xfId="23158" xr:uid="{00000000-0005-0000-0000-0000126F0000}"/>
    <cellStyle name="Migliaia [0] 2 6" xfId="21309" xr:uid="{00000000-0005-0000-0000-0000136F0000}"/>
    <cellStyle name="Migliaia [0] 2 7" xfId="38100" xr:uid="{00000000-0005-0000-0000-0000146F0000}"/>
    <cellStyle name="Migliaia [0] 2 8" xfId="39062" xr:uid="{00000000-0005-0000-0000-0000156F0000}"/>
    <cellStyle name="Migliaia [0] 2 9" xfId="39462" xr:uid="{00000000-0005-0000-0000-0000166F0000}"/>
    <cellStyle name="Migliaia [0] 20" xfId="379" xr:uid="{00000000-0005-0000-0000-0000176F0000}"/>
    <cellStyle name="Migliaia [0] 20 10" xfId="39949" xr:uid="{00000000-0005-0000-0000-0000186F0000}"/>
    <cellStyle name="Migliaia [0] 20 2" xfId="11298" xr:uid="{00000000-0005-0000-0000-0000196F0000}"/>
    <cellStyle name="Migliaia [0] 20 2 2" xfId="20182" xr:uid="{00000000-0005-0000-0000-00001A6F0000}"/>
    <cellStyle name="Migliaia [0] 20 2 2 2" xfId="37692" xr:uid="{00000000-0005-0000-0000-00001B6F0000}"/>
    <cellStyle name="Migliaia [0] 20 2 3" xfId="38647" xr:uid="{00000000-0005-0000-0000-00001C6F0000}"/>
    <cellStyle name="Migliaia [0] 20 3" xfId="11979" xr:uid="{00000000-0005-0000-0000-00001D6F0000}"/>
    <cellStyle name="Migliaia [0] 20 3 2" xfId="30164" xr:uid="{00000000-0005-0000-0000-00001E6F0000}"/>
    <cellStyle name="Migliaia [0] 20 4" xfId="19182" xr:uid="{00000000-0005-0000-0000-00001F6F0000}"/>
    <cellStyle name="Migliaia [0] 20 4 2" xfId="37146" xr:uid="{00000000-0005-0000-0000-0000206F0000}"/>
    <cellStyle name="Migliaia [0] 20 5" xfId="3159" xr:uid="{00000000-0005-0000-0000-0000216F0000}"/>
    <cellStyle name="Migliaia [0] 20 5 2" xfId="23159" xr:uid="{00000000-0005-0000-0000-0000226F0000}"/>
    <cellStyle name="Migliaia [0] 20 6" xfId="21310" xr:uid="{00000000-0005-0000-0000-0000236F0000}"/>
    <cellStyle name="Migliaia [0] 20 7" xfId="38101" xr:uid="{00000000-0005-0000-0000-0000246F0000}"/>
    <cellStyle name="Migliaia [0] 20 8" xfId="39063" xr:uid="{00000000-0005-0000-0000-0000256F0000}"/>
    <cellStyle name="Migliaia [0] 20 9" xfId="39463" xr:uid="{00000000-0005-0000-0000-0000266F0000}"/>
    <cellStyle name="Migliaia [0] 21" xfId="380" xr:uid="{00000000-0005-0000-0000-0000276F0000}"/>
    <cellStyle name="Migliaia [0] 21 10" xfId="39950" xr:uid="{00000000-0005-0000-0000-0000286F0000}"/>
    <cellStyle name="Migliaia [0] 21 2" xfId="11299" xr:uid="{00000000-0005-0000-0000-0000296F0000}"/>
    <cellStyle name="Migliaia [0] 21 2 2" xfId="20183" xr:uid="{00000000-0005-0000-0000-00002A6F0000}"/>
    <cellStyle name="Migliaia [0] 21 2 2 2" xfId="37693" xr:uid="{00000000-0005-0000-0000-00002B6F0000}"/>
    <cellStyle name="Migliaia [0] 21 2 3" xfId="38648" xr:uid="{00000000-0005-0000-0000-00002C6F0000}"/>
    <cellStyle name="Migliaia [0] 21 3" xfId="11980" xr:uid="{00000000-0005-0000-0000-00002D6F0000}"/>
    <cellStyle name="Migliaia [0] 21 3 2" xfId="30165" xr:uid="{00000000-0005-0000-0000-00002E6F0000}"/>
    <cellStyle name="Migliaia [0] 21 4" xfId="19183" xr:uid="{00000000-0005-0000-0000-00002F6F0000}"/>
    <cellStyle name="Migliaia [0] 21 4 2" xfId="37147" xr:uid="{00000000-0005-0000-0000-0000306F0000}"/>
    <cellStyle name="Migliaia [0] 21 5" xfId="3160" xr:uid="{00000000-0005-0000-0000-0000316F0000}"/>
    <cellStyle name="Migliaia [0] 21 5 2" xfId="23160" xr:uid="{00000000-0005-0000-0000-0000326F0000}"/>
    <cellStyle name="Migliaia [0] 21 6" xfId="21311" xr:uid="{00000000-0005-0000-0000-0000336F0000}"/>
    <cellStyle name="Migliaia [0] 21 7" xfId="38102" xr:uid="{00000000-0005-0000-0000-0000346F0000}"/>
    <cellStyle name="Migliaia [0] 21 8" xfId="39064" xr:uid="{00000000-0005-0000-0000-0000356F0000}"/>
    <cellStyle name="Migliaia [0] 21 9" xfId="39464" xr:uid="{00000000-0005-0000-0000-0000366F0000}"/>
    <cellStyle name="Migliaia [0] 22" xfId="381" xr:uid="{00000000-0005-0000-0000-0000376F0000}"/>
    <cellStyle name="Migliaia [0] 22 10" xfId="39951" xr:uid="{00000000-0005-0000-0000-0000386F0000}"/>
    <cellStyle name="Migliaia [0] 22 2" xfId="11300" xr:uid="{00000000-0005-0000-0000-0000396F0000}"/>
    <cellStyle name="Migliaia [0] 22 2 2" xfId="20184" xr:uid="{00000000-0005-0000-0000-00003A6F0000}"/>
    <cellStyle name="Migliaia [0] 22 2 2 2" xfId="37694" xr:uid="{00000000-0005-0000-0000-00003B6F0000}"/>
    <cellStyle name="Migliaia [0] 22 2 3" xfId="38649" xr:uid="{00000000-0005-0000-0000-00003C6F0000}"/>
    <cellStyle name="Migliaia [0] 22 3" xfId="11981" xr:uid="{00000000-0005-0000-0000-00003D6F0000}"/>
    <cellStyle name="Migliaia [0] 22 3 2" xfId="30166" xr:uid="{00000000-0005-0000-0000-00003E6F0000}"/>
    <cellStyle name="Migliaia [0] 22 4" xfId="19184" xr:uid="{00000000-0005-0000-0000-00003F6F0000}"/>
    <cellStyle name="Migliaia [0] 22 4 2" xfId="37148" xr:uid="{00000000-0005-0000-0000-0000406F0000}"/>
    <cellStyle name="Migliaia [0] 22 5" xfId="3161" xr:uid="{00000000-0005-0000-0000-0000416F0000}"/>
    <cellStyle name="Migliaia [0] 22 5 2" xfId="23161" xr:uid="{00000000-0005-0000-0000-0000426F0000}"/>
    <cellStyle name="Migliaia [0] 22 6" xfId="21312" xr:uid="{00000000-0005-0000-0000-0000436F0000}"/>
    <cellStyle name="Migliaia [0] 22 7" xfId="38103" xr:uid="{00000000-0005-0000-0000-0000446F0000}"/>
    <cellStyle name="Migliaia [0] 22 8" xfId="39065" xr:uid="{00000000-0005-0000-0000-0000456F0000}"/>
    <cellStyle name="Migliaia [0] 22 9" xfId="39465" xr:uid="{00000000-0005-0000-0000-0000466F0000}"/>
    <cellStyle name="Migliaia [0] 23" xfId="382" xr:uid="{00000000-0005-0000-0000-0000476F0000}"/>
    <cellStyle name="Migliaia [0] 23 10" xfId="39952" xr:uid="{00000000-0005-0000-0000-0000486F0000}"/>
    <cellStyle name="Migliaia [0] 23 2" xfId="11301" xr:uid="{00000000-0005-0000-0000-0000496F0000}"/>
    <cellStyle name="Migliaia [0] 23 2 2" xfId="20185" xr:uid="{00000000-0005-0000-0000-00004A6F0000}"/>
    <cellStyle name="Migliaia [0] 23 2 2 2" xfId="37695" xr:uid="{00000000-0005-0000-0000-00004B6F0000}"/>
    <cellStyle name="Migliaia [0] 23 2 3" xfId="38650" xr:uid="{00000000-0005-0000-0000-00004C6F0000}"/>
    <cellStyle name="Migliaia [0] 23 3" xfId="11982" xr:uid="{00000000-0005-0000-0000-00004D6F0000}"/>
    <cellStyle name="Migliaia [0] 23 3 2" xfId="30167" xr:uid="{00000000-0005-0000-0000-00004E6F0000}"/>
    <cellStyle name="Migliaia [0] 23 4" xfId="19185" xr:uid="{00000000-0005-0000-0000-00004F6F0000}"/>
    <cellStyle name="Migliaia [0] 23 4 2" xfId="37149" xr:uid="{00000000-0005-0000-0000-0000506F0000}"/>
    <cellStyle name="Migliaia [0] 23 5" xfId="3162" xr:uid="{00000000-0005-0000-0000-0000516F0000}"/>
    <cellStyle name="Migliaia [0] 23 5 2" xfId="23162" xr:uid="{00000000-0005-0000-0000-0000526F0000}"/>
    <cellStyle name="Migliaia [0] 23 6" xfId="21313" xr:uid="{00000000-0005-0000-0000-0000536F0000}"/>
    <cellStyle name="Migliaia [0] 23 7" xfId="38104" xr:uid="{00000000-0005-0000-0000-0000546F0000}"/>
    <cellStyle name="Migliaia [0] 23 8" xfId="39066" xr:uid="{00000000-0005-0000-0000-0000556F0000}"/>
    <cellStyle name="Migliaia [0] 23 9" xfId="39466" xr:uid="{00000000-0005-0000-0000-0000566F0000}"/>
    <cellStyle name="Migliaia [0] 24" xfId="383" xr:uid="{00000000-0005-0000-0000-0000576F0000}"/>
    <cellStyle name="Migliaia [0] 24 10" xfId="39953" xr:uid="{00000000-0005-0000-0000-0000586F0000}"/>
    <cellStyle name="Migliaia [0] 24 2" xfId="11302" xr:uid="{00000000-0005-0000-0000-0000596F0000}"/>
    <cellStyle name="Migliaia [0] 24 2 2" xfId="20186" xr:uid="{00000000-0005-0000-0000-00005A6F0000}"/>
    <cellStyle name="Migliaia [0] 24 2 2 2" xfId="37696" xr:uid="{00000000-0005-0000-0000-00005B6F0000}"/>
    <cellStyle name="Migliaia [0] 24 2 3" xfId="38651" xr:uid="{00000000-0005-0000-0000-00005C6F0000}"/>
    <cellStyle name="Migliaia [0] 24 3" xfId="11983" xr:uid="{00000000-0005-0000-0000-00005D6F0000}"/>
    <cellStyle name="Migliaia [0] 24 3 2" xfId="30168" xr:uid="{00000000-0005-0000-0000-00005E6F0000}"/>
    <cellStyle name="Migliaia [0] 24 4" xfId="19186" xr:uid="{00000000-0005-0000-0000-00005F6F0000}"/>
    <cellStyle name="Migliaia [0] 24 4 2" xfId="37150" xr:uid="{00000000-0005-0000-0000-0000606F0000}"/>
    <cellStyle name="Migliaia [0] 24 5" xfId="3163" xr:uid="{00000000-0005-0000-0000-0000616F0000}"/>
    <cellStyle name="Migliaia [0] 24 5 2" xfId="23163" xr:uid="{00000000-0005-0000-0000-0000626F0000}"/>
    <cellStyle name="Migliaia [0] 24 6" xfId="21314" xr:uid="{00000000-0005-0000-0000-0000636F0000}"/>
    <cellStyle name="Migliaia [0] 24 7" xfId="38105" xr:uid="{00000000-0005-0000-0000-0000646F0000}"/>
    <cellStyle name="Migliaia [0] 24 8" xfId="39067" xr:uid="{00000000-0005-0000-0000-0000656F0000}"/>
    <cellStyle name="Migliaia [0] 24 9" xfId="39467" xr:uid="{00000000-0005-0000-0000-0000666F0000}"/>
    <cellStyle name="Migliaia [0] 25" xfId="384" xr:uid="{00000000-0005-0000-0000-0000676F0000}"/>
    <cellStyle name="Migliaia [0] 25 10" xfId="39954" xr:uid="{00000000-0005-0000-0000-0000686F0000}"/>
    <cellStyle name="Migliaia [0] 25 2" xfId="11303" xr:uid="{00000000-0005-0000-0000-0000696F0000}"/>
    <cellStyle name="Migliaia [0] 25 2 2" xfId="20187" xr:uid="{00000000-0005-0000-0000-00006A6F0000}"/>
    <cellStyle name="Migliaia [0] 25 2 2 2" xfId="37697" xr:uid="{00000000-0005-0000-0000-00006B6F0000}"/>
    <cellStyle name="Migliaia [0] 25 2 3" xfId="38652" xr:uid="{00000000-0005-0000-0000-00006C6F0000}"/>
    <cellStyle name="Migliaia [0] 25 3" xfId="11984" xr:uid="{00000000-0005-0000-0000-00006D6F0000}"/>
    <cellStyle name="Migliaia [0] 25 3 2" xfId="30169" xr:uid="{00000000-0005-0000-0000-00006E6F0000}"/>
    <cellStyle name="Migliaia [0] 25 4" xfId="19187" xr:uid="{00000000-0005-0000-0000-00006F6F0000}"/>
    <cellStyle name="Migliaia [0] 25 4 2" xfId="37151" xr:uid="{00000000-0005-0000-0000-0000706F0000}"/>
    <cellStyle name="Migliaia [0] 25 5" xfId="3164" xr:uid="{00000000-0005-0000-0000-0000716F0000}"/>
    <cellStyle name="Migliaia [0] 25 5 2" xfId="23164" xr:uid="{00000000-0005-0000-0000-0000726F0000}"/>
    <cellStyle name="Migliaia [0] 25 6" xfId="21315" xr:uid="{00000000-0005-0000-0000-0000736F0000}"/>
    <cellStyle name="Migliaia [0] 25 7" xfId="38106" xr:uid="{00000000-0005-0000-0000-0000746F0000}"/>
    <cellStyle name="Migliaia [0] 25 8" xfId="39068" xr:uid="{00000000-0005-0000-0000-0000756F0000}"/>
    <cellStyle name="Migliaia [0] 25 9" xfId="39468" xr:uid="{00000000-0005-0000-0000-0000766F0000}"/>
    <cellStyle name="Migliaia [0] 26" xfId="385" xr:uid="{00000000-0005-0000-0000-0000776F0000}"/>
    <cellStyle name="Migliaia [0] 26 10" xfId="39955" xr:uid="{00000000-0005-0000-0000-0000786F0000}"/>
    <cellStyle name="Migliaia [0] 26 2" xfId="11304" xr:uid="{00000000-0005-0000-0000-0000796F0000}"/>
    <cellStyle name="Migliaia [0] 26 2 2" xfId="20188" xr:uid="{00000000-0005-0000-0000-00007A6F0000}"/>
    <cellStyle name="Migliaia [0] 26 2 2 2" xfId="37698" xr:uid="{00000000-0005-0000-0000-00007B6F0000}"/>
    <cellStyle name="Migliaia [0] 26 2 3" xfId="38653" xr:uid="{00000000-0005-0000-0000-00007C6F0000}"/>
    <cellStyle name="Migliaia [0] 26 3" xfId="11985" xr:uid="{00000000-0005-0000-0000-00007D6F0000}"/>
    <cellStyle name="Migliaia [0] 26 3 2" xfId="30170" xr:uid="{00000000-0005-0000-0000-00007E6F0000}"/>
    <cellStyle name="Migliaia [0] 26 4" xfId="19188" xr:uid="{00000000-0005-0000-0000-00007F6F0000}"/>
    <cellStyle name="Migliaia [0] 26 4 2" xfId="37152" xr:uid="{00000000-0005-0000-0000-0000806F0000}"/>
    <cellStyle name="Migliaia [0] 26 5" xfId="3165" xr:uid="{00000000-0005-0000-0000-0000816F0000}"/>
    <cellStyle name="Migliaia [0] 26 5 2" xfId="23165" xr:uid="{00000000-0005-0000-0000-0000826F0000}"/>
    <cellStyle name="Migliaia [0] 26 6" xfId="21316" xr:uid="{00000000-0005-0000-0000-0000836F0000}"/>
    <cellStyle name="Migliaia [0] 26 7" xfId="38107" xr:uid="{00000000-0005-0000-0000-0000846F0000}"/>
    <cellStyle name="Migliaia [0] 26 8" xfId="39069" xr:uid="{00000000-0005-0000-0000-0000856F0000}"/>
    <cellStyle name="Migliaia [0] 26 9" xfId="39469" xr:uid="{00000000-0005-0000-0000-0000866F0000}"/>
    <cellStyle name="Migliaia [0] 27" xfId="386" xr:uid="{00000000-0005-0000-0000-0000876F0000}"/>
    <cellStyle name="Migliaia [0] 27 10" xfId="39956" xr:uid="{00000000-0005-0000-0000-0000886F0000}"/>
    <cellStyle name="Migliaia [0] 27 2" xfId="11305" xr:uid="{00000000-0005-0000-0000-0000896F0000}"/>
    <cellStyle name="Migliaia [0] 27 2 2" xfId="20189" xr:uid="{00000000-0005-0000-0000-00008A6F0000}"/>
    <cellStyle name="Migliaia [0] 27 2 2 2" xfId="37699" xr:uid="{00000000-0005-0000-0000-00008B6F0000}"/>
    <cellStyle name="Migliaia [0] 27 2 3" xfId="38654" xr:uid="{00000000-0005-0000-0000-00008C6F0000}"/>
    <cellStyle name="Migliaia [0] 27 3" xfId="11986" xr:uid="{00000000-0005-0000-0000-00008D6F0000}"/>
    <cellStyle name="Migliaia [0] 27 3 2" xfId="30171" xr:uid="{00000000-0005-0000-0000-00008E6F0000}"/>
    <cellStyle name="Migliaia [0] 27 4" xfId="19189" xr:uid="{00000000-0005-0000-0000-00008F6F0000}"/>
    <cellStyle name="Migliaia [0] 27 4 2" xfId="37153" xr:uid="{00000000-0005-0000-0000-0000906F0000}"/>
    <cellStyle name="Migliaia [0] 27 5" xfId="3166" xr:uid="{00000000-0005-0000-0000-0000916F0000}"/>
    <cellStyle name="Migliaia [0] 27 5 2" xfId="23166" xr:uid="{00000000-0005-0000-0000-0000926F0000}"/>
    <cellStyle name="Migliaia [0] 27 6" xfId="21317" xr:uid="{00000000-0005-0000-0000-0000936F0000}"/>
    <cellStyle name="Migliaia [0] 27 7" xfId="38108" xr:uid="{00000000-0005-0000-0000-0000946F0000}"/>
    <cellStyle name="Migliaia [0] 27 8" xfId="39070" xr:uid="{00000000-0005-0000-0000-0000956F0000}"/>
    <cellStyle name="Migliaia [0] 27 9" xfId="39470" xr:uid="{00000000-0005-0000-0000-0000966F0000}"/>
    <cellStyle name="Migliaia [0] 28" xfId="387" xr:uid="{00000000-0005-0000-0000-0000976F0000}"/>
    <cellStyle name="Migliaia [0] 28 10" xfId="39957" xr:uid="{00000000-0005-0000-0000-0000986F0000}"/>
    <cellStyle name="Migliaia [0] 28 2" xfId="11306" xr:uid="{00000000-0005-0000-0000-0000996F0000}"/>
    <cellStyle name="Migliaia [0] 28 2 2" xfId="20190" xr:uid="{00000000-0005-0000-0000-00009A6F0000}"/>
    <cellStyle name="Migliaia [0] 28 2 2 2" xfId="37700" xr:uid="{00000000-0005-0000-0000-00009B6F0000}"/>
    <cellStyle name="Migliaia [0] 28 2 3" xfId="38655" xr:uid="{00000000-0005-0000-0000-00009C6F0000}"/>
    <cellStyle name="Migliaia [0] 28 3" xfId="11987" xr:uid="{00000000-0005-0000-0000-00009D6F0000}"/>
    <cellStyle name="Migliaia [0] 28 3 2" xfId="30172" xr:uid="{00000000-0005-0000-0000-00009E6F0000}"/>
    <cellStyle name="Migliaia [0] 28 4" xfId="19190" xr:uid="{00000000-0005-0000-0000-00009F6F0000}"/>
    <cellStyle name="Migliaia [0] 28 4 2" xfId="37154" xr:uid="{00000000-0005-0000-0000-0000A06F0000}"/>
    <cellStyle name="Migliaia [0] 28 5" xfId="3167" xr:uid="{00000000-0005-0000-0000-0000A16F0000}"/>
    <cellStyle name="Migliaia [0] 28 5 2" xfId="23167" xr:uid="{00000000-0005-0000-0000-0000A26F0000}"/>
    <cellStyle name="Migliaia [0] 28 6" xfId="21318" xr:uid="{00000000-0005-0000-0000-0000A36F0000}"/>
    <cellStyle name="Migliaia [0] 28 7" xfId="38109" xr:uid="{00000000-0005-0000-0000-0000A46F0000}"/>
    <cellStyle name="Migliaia [0] 28 8" xfId="39071" xr:uid="{00000000-0005-0000-0000-0000A56F0000}"/>
    <cellStyle name="Migliaia [0] 28 9" xfId="39471" xr:uid="{00000000-0005-0000-0000-0000A66F0000}"/>
    <cellStyle name="Migliaia [0] 29" xfId="388" xr:uid="{00000000-0005-0000-0000-0000A76F0000}"/>
    <cellStyle name="Migliaia [0] 29 10" xfId="39958" xr:uid="{00000000-0005-0000-0000-0000A86F0000}"/>
    <cellStyle name="Migliaia [0] 29 2" xfId="11307" xr:uid="{00000000-0005-0000-0000-0000A96F0000}"/>
    <cellStyle name="Migliaia [0] 29 2 2" xfId="20191" xr:uid="{00000000-0005-0000-0000-0000AA6F0000}"/>
    <cellStyle name="Migliaia [0] 29 2 2 2" xfId="37701" xr:uid="{00000000-0005-0000-0000-0000AB6F0000}"/>
    <cellStyle name="Migliaia [0] 29 2 3" xfId="38656" xr:uid="{00000000-0005-0000-0000-0000AC6F0000}"/>
    <cellStyle name="Migliaia [0] 29 3" xfId="11988" xr:uid="{00000000-0005-0000-0000-0000AD6F0000}"/>
    <cellStyle name="Migliaia [0] 29 3 2" xfId="30173" xr:uid="{00000000-0005-0000-0000-0000AE6F0000}"/>
    <cellStyle name="Migliaia [0] 29 4" xfId="19191" xr:uid="{00000000-0005-0000-0000-0000AF6F0000}"/>
    <cellStyle name="Migliaia [0] 29 4 2" xfId="37155" xr:uid="{00000000-0005-0000-0000-0000B06F0000}"/>
    <cellStyle name="Migliaia [0] 29 5" xfId="3168" xr:uid="{00000000-0005-0000-0000-0000B16F0000}"/>
    <cellStyle name="Migliaia [0] 29 5 2" xfId="23168" xr:uid="{00000000-0005-0000-0000-0000B26F0000}"/>
    <cellStyle name="Migliaia [0] 29 6" xfId="21319" xr:uid="{00000000-0005-0000-0000-0000B36F0000}"/>
    <cellStyle name="Migliaia [0] 29 7" xfId="38110" xr:uid="{00000000-0005-0000-0000-0000B46F0000}"/>
    <cellStyle name="Migliaia [0] 29 8" xfId="39072" xr:uid="{00000000-0005-0000-0000-0000B56F0000}"/>
    <cellStyle name="Migliaia [0] 29 9" xfId="39472" xr:uid="{00000000-0005-0000-0000-0000B66F0000}"/>
    <cellStyle name="Migliaia [0] 3" xfId="389" xr:uid="{00000000-0005-0000-0000-0000B76F0000}"/>
    <cellStyle name="Migliaia [0] 3 10" xfId="39959" xr:uid="{00000000-0005-0000-0000-0000B86F0000}"/>
    <cellStyle name="Migliaia [0] 3 2" xfId="11308" xr:uid="{00000000-0005-0000-0000-0000B96F0000}"/>
    <cellStyle name="Migliaia [0] 3 2 2" xfId="20192" xr:uid="{00000000-0005-0000-0000-0000BA6F0000}"/>
    <cellStyle name="Migliaia [0] 3 2 2 2" xfId="37702" xr:uid="{00000000-0005-0000-0000-0000BB6F0000}"/>
    <cellStyle name="Migliaia [0] 3 2 3" xfId="38657" xr:uid="{00000000-0005-0000-0000-0000BC6F0000}"/>
    <cellStyle name="Migliaia [0] 3 3" xfId="11989" xr:uid="{00000000-0005-0000-0000-0000BD6F0000}"/>
    <cellStyle name="Migliaia [0] 3 3 2" xfId="30174" xr:uid="{00000000-0005-0000-0000-0000BE6F0000}"/>
    <cellStyle name="Migliaia [0] 3 4" xfId="19192" xr:uid="{00000000-0005-0000-0000-0000BF6F0000}"/>
    <cellStyle name="Migliaia [0] 3 4 2" xfId="37156" xr:uid="{00000000-0005-0000-0000-0000C06F0000}"/>
    <cellStyle name="Migliaia [0] 3 5" xfId="3169" xr:uid="{00000000-0005-0000-0000-0000C16F0000}"/>
    <cellStyle name="Migliaia [0] 3 5 2" xfId="23169" xr:uid="{00000000-0005-0000-0000-0000C26F0000}"/>
    <cellStyle name="Migliaia [0] 3 6" xfId="21320" xr:uid="{00000000-0005-0000-0000-0000C36F0000}"/>
    <cellStyle name="Migliaia [0] 3 7" xfId="38111" xr:uid="{00000000-0005-0000-0000-0000C46F0000}"/>
    <cellStyle name="Migliaia [0] 3 8" xfId="39073" xr:uid="{00000000-0005-0000-0000-0000C56F0000}"/>
    <cellStyle name="Migliaia [0] 3 9" xfId="39473" xr:uid="{00000000-0005-0000-0000-0000C66F0000}"/>
    <cellStyle name="Migliaia [0] 30" xfId="390" xr:uid="{00000000-0005-0000-0000-0000C76F0000}"/>
    <cellStyle name="Migliaia [0] 30 10" xfId="39960" xr:uid="{00000000-0005-0000-0000-0000C86F0000}"/>
    <cellStyle name="Migliaia [0] 30 2" xfId="11309" xr:uid="{00000000-0005-0000-0000-0000C96F0000}"/>
    <cellStyle name="Migliaia [0] 30 2 2" xfId="20193" xr:uid="{00000000-0005-0000-0000-0000CA6F0000}"/>
    <cellStyle name="Migliaia [0] 30 2 2 2" xfId="37703" xr:uid="{00000000-0005-0000-0000-0000CB6F0000}"/>
    <cellStyle name="Migliaia [0] 30 2 3" xfId="38658" xr:uid="{00000000-0005-0000-0000-0000CC6F0000}"/>
    <cellStyle name="Migliaia [0] 30 3" xfId="11990" xr:uid="{00000000-0005-0000-0000-0000CD6F0000}"/>
    <cellStyle name="Migliaia [0] 30 3 2" xfId="30175" xr:uid="{00000000-0005-0000-0000-0000CE6F0000}"/>
    <cellStyle name="Migliaia [0] 30 4" xfId="19193" xr:uid="{00000000-0005-0000-0000-0000CF6F0000}"/>
    <cellStyle name="Migliaia [0] 30 4 2" xfId="37157" xr:uid="{00000000-0005-0000-0000-0000D06F0000}"/>
    <cellStyle name="Migliaia [0] 30 5" xfId="3170" xr:uid="{00000000-0005-0000-0000-0000D16F0000}"/>
    <cellStyle name="Migliaia [0] 30 5 2" xfId="23170" xr:uid="{00000000-0005-0000-0000-0000D26F0000}"/>
    <cellStyle name="Migliaia [0] 30 6" xfId="21321" xr:uid="{00000000-0005-0000-0000-0000D36F0000}"/>
    <cellStyle name="Migliaia [0] 30 7" xfId="38112" xr:uid="{00000000-0005-0000-0000-0000D46F0000}"/>
    <cellStyle name="Migliaia [0] 30 8" xfId="39074" xr:uid="{00000000-0005-0000-0000-0000D56F0000}"/>
    <cellStyle name="Migliaia [0] 30 9" xfId="39474" xr:uid="{00000000-0005-0000-0000-0000D66F0000}"/>
    <cellStyle name="Migliaia [0] 31" xfId="391" xr:uid="{00000000-0005-0000-0000-0000D76F0000}"/>
    <cellStyle name="Migliaia [0] 31 10" xfId="39961" xr:uid="{00000000-0005-0000-0000-0000D86F0000}"/>
    <cellStyle name="Migliaia [0] 31 2" xfId="11310" xr:uid="{00000000-0005-0000-0000-0000D96F0000}"/>
    <cellStyle name="Migliaia [0] 31 2 2" xfId="20194" xr:uid="{00000000-0005-0000-0000-0000DA6F0000}"/>
    <cellStyle name="Migliaia [0] 31 2 2 2" xfId="37704" xr:uid="{00000000-0005-0000-0000-0000DB6F0000}"/>
    <cellStyle name="Migliaia [0] 31 2 3" xfId="38659" xr:uid="{00000000-0005-0000-0000-0000DC6F0000}"/>
    <cellStyle name="Migliaia [0] 31 3" xfId="11991" xr:uid="{00000000-0005-0000-0000-0000DD6F0000}"/>
    <cellStyle name="Migliaia [0] 31 3 2" xfId="30176" xr:uid="{00000000-0005-0000-0000-0000DE6F0000}"/>
    <cellStyle name="Migliaia [0] 31 4" xfId="19194" xr:uid="{00000000-0005-0000-0000-0000DF6F0000}"/>
    <cellStyle name="Migliaia [0] 31 4 2" xfId="37158" xr:uid="{00000000-0005-0000-0000-0000E06F0000}"/>
    <cellStyle name="Migliaia [0] 31 5" xfId="3171" xr:uid="{00000000-0005-0000-0000-0000E16F0000}"/>
    <cellStyle name="Migliaia [0] 31 5 2" xfId="23171" xr:uid="{00000000-0005-0000-0000-0000E26F0000}"/>
    <cellStyle name="Migliaia [0] 31 6" xfId="21322" xr:uid="{00000000-0005-0000-0000-0000E36F0000}"/>
    <cellStyle name="Migliaia [0] 31 7" xfId="38113" xr:uid="{00000000-0005-0000-0000-0000E46F0000}"/>
    <cellStyle name="Migliaia [0] 31 8" xfId="39075" xr:uid="{00000000-0005-0000-0000-0000E56F0000}"/>
    <cellStyle name="Migliaia [0] 31 9" xfId="39475" xr:uid="{00000000-0005-0000-0000-0000E66F0000}"/>
    <cellStyle name="Migliaia [0] 32" xfId="392" xr:uid="{00000000-0005-0000-0000-0000E76F0000}"/>
    <cellStyle name="Migliaia [0] 32 10" xfId="39962" xr:uid="{00000000-0005-0000-0000-0000E86F0000}"/>
    <cellStyle name="Migliaia [0] 32 2" xfId="11311" xr:uid="{00000000-0005-0000-0000-0000E96F0000}"/>
    <cellStyle name="Migliaia [0] 32 2 2" xfId="20195" xr:uid="{00000000-0005-0000-0000-0000EA6F0000}"/>
    <cellStyle name="Migliaia [0] 32 2 2 2" xfId="37705" xr:uid="{00000000-0005-0000-0000-0000EB6F0000}"/>
    <cellStyle name="Migliaia [0] 32 2 3" xfId="38660" xr:uid="{00000000-0005-0000-0000-0000EC6F0000}"/>
    <cellStyle name="Migliaia [0] 32 3" xfId="11992" xr:uid="{00000000-0005-0000-0000-0000ED6F0000}"/>
    <cellStyle name="Migliaia [0] 32 3 2" xfId="30177" xr:uid="{00000000-0005-0000-0000-0000EE6F0000}"/>
    <cellStyle name="Migliaia [0] 32 4" xfId="19195" xr:uid="{00000000-0005-0000-0000-0000EF6F0000}"/>
    <cellStyle name="Migliaia [0] 32 4 2" xfId="37159" xr:uid="{00000000-0005-0000-0000-0000F06F0000}"/>
    <cellStyle name="Migliaia [0] 32 5" xfId="3172" xr:uid="{00000000-0005-0000-0000-0000F16F0000}"/>
    <cellStyle name="Migliaia [0] 32 5 2" xfId="23172" xr:uid="{00000000-0005-0000-0000-0000F26F0000}"/>
    <cellStyle name="Migliaia [0] 32 6" xfId="21323" xr:uid="{00000000-0005-0000-0000-0000F36F0000}"/>
    <cellStyle name="Migliaia [0] 32 7" xfId="38114" xr:uid="{00000000-0005-0000-0000-0000F46F0000}"/>
    <cellStyle name="Migliaia [0] 32 8" xfId="39076" xr:uid="{00000000-0005-0000-0000-0000F56F0000}"/>
    <cellStyle name="Migliaia [0] 32 9" xfId="39476" xr:uid="{00000000-0005-0000-0000-0000F66F0000}"/>
    <cellStyle name="Migliaia [0] 33" xfId="393" xr:uid="{00000000-0005-0000-0000-0000F76F0000}"/>
    <cellStyle name="Migliaia [0] 33 10" xfId="39963" xr:uid="{00000000-0005-0000-0000-0000F86F0000}"/>
    <cellStyle name="Migliaia [0] 33 2" xfId="11312" xr:uid="{00000000-0005-0000-0000-0000F96F0000}"/>
    <cellStyle name="Migliaia [0] 33 2 2" xfId="20196" xr:uid="{00000000-0005-0000-0000-0000FA6F0000}"/>
    <cellStyle name="Migliaia [0] 33 2 2 2" xfId="37706" xr:uid="{00000000-0005-0000-0000-0000FB6F0000}"/>
    <cellStyle name="Migliaia [0] 33 2 3" xfId="38661" xr:uid="{00000000-0005-0000-0000-0000FC6F0000}"/>
    <cellStyle name="Migliaia [0] 33 3" xfId="11993" xr:uid="{00000000-0005-0000-0000-0000FD6F0000}"/>
    <cellStyle name="Migliaia [0] 33 3 2" xfId="30178" xr:uid="{00000000-0005-0000-0000-0000FE6F0000}"/>
    <cellStyle name="Migliaia [0] 33 4" xfId="19196" xr:uid="{00000000-0005-0000-0000-0000FF6F0000}"/>
    <cellStyle name="Migliaia [0] 33 4 2" xfId="37160" xr:uid="{00000000-0005-0000-0000-000000700000}"/>
    <cellStyle name="Migliaia [0] 33 5" xfId="3173" xr:uid="{00000000-0005-0000-0000-000001700000}"/>
    <cellStyle name="Migliaia [0] 33 5 2" xfId="23173" xr:uid="{00000000-0005-0000-0000-000002700000}"/>
    <cellStyle name="Migliaia [0] 33 6" xfId="21324" xr:uid="{00000000-0005-0000-0000-000003700000}"/>
    <cellStyle name="Migliaia [0] 33 7" xfId="38115" xr:uid="{00000000-0005-0000-0000-000004700000}"/>
    <cellStyle name="Migliaia [0] 33 8" xfId="39077" xr:uid="{00000000-0005-0000-0000-000005700000}"/>
    <cellStyle name="Migliaia [0] 33 9" xfId="39477" xr:uid="{00000000-0005-0000-0000-000006700000}"/>
    <cellStyle name="Migliaia [0] 34" xfId="394" xr:uid="{00000000-0005-0000-0000-000007700000}"/>
    <cellStyle name="Migliaia [0] 34 10" xfId="39964" xr:uid="{00000000-0005-0000-0000-000008700000}"/>
    <cellStyle name="Migliaia [0] 34 2" xfId="11313" xr:uid="{00000000-0005-0000-0000-000009700000}"/>
    <cellStyle name="Migliaia [0] 34 2 2" xfId="20197" xr:uid="{00000000-0005-0000-0000-00000A700000}"/>
    <cellStyle name="Migliaia [0] 34 2 2 2" xfId="37707" xr:uid="{00000000-0005-0000-0000-00000B700000}"/>
    <cellStyle name="Migliaia [0] 34 2 3" xfId="38662" xr:uid="{00000000-0005-0000-0000-00000C700000}"/>
    <cellStyle name="Migliaia [0] 34 3" xfId="11994" xr:uid="{00000000-0005-0000-0000-00000D700000}"/>
    <cellStyle name="Migliaia [0] 34 3 2" xfId="30179" xr:uid="{00000000-0005-0000-0000-00000E700000}"/>
    <cellStyle name="Migliaia [0] 34 4" xfId="19197" xr:uid="{00000000-0005-0000-0000-00000F700000}"/>
    <cellStyle name="Migliaia [0] 34 4 2" xfId="37161" xr:uid="{00000000-0005-0000-0000-000010700000}"/>
    <cellStyle name="Migliaia [0] 34 5" xfId="3174" xr:uid="{00000000-0005-0000-0000-000011700000}"/>
    <cellStyle name="Migliaia [0] 34 5 2" xfId="23174" xr:uid="{00000000-0005-0000-0000-000012700000}"/>
    <cellStyle name="Migliaia [0] 34 6" xfId="21325" xr:uid="{00000000-0005-0000-0000-000013700000}"/>
    <cellStyle name="Migliaia [0] 34 7" xfId="38116" xr:uid="{00000000-0005-0000-0000-000014700000}"/>
    <cellStyle name="Migliaia [0] 34 8" xfId="39078" xr:uid="{00000000-0005-0000-0000-000015700000}"/>
    <cellStyle name="Migliaia [0] 34 9" xfId="39478" xr:uid="{00000000-0005-0000-0000-000016700000}"/>
    <cellStyle name="Migliaia [0] 35" xfId="395" xr:uid="{00000000-0005-0000-0000-000017700000}"/>
    <cellStyle name="Migliaia [0] 35 10" xfId="39965" xr:uid="{00000000-0005-0000-0000-000018700000}"/>
    <cellStyle name="Migliaia [0] 35 2" xfId="11314" xr:uid="{00000000-0005-0000-0000-000019700000}"/>
    <cellStyle name="Migliaia [0] 35 2 2" xfId="20198" xr:uid="{00000000-0005-0000-0000-00001A700000}"/>
    <cellStyle name="Migliaia [0] 35 2 2 2" xfId="37708" xr:uid="{00000000-0005-0000-0000-00001B700000}"/>
    <cellStyle name="Migliaia [0] 35 2 3" xfId="38663" xr:uid="{00000000-0005-0000-0000-00001C700000}"/>
    <cellStyle name="Migliaia [0] 35 3" xfId="11995" xr:uid="{00000000-0005-0000-0000-00001D700000}"/>
    <cellStyle name="Migliaia [0] 35 3 2" xfId="30180" xr:uid="{00000000-0005-0000-0000-00001E700000}"/>
    <cellStyle name="Migliaia [0] 35 4" xfId="19198" xr:uid="{00000000-0005-0000-0000-00001F700000}"/>
    <cellStyle name="Migliaia [0] 35 4 2" xfId="37162" xr:uid="{00000000-0005-0000-0000-000020700000}"/>
    <cellStyle name="Migliaia [0] 35 5" xfId="3175" xr:uid="{00000000-0005-0000-0000-000021700000}"/>
    <cellStyle name="Migliaia [0] 35 5 2" xfId="23175" xr:uid="{00000000-0005-0000-0000-000022700000}"/>
    <cellStyle name="Migliaia [0] 35 6" xfId="21326" xr:uid="{00000000-0005-0000-0000-000023700000}"/>
    <cellStyle name="Migliaia [0] 35 7" xfId="38117" xr:uid="{00000000-0005-0000-0000-000024700000}"/>
    <cellStyle name="Migliaia [0] 35 8" xfId="39079" xr:uid="{00000000-0005-0000-0000-000025700000}"/>
    <cellStyle name="Migliaia [0] 35 9" xfId="39479" xr:uid="{00000000-0005-0000-0000-000026700000}"/>
    <cellStyle name="Migliaia [0] 36" xfId="396" xr:uid="{00000000-0005-0000-0000-000027700000}"/>
    <cellStyle name="Migliaia [0] 36 10" xfId="39966" xr:uid="{00000000-0005-0000-0000-000028700000}"/>
    <cellStyle name="Migliaia [0] 36 2" xfId="11315" xr:uid="{00000000-0005-0000-0000-000029700000}"/>
    <cellStyle name="Migliaia [0] 36 2 2" xfId="20199" xr:uid="{00000000-0005-0000-0000-00002A700000}"/>
    <cellStyle name="Migliaia [0] 36 2 2 2" xfId="37709" xr:uid="{00000000-0005-0000-0000-00002B700000}"/>
    <cellStyle name="Migliaia [0] 36 2 3" xfId="38664" xr:uid="{00000000-0005-0000-0000-00002C700000}"/>
    <cellStyle name="Migliaia [0] 36 3" xfId="11996" xr:uid="{00000000-0005-0000-0000-00002D700000}"/>
    <cellStyle name="Migliaia [0] 36 3 2" xfId="30181" xr:uid="{00000000-0005-0000-0000-00002E700000}"/>
    <cellStyle name="Migliaia [0] 36 4" xfId="19199" xr:uid="{00000000-0005-0000-0000-00002F700000}"/>
    <cellStyle name="Migliaia [0] 36 4 2" xfId="37163" xr:uid="{00000000-0005-0000-0000-000030700000}"/>
    <cellStyle name="Migliaia [0] 36 5" xfId="3176" xr:uid="{00000000-0005-0000-0000-000031700000}"/>
    <cellStyle name="Migliaia [0] 36 5 2" xfId="23176" xr:uid="{00000000-0005-0000-0000-000032700000}"/>
    <cellStyle name="Migliaia [0] 36 6" xfId="21327" xr:uid="{00000000-0005-0000-0000-000033700000}"/>
    <cellStyle name="Migliaia [0] 36 7" xfId="38118" xr:uid="{00000000-0005-0000-0000-000034700000}"/>
    <cellStyle name="Migliaia [0] 36 8" xfId="39080" xr:uid="{00000000-0005-0000-0000-000035700000}"/>
    <cellStyle name="Migliaia [0] 36 9" xfId="39480" xr:uid="{00000000-0005-0000-0000-000036700000}"/>
    <cellStyle name="Migliaia [0] 37" xfId="397" xr:uid="{00000000-0005-0000-0000-000037700000}"/>
    <cellStyle name="Migliaia [0] 37 10" xfId="39967" xr:uid="{00000000-0005-0000-0000-000038700000}"/>
    <cellStyle name="Migliaia [0] 37 2" xfId="11316" xr:uid="{00000000-0005-0000-0000-000039700000}"/>
    <cellStyle name="Migliaia [0] 37 2 2" xfId="20200" xr:uid="{00000000-0005-0000-0000-00003A700000}"/>
    <cellStyle name="Migliaia [0] 37 2 2 2" xfId="37710" xr:uid="{00000000-0005-0000-0000-00003B700000}"/>
    <cellStyle name="Migliaia [0] 37 2 3" xfId="38665" xr:uid="{00000000-0005-0000-0000-00003C700000}"/>
    <cellStyle name="Migliaia [0] 37 3" xfId="11997" xr:uid="{00000000-0005-0000-0000-00003D700000}"/>
    <cellStyle name="Migliaia [0] 37 3 2" xfId="30182" xr:uid="{00000000-0005-0000-0000-00003E700000}"/>
    <cellStyle name="Migliaia [0] 37 4" xfId="19200" xr:uid="{00000000-0005-0000-0000-00003F700000}"/>
    <cellStyle name="Migliaia [0] 37 4 2" xfId="37164" xr:uid="{00000000-0005-0000-0000-000040700000}"/>
    <cellStyle name="Migliaia [0] 37 5" xfId="3177" xr:uid="{00000000-0005-0000-0000-000041700000}"/>
    <cellStyle name="Migliaia [0] 37 5 2" xfId="23177" xr:uid="{00000000-0005-0000-0000-000042700000}"/>
    <cellStyle name="Migliaia [0] 37 6" xfId="21328" xr:uid="{00000000-0005-0000-0000-000043700000}"/>
    <cellStyle name="Migliaia [0] 37 7" xfId="38119" xr:uid="{00000000-0005-0000-0000-000044700000}"/>
    <cellStyle name="Migliaia [0] 37 8" xfId="39081" xr:uid="{00000000-0005-0000-0000-000045700000}"/>
    <cellStyle name="Migliaia [0] 37 9" xfId="39481" xr:uid="{00000000-0005-0000-0000-000046700000}"/>
    <cellStyle name="Migliaia [0] 38" xfId="398" xr:uid="{00000000-0005-0000-0000-000047700000}"/>
    <cellStyle name="Migliaia [0] 38 10" xfId="39968" xr:uid="{00000000-0005-0000-0000-000048700000}"/>
    <cellStyle name="Migliaia [0] 38 2" xfId="11317" xr:uid="{00000000-0005-0000-0000-000049700000}"/>
    <cellStyle name="Migliaia [0] 38 2 2" xfId="20201" xr:uid="{00000000-0005-0000-0000-00004A700000}"/>
    <cellStyle name="Migliaia [0] 38 2 2 2" xfId="37711" xr:uid="{00000000-0005-0000-0000-00004B700000}"/>
    <cellStyle name="Migliaia [0] 38 2 3" xfId="38666" xr:uid="{00000000-0005-0000-0000-00004C700000}"/>
    <cellStyle name="Migliaia [0] 38 3" xfId="11998" xr:uid="{00000000-0005-0000-0000-00004D700000}"/>
    <cellStyle name="Migliaia [0] 38 3 2" xfId="30183" xr:uid="{00000000-0005-0000-0000-00004E700000}"/>
    <cellStyle name="Migliaia [0] 38 4" xfId="19201" xr:uid="{00000000-0005-0000-0000-00004F700000}"/>
    <cellStyle name="Migliaia [0] 38 4 2" xfId="37165" xr:uid="{00000000-0005-0000-0000-000050700000}"/>
    <cellStyle name="Migliaia [0] 38 5" xfId="3178" xr:uid="{00000000-0005-0000-0000-000051700000}"/>
    <cellStyle name="Migliaia [0] 38 5 2" xfId="23178" xr:uid="{00000000-0005-0000-0000-000052700000}"/>
    <cellStyle name="Migliaia [0] 38 6" xfId="21329" xr:uid="{00000000-0005-0000-0000-000053700000}"/>
    <cellStyle name="Migliaia [0] 38 7" xfId="38120" xr:uid="{00000000-0005-0000-0000-000054700000}"/>
    <cellStyle name="Migliaia [0] 38 8" xfId="39082" xr:uid="{00000000-0005-0000-0000-000055700000}"/>
    <cellStyle name="Migliaia [0] 38 9" xfId="39482" xr:uid="{00000000-0005-0000-0000-000056700000}"/>
    <cellStyle name="Migliaia [0] 39" xfId="399" xr:uid="{00000000-0005-0000-0000-000057700000}"/>
    <cellStyle name="Migliaia [0] 39 10" xfId="39969" xr:uid="{00000000-0005-0000-0000-000058700000}"/>
    <cellStyle name="Migliaia [0] 39 2" xfId="11318" xr:uid="{00000000-0005-0000-0000-000059700000}"/>
    <cellStyle name="Migliaia [0] 39 2 2" xfId="20202" xr:uid="{00000000-0005-0000-0000-00005A700000}"/>
    <cellStyle name="Migliaia [0] 39 2 2 2" xfId="37712" xr:uid="{00000000-0005-0000-0000-00005B700000}"/>
    <cellStyle name="Migliaia [0] 39 2 3" xfId="38667" xr:uid="{00000000-0005-0000-0000-00005C700000}"/>
    <cellStyle name="Migliaia [0] 39 3" xfId="11999" xr:uid="{00000000-0005-0000-0000-00005D700000}"/>
    <cellStyle name="Migliaia [0] 39 3 2" xfId="30184" xr:uid="{00000000-0005-0000-0000-00005E700000}"/>
    <cellStyle name="Migliaia [0] 39 4" xfId="19202" xr:uid="{00000000-0005-0000-0000-00005F700000}"/>
    <cellStyle name="Migliaia [0] 39 4 2" xfId="37166" xr:uid="{00000000-0005-0000-0000-000060700000}"/>
    <cellStyle name="Migliaia [0] 39 5" xfId="3179" xr:uid="{00000000-0005-0000-0000-000061700000}"/>
    <cellStyle name="Migliaia [0] 39 5 2" xfId="23179" xr:uid="{00000000-0005-0000-0000-000062700000}"/>
    <cellStyle name="Migliaia [0] 39 6" xfId="21330" xr:uid="{00000000-0005-0000-0000-000063700000}"/>
    <cellStyle name="Migliaia [0] 39 7" xfId="38121" xr:uid="{00000000-0005-0000-0000-000064700000}"/>
    <cellStyle name="Migliaia [0] 39 8" xfId="39083" xr:uid="{00000000-0005-0000-0000-000065700000}"/>
    <cellStyle name="Migliaia [0] 39 9" xfId="39483" xr:uid="{00000000-0005-0000-0000-000066700000}"/>
    <cellStyle name="Migliaia [0] 4" xfId="400" xr:uid="{00000000-0005-0000-0000-000067700000}"/>
    <cellStyle name="Migliaia [0] 4 10" xfId="39970" xr:uid="{00000000-0005-0000-0000-000068700000}"/>
    <cellStyle name="Migliaia [0] 4 2" xfId="11319" xr:uid="{00000000-0005-0000-0000-000069700000}"/>
    <cellStyle name="Migliaia [0] 4 2 2" xfId="20203" xr:uid="{00000000-0005-0000-0000-00006A700000}"/>
    <cellStyle name="Migliaia [0] 4 2 2 2" xfId="37713" xr:uid="{00000000-0005-0000-0000-00006B700000}"/>
    <cellStyle name="Migliaia [0] 4 2 3" xfId="38668" xr:uid="{00000000-0005-0000-0000-00006C700000}"/>
    <cellStyle name="Migliaia [0] 4 3" xfId="12000" xr:uid="{00000000-0005-0000-0000-00006D700000}"/>
    <cellStyle name="Migliaia [0] 4 3 2" xfId="30185" xr:uid="{00000000-0005-0000-0000-00006E700000}"/>
    <cellStyle name="Migliaia [0] 4 4" xfId="19203" xr:uid="{00000000-0005-0000-0000-00006F700000}"/>
    <cellStyle name="Migliaia [0] 4 4 2" xfId="37167" xr:uid="{00000000-0005-0000-0000-000070700000}"/>
    <cellStyle name="Migliaia [0] 4 5" xfId="3180" xr:uid="{00000000-0005-0000-0000-000071700000}"/>
    <cellStyle name="Migliaia [0] 4 5 2" xfId="23180" xr:uid="{00000000-0005-0000-0000-000072700000}"/>
    <cellStyle name="Migliaia [0] 4 6" xfId="21331" xr:uid="{00000000-0005-0000-0000-000073700000}"/>
    <cellStyle name="Migliaia [0] 4 7" xfId="38122" xr:uid="{00000000-0005-0000-0000-000074700000}"/>
    <cellStyle name="Migliaia [0] 4 8" xfId="39084" xr:uid="{00000000-0005-0000-0000-000075700000}"/>
    <cellStyle name="Migliaia [0] 4 9" xfId="39484" xr:uid="{00000000-0005-0000-0000-000076700000}"/>
    <cellStyle name="Migliaia [0] 40" xfId="401" xr:uid="{00000000-0005-0000-0000-000077700000}"/>
    <cellStyle name="Migliaia [0] 40 10" xfId="39971" xr:uid="{00000000-0005-0000-0000-000078700000}"/>
    <cellStyle name="Migliaia [0] 40 2" xfId="11320" xr:uid="{00000000-0005-0000-0000-000079700000}"/>
    <cellStyle name="Migliaia [0] 40 2 2" xfId="20204" xr:uid="{00000000-0005-0000-0000-00007A700000}"/>
    <cellStyle name="Migliaia [0] 40 2 2 2" xfId="37714" xr:uid="{00000000-0005-0000-0000-00007B700000}"/>
    <cellStyle name="Migliaia [0] 40 2 3" xfId="38669" xr:uid="{00000000-0005-0000-0000-00007C700000}"/>
    <cellStyle name="Migliaia [0] 40 3" xfId="12001" xr:uid="{00000000-0005-0000-0000-00007D700000}"/>
    <cellStyle name="Migliaia [0] 40 3 2" xfId="30186" xr:uid="{00000000-0005-0000-0000-00007E700000}"/>
    <cellStyle name="Migliaia [0] 40 4" xfId="19204" xr:uid="{00000000-0005-0000-0000-00007F700000}"/>
    <cellStyle name="Migliaia [0] 40 4 2" xfId="37168" xr:uid="{00000000-0005-0000-0000-000080700000}"/>
    <cellStyle name="Migliaia [0] 40 5" xfId="3181" xr:uid="{00000000-0005-0000-0000-000081700000}"/>
    <cellStyle name="Migliaia [0] 40 5 2" xfId="23181" xr:uid="{00000000-0005-0000-0000-000082700000}"/>
    <cellStyle name="Migliaia [0] 40 6" xfId="21332" xr:uid="{00000000-0005-0000-0000-000083700000}"/>
    <cellStyle name="Migliaia [0] 40 7" xfId="38123" xr:uid="{00000000-0005-0000-0000-000084700000}"/>
    <cellStyle name="Migliaia [0] 40 8" xfId="39085" xr:uid="{00000000-0005-0000-0000-000085700000}"/>
    <cellStyle name="Migliaia [0] 40 9" xfId="39485" xr:uid="{00000000-0005-0000-0000-000086700000}"/>
    <cellStyle name="Migliaia [0] 41" xfId="402" xr:uid="{00000000-0005-0000-0000-000087700000}"/>
    <cellStyle name="Migliaia [0] 41 10" xfId="39972" xr:uid="{00000000-0005-0000-0000-000088700000}"/>
    <cellStyle name="Migliaia [0] 41 2" xfId="11321" xr:uid="{00000000-0005-0000-0000-000089700000}"/>
    <cellStyle name="Migliaia [0] 41 2 2" xfId="20205" xr:uid="{00000000-0005-0000-0000-00008A700000}"/>
    <cellStyle name="Migliaia [0] 41 2 2 2" xfId="37715" xr:uid="{00000000-0005-0000-0000-00008B700000}"/>
    <cellStyle name="Migliaia [0] 41 2 3" xfId="38670" xr:uid="{00000000-0005-0000-0000-00008C700000}"/>
    <cellStyle name="Migliaia [0] 41 3" xfId="12002" xr:uid="{00000000-0005-0000-0000-00008D700000}"/>
    <cellStyle name="Migliaia [0] 41 3 2" xfId="30187" xr:uid="{00000000-0005-0000-0000-00008E700000}"/>
    <cellStyle name="Migliaia [0] 41 4" xfId="19205" xr:uid="{00000000-0005-0000-0000-00008F700000}"/>
    <cellStyle name="Migliaia [0] 41 4 2" xfId="37169" xr:uid="{00000000-0005-0000-0000-000090700000}"/>
    <cellStyle name="Migliaia [0] 41 5" xfId="3182" xr:uid="{00000000-0005-0000-0000-000091700000}"/>
    <cellStyle name="Migliaia [0] 41 5 2" xfId="23182" xr:uid="{00000000-0005-0000-0000-000092700000}"/>
    <cellStyle name="Migliaia [0] 41 6" xfId="21333" xr:uid="{00000000-0005-0000-0000-000093700000}"/>
    <cellStyle name="Migliaia [0] 41 7" xfId="38124" xr:uid="{00000000-0005-0000-0000-000094700000}"/>
    <cellStyle name="Migliaia [0] 41 8" xfId="39086" xr:uid="{00000000-0005-0000-0000-000095700000}"/>
    <cellStyle name="Migliaia [0] 41 9" xfId="39486" xr:uid="{00000000-0005-0000-0000-000096700000}"/>
    <cellStyle name="Migliaia [0] 42" xfId="403" xr:uid="{00000000-0005-0000-0000-000097700000}"/>
    <cellStyle name="Migliaia [0] 42 10" xfId="39973" xr:uid="{00000000-0005-0000-0000-000098700000}"/>
    <cellStyle name="Migliaia [0] 42 2" xfId="11322" xr:uid="{00000000-0005-0000-0000-000099700000}"/>
    <cellStyle name="Migliaia [0] 42 2 2" xfId="20206" xr:uid="{00000000-0005-0000-0000-00009A700000}"/>
    <cellStyle name="Migliaia [0] 42 2 2 2" xfId="37716" xr:uid="{00000000-0005-0000-0000-00009B700000}"/>
    <cellStyle name="Migliaia [0] 42 2 3" xfId="38671" xr:uid="{00000000-0005-0000-0000-00009C700000}"/>
    <cellStyle name="Migliaia [0] 42 3" xfId="12003" xr:uid="{00000000-0005-0000-0000-00009D700000}"/>
    <cellStyle name="Migliaia [0] 42 3 2" xfId="30188" xr:uid="{00000000-0005-0000-0000-00009E700000}"/>
    <cellStyle name="Migliaia [0] 42 4" xfId="19206" xr:uid="{00000000-0005-0000-0000-00009F700000}"/>
    <cellStyle name="Migliaia [0] 42 4 2" xfId="37170" xr:uid="{00000000-0005-0000-0000-0000A0700000}"/>
    <cellStyle name="Migliaia [0] 42 5" xfId="3183" xr:uid="{00000000-0005-0000-0000-0000A1700000}"/>
    <cellStyle name="Migliaia [0] 42 5 2" xfId="23183" xr:uid="{00000000-0005-0000-0000-0000A2700000}"/>
    <cellStyle name="Migliaia [0] 42 6" xfId="21334" xr:uid="{00000000-0005-0000-0000-0000A3700000}"/>
    <cellStyle name="Migliaia [0] 42 7" xfId="38125" xr:uid="{00000000-0005-0000-0000-0000A4700000}"/>
    <cellStyle name="Migliaia [0] 42 8" xfId="39087" xr:uid="{00000000-0005-0000-0000-0000A5700000}"/>
    <cellStyle name="Migliaia [0] 42 9" xfId="39487" xr:uid="{00000000-0005-0000-0000-0000A6700000}"/>
    <cellStyle name="Migliaia [0] 43" xfId="404" xr:uid="{00000000-0005-0000-0000-0000A7700000}"/>
    <cellStyle name="Migliaia [0] 43 10" xfId="39974" xr:uid="{00000000-0005-0000-0000-0000A8700000}"/>
    <cellStyle name="Migliaia [0] 43 2" xfId="11323" xr:uid="{00000000-0005-0000-0000-0000A9700000}"/>
    <cellStyle name="Migliaia [0] 43 2 2" xfId="20207" xr:uid="{00000000-0005-0000-0000-0000AA700000}"/>
    <cellStyle name="Migliaia [0] 43 2 2 2" xfId="37717" xr:uid="{00000000-0005-0000-0000-0000AB700000}"/>
    <cellStyle name="Migliaia [0] 43 2 3" xfId="38672" xr:uid="{00000000-0005-0000-0000-0000AC700000}"/>
    <cellStyle name="Migliaia [0] 43 3" xfId="12004" xr:uid="{00000000-0005-0000-0000-0000AD700000}"/>
    <cellStyle name="Migliaia [0] 43 3 2" xfId="30189" xr:uid="{00000000-0005-0000-0000-0000AE700000}"/>
    <cellStyle name="Migliaia [0] 43 4" xfId="19207" xr:uid="{00000000-0005-0000-0000-0000AF700000}"/>
    <cellStyle name="Migliaia [0] 43 4 2" xfId="37171" xr:uid="{00000000-0005-0000-0000-0000B0700000}"/>
    <cellStyle name="Migliaia [0] 43 5" xfId="3184" xr:uid="{00000000-0005-0000-0000-0000B1700000}"/>
    <cellStyle name="Migliaia [0] 43 5 2" xfId="23184" xr:uid="{00000000-0005-0000-0000-0000B2700000}"/>
    <cellStyle name="Migliaia [0] 43 6" xfId="21335" xr:uid="{00000000-0005-0000-0000-0000B3700000}"/>
    <cellStyle name="Migliaia [0] 43 7" xfId="38126" xr:uid="{00000000-0005-0000-0000-0000B4700000}"/>
    <cellStyle name="Migliaia [0] 43 8" xfId="39088" xr:uid="{00000000-0005-0000-0000-0000B5700000}"/>
    <cellStyle name="Migliaia [0] 43 9" xfId="39488" xr:uid="{00000000-0005-0000-0000-0000B6700000}"/>
    <cellStyle name="Migliaia [0] 44" xfId="405" xr:uid="{00000000-0005-0000-0000-0000B7700000}"/>
    <cellStyle name="Migliaia [0] 44 10" xfId="39975" xr:uid="{00000000-0005-0000-0000-0000B8700000}"/>
    <cellStyle name="Migliaia [0] 44 2" xfId="11324" xr:uid="{00000000-0005-0000-0000-0000B9700000}"/>
    <cellStyle name="Migliaia [0] 44 2 2" xfId="20208" xr:uid="{00000000-0005-0000-0000-0000BA700000}"/>
    <cellStyle name="Migliaia [0] 44 2 2 2" xfId="37718" xr:uid="{00000000-0005-0000-0000-0000BB700000}"/>
    <cellStyle name="Migliaia [0] 44 2 3" xfId="38673" xr:uid="{00000000-0005-0000-0000-0000BC700000}"/>
    <cellStyle name="Migliaia [0] 44 3" xfId="12005" xr:uid="{00000000-0005-0000-0000-0000BD700000}"/>
    <cellStyle name="Migliaia [0] 44 3 2" xfId="30190" xr:uid="{00000000-0005-0000-0000-0000BE700000}"/>
    <cellStyle name="Migliaia [0] 44 4" xfId="19208" xr:uid="{00000000-0005-0000-0000-0000BF700000}"/>
    <cellStyle name="Migliaia [0] 44 4 2" xfId="37172" xr:uid="{00000000-0005-0000-0000-0000C0700000}"/>
    <cellStyle name="Migliaia [0] 44 5" xfId="3185" xr:uid="{00000000-0005-0000-0000-0000C1700000}"/>
    <cellStyle name="Migliaia [0] 44 5 2" xfId="23185" xr:uid="{00000000-0005-0000-0000-0000C2700000}"/>
    <cellStyle name="Migliaia [0] 44 6" xfId="21336" xr:uid="{00000000-0005-0000-0000-0000C3700000}"/>
    <cellStyle name="Migliaia [0] 44 7" xfId="38127" xr:uid="{00000000-0005-0000-0000-0000C4700000}"/>
    <cellStyle name="Migliaia [0] 44 8" xfId="39089" xr:uid="{00000000-0005-0000-0000-0000C5700000}"/>
    <cellStyle name="Migliaia [0] 44 9" xfId="39489" xr:uid="{00000000-0005-0000-0000-0000C6700000}"/>
    <cellStyle name="Migliaia [0] 45" xfId="406" xr:uid="{00000000-0005-0000-0000-0000C7700000}"/>
    <cellStyle name="Migliaia [0] 45 10" xfId="39976" xr:uid="{00000000-0005-0000-0000-0000C8700000}"/>
    <cellStyle name="Migliaia [0] 45 2" xfId="11325" xr:uid="{00000000-0005-0000-0000-0000C9700000}"/>
    <cellStyle name="Migliaia [0] 45 2 2" xfId="20209" xr:uid="{00000000-0005-0000-0000-0000CA700000}"/>
    <cellStyle name="Migliaia [0] 45 2 2 2" xfId="37719" xr:uid="{00000000-0005-0000-0000-0000CB700000}"/>
    <cellStyle name="Migliaia [0] 45 2 3" xfId="38674" xr:uid="{00000000-0005-0000-0000-0000CC700000}"/>
    <cellStyle name="Migliaia [0] 45 3" xfId="12006" xr:uid="{00000000-0005-0000-0000-0000CD700000}"/>
    <cellStyle name="Migliaia [0] 45 3 2" xfId="30191" xr:uid="{00000000-0005-0000-0000-0000CE700000}"/>
    <cellStyle name="Migliaia [0] 45 4" xfId="19209" xr:uid="{00000000-0005-0000-0000-0000CF700000}"/>
    <cellStyle name="Migliaia [0] 45 4 2" xfId="37173" xr:uid="{00000000-0005-0000-0000-0000D0700000}"/>
    <cellStyle name="Migliaia [0] 45 5" xfId="3186" xr:uid="{00000000-0005-0000-0000-0000D1700000}"/>
    <cellStyle name="Migliaia [0] 45 5 2" xfId="23186" xr:uid="{00000000-0005-0000-0000-0000D2700000}"/>
    <cellStyle name="Migliaia [0] 45 6" xfId="21337" xr:uid="{00000000-0005-0000-0000-0000D3700000}"/>
    <cellStyle name="Migliaia [0] 45 7" xfId="38128" xr:uid="{00000000-0005-0000-0000-0000D4700000}"/>
    <cellStyle name="Migliaia [0] 45 8" xfId="39090" xr:uid="{00000000-0005-0000-0000-0000D5700000}"/>
    <cellStyle name="Migliaia [0] 45 9" xfId="39490" xr:uid="{00000000-0005-0000-0000-0000D6700000}"/>
    <cellStyle name="Migliaia [0] 46" xfId="407" xr:uid="{00000000-0005-0000-0000-0000D7700000}"/>
    <cellStyle name="Migliaia [0] 46 10" xfId="39977" xr:uid="{00000000-0005-0000-0000-0000D8700000}"/>
    <cellStyle name="Migliaia [0] 46 2" xfId="11326" xr:uid="{00000000-0005-0000-0000-0000D9700000}"/>
    <cellStyle name="Migliaia [0] 46 2 2" xfId="20210" xr:uid="{00000000-0005-0000-0000-0000DA700000}"/>
    <cellStyle name="Migliaia [0] 46 2 2 2" xfId="37720" xr:uid="{00000000-0005-0000-0000-0000DB700000}"/>
    <cellStyle name="Migliaia [0] 46 2 3" xfId="38675" xr:uid="{00000000-0005-0000-0000-0000DC700000}"/>
    <cellStyle name="Migliaia [0] 46 3" xfId="12007" xr:uid="{00000000-0005-0000-0000-0000DD700000}"/>
    <cellStyle name="Migliaia [0] 46 3 2" xfId="30192" xr:uid="{00000000-0005-0000-0000-0000DE700000}"/>
    <cellStyle name="Migliaia [0] 46 4" xfId="19210" xr:uid="{00000000-0005-0000-0000-0000DF700000}"/>
    <cellStyle name="Migliaia [0] 46 4 2" xfId="37174" xr:uid="{00000000-0005-0000-0000-0000E0700000}"/>
    <cellStyle name="Migliaia [0] 46 5" xfId="3187" xr:uid="{00000000-0005-0000-0000-0000E1700000}"/>
    <cellStyle name="Migliaia [0] 46 5 2" xfId="23187" xr:uid="{00000000-0005-0000-0000-0000E2700000}"/>
    <cellStyle name="Migliaia [0] 46 6" xfId="21338" xr:uid="{00000000-0005-0000-0000-0000E3700000}"/>
    <cellStyle name="Migliaia [0] 46 7" xfId="38129" xr:uid="{00000000-0005-0000-0000-0000E4700000}"/>
    <cellStyle name="Migliaia [0] 46 8" xfId="39091" xr:uid="{00000000-0005-0000-0000-0000E5700000}"/>
    <cellStyle name="Migliaia [0] 46 9" xfId="39491" xr:uid="{00000000-0005-0000-0000-0000E6700000}"/>
    <cellStyle name="Migliaia [0] 47" xfId="408" xr:uid="{00000000-0005-0000-0000-0000E7700000}"/>
    <cellStyle name="Migliaia [0] 47 10" xfId="39978" xr:uid="{00000000-0005-0000-0000-0000E8700000}"/>
    <cellStyle name="Migliaia [0] 47 2" xfId="11327" xr:uid="{00000000-0005-0000-0000-0000E9700000}"/>
    <cellStyle name="Migliaia [0] 47 2 2" xfId="20211" xr:uid="{00000000-0005-0000-0000-0000EA700000}"/>
    <cellStyle name="Migliaia [0] 47 2 2 2" xfId="37721" xr:uid="{00000000-0005-0000-0000-0000EB700000}"/>
    <cellStyle name="Migliaia [0] 47 2 3" xfId="38676" xr:uid="{00000000-0005-0000-0000-0000EC700000}"/>
    <cellStyle name="Migliaia [0] 47 3" xfId="12008" xr:uid="{00000000-0005-0000-0000-0000ED700000}"/>
    <cellStyle name="Migliaia [0] 47 3 2" xfId="30193" xr:uid="{00000000-0005-0000-0000-0000EE700000}"/>
    <cellStyle name="Migliaia [0] 47 4" xfId="19211" xr:uid="{00000000-0005-0000-0000-0000EF700000}"/>
    <cellStyle name="Migliaia [0] 47 4 2" xfId="37175" xr:uid="{00000000-0005-0000-0000-0000F0700000}"/>
    <cellStyle name="Migliaia [0] 47 5" xfId="3188" xr:uid="{00000000-0005-0000-0000-0000F1700000}"/>
    <cellStyle name="Migliaia [0] 47 5 2" xfId="23188" xr:uid="{00000000-0005-0000-0000-0000F2700000}"/>
    <cellStyle name="Migliaia [0] 47 6" xfId="21339" xr:uid="{00000000-0005-0000-0000-0000F3700000}"/>
    <cellStyle name="Migliaia [0] 47 7" xfId="38130" xr:uid="{00000000-0005-0000-0000-0000F4700000}"/>
    <cellStyle name="Migliaia [0] 47 8" xfId="39092" xr:uid="{00000000-0005-0000-0000-0000F5700000}"/>
    <cellStyle name="Migliaia [0] 47 9" xfId="39492" xr:uid="{00000000-0005-0000-0000-0000F6700000}"/>
    <cellStyle name="Migliaia [0] 48" xfId="409" xr:uid="{00000000-0005-0000-0000-0000F7700000}"/>
    <cellStyle name="Migliaia [0] 48 10" xfId="39979" xr:uid="{00000000-0005-0000-0000-0000F8700000}"/>
    <cellStyle name="Migliaia [0] 48 2" xfId="11328" xr:uid="{00000000-0005-0000-0000-0000F9700000}"/>
    <cellStyle name="Migliaia [0] 48 2 2" xfId="20212" xr:uid="{00000000-0005-0000-0000-0000FA700000}"/>
    <cellStyle name="Migliaia [0] 48 2 2 2" xfId="37722" xr:uid="{00000000-0005-0000-0000-0000FB700000}"/>
    <cellStyle name="Migliaia [0] 48 2 3" xfId="38677" xr:uid="{00000000-0005-0000-0000-0000FC700000}"/>
    <cellStyle name="Migliaia [0] 48 3" xfId="12009" xr:uid="{00000000-0005-0000-0000-0000FD700000}"/>
    <cellStyle name="Migliaia [0] 48 3 2" xfId="30194" xr:uid="{00000000-0005-0000-0000-0000FE700000}"/>
    <cellStyle name="Migliaia [0] 48 4" xfId="19212" xr:uid="{00000000-0005-0000-0000-0000FF700000}"/>
    <cellStyle name="Migliaia [0] 48 4 2" xfId="37176" xr:uid="{00000000-0005-0000-0000-000000710000}"/>
    <cellStyle name="Migliaia [0] 48 5" xfId="3189" xr:uid="{00000000-0005-0000-0000-000001710000}"/>
    <cellStyle name="Migliaia [0] 48 5 2" xfId="23189" xr:uid="{00000000-0005-0000-0000-000002710000}"/>
    <cellStyle name="Migliaia [0] 48 6" xfId="21340" xr:uid="{00000000-0005-0000-0000-000003710000}"/>
    <cellStyle name="Migliaia [0] 48 7" xfId="38131" xr:uid="{00000000-0005-0000-0000-000004710000}"/>
    <cellStyle name="Migliaia [0] 48 8" xfId="39093" xr:uid="{00000000-0005-0000-0000-000005710000}"/>
    <cellStyle name="Migliaia [0] 48 9" xfId="39493" xr:uid="{00000000-0005-0000-0000-000006710000}"/>
    <cellStyle name="Migliaia [0] 49" xfId="410" xr:uid="{00000000-0005-0000-0000-000007710000}"/>
    <cellStyle name="Migliaia [0] 49 10" xfId="39980" xr:uid="{00000000-0005-0000-0000-000008710000}"/>
    <cellStyle name="Migliaia [0] 49 2" xfId="11329" xr:uid="{00000000-0005-0000-0000-000009710000}"/>
    <cellStyle name="Migliaia [0] 49 2 2" xfId="20213" xr:uid="{00000000-0005-0000-0000-00000A710000}"/>
    <cellStyle name="Migliaia [0] 49 2 2 2" xfId="37723" xr:uid="{00000000-0005-0000-0000-00000B710000}"/>
    <cellStyle name="Migliaia [0] 49 2 3" xfId="38678" xr:uid="{00000000-0005-0000-0000-00000C710000}"/>
    <cellStyle name="Migliaia [0] 49 3" xfId="12010" xr:uid="{00000000-0005-0000-0000-00000D710000}"/>
    <cellStyle name="Migliaia [0] 49 3 2" xfId="30195" xr:uid="{00000000-0005-0000-0000-00000E710000}"/>
    <cellStyle name="Migliaia [0] 49 4" xfId="19213" xr:uid="{00000000-0005-0000-0000-00000F710000}"/>
    <cellStyle name="Migliaia [0] 49 4 2" xfId="37177" xr:uid="{00000000-0005-0000-0000-000010710000}"/>
    <cellStyle name="Migliaia [0] 49 5" xfId="3190" xr:uid="{00000000-0005-0000-0000-000011710000}"/>
    <cellStyle name="Migliaia [0] 49 5 2" xfId="23190" xr:uid="{00000000-0005-0000-0000-000012710000}"/>
    <cellStyle name="Migliaia [0] 49 6" xfId="21341" xr:uid="{00000000-0005-0000-0000-000013710000}"/>
    <cellStyle name="Migliaia [0] 49 7" xfId="38132" xr:uid="{00000000-0005-0000-0000-000014710000}"/>
    <cellStyle name="Migliaia [0] 49 8" xfId="39094" xr:uid="{00000000-0005-0000-0000-000015710000}"/>
    <cellStyle name="Migliaia [0] 49 9" xfId="39494" xr:uid="{00000000-0005-0000-0000-000016710000}"/>
    <cellStyle name="Migliaia [0] 5" xfId="411" xr:uid="{00000000-0005-0000-0000-000017710000}"/>
    <cellStyle name="Migliaia [0] 5 10" xfId="39981" xr:uid="{00000000-0005-0000-0000-000018710000}"/>
    <cellStyle name="Migliaia [0] 5 2" xfId="11330" xr:uid="{00000000-0005-0000-0000-000019710000}"/>
    <cellStyle name="Migliaia [0] 5 2 2" xfId="20214" xr:uid="{00000000-0005-0000-0000-00001A710000}"/>
    <cellStyle name="Migliaia [0] 5 2 2 2" xfId="37724" xr:uid="{00000000-0005-0000-0000-00001B710000}"/>
    <cellStyle name="Migliaia [0] 5 2 3" xfId="38679" xr:uid="{00000000-0005-0000-0000-00001C710000}"/>
    <cellStyle name="Migliaia [0] 5 3" xfId="12011" xr:uid="{00000000-0005-0000-0000-00001D710000}"/>
    <cellStyle name="Migliaia [0] 5 3 2" xfId="30196" xr:uid="{00000000-0005-0000-0000-00001E710000}"/>
    <cellStyle name="Migliaia [0] 5 4" xfId="19214" xr:uid="{00000000-0005-0000-0000-00001F710000}"/>
    <cellStyle name="Migliaia [0] 5 4 2" xfId="37178" xr:uid="{00000000-0005-0000-0000-000020710000}"/>
    <cellStyle name="Migliaia [0] 5 5" xfId="3191" xr:uid="{00000000-0005-0000-0000-000021710000}"/>
    <cellStyle name="Migliaia [0] 5 5 2" xfId="23191" xr:uid="{00000000-0005-0000-0000-000022710000}"/>
    <cellStyle name="Migliaia [0] 5 6" xfId="21342" xr:uid="{00000000-0005-0000-0000-000023710000}"/>
    <cellStyle name="Migliaia [0] 5 7" xfId="38133" xr:uid="{00000000-0005-0000-0000-000024710000}"/>
    <cellStyle name="Migliaia [0] 5 8" xfId="39095" xr:uid="{00000000-0005-0000-0000-000025710000}"/>
    <cellStyle name="Migliaia [0] 5 9" xfId="39495" xr:uid="{00000000-0005-0000-0000-000026710000}"/>
    <cellStyle name="Migliaia [0] 50" xfId="412" xr:uid="{00000000-0005-0000-0000-000027710000}"/>
    <cellStyle name="Migliaia [0] 50 10" xfId="39982" xr:uid="{00000000-0005-0000-0000-000028710000}"/>
    <cellStyle name="Migliaia [0] 50 2" xfId="11331" xr:uid="{00000000-0005-0000-0000-000029710000}"/>
    <cellStyle name="Migliaia [0] 50 2 2" xfId="20215" xr:uid="{00000000-0005-0000-0000-00002A710000}"/>
    <cellStyle name="Migliaia [0] 50 2 2 2" xfId="37725" xr:uid="{00000000-0005-0000-0000-00002B710000}"/>
    <cellStyle name="Migliaia [0] 50 2 3" xfId="38680" xr:uid="{00000000-0005-0000-0000-00002C710000}"/>
    <cellStyle name="Migliaia [0] 50 3" xfId="12012" xr:uid="{00000000-0005-0000-0000-00002D710000}"/>
    <cellStyle name="Migliaia [0] 50 3 2" xfId="30197" xr:uid="{00000000-0005-0000-0000-00002E710000}"/>
    <cellStyle name="Migliaia [0] 50 4" xfId="19215" xr:uid="{00000000-0005-0000-0000-00002F710000}"/>
    <cellStyle name="Migliaia [0] 50 4 2" xfId="37179" xr:uid="{00000000-0005-0000-0000-000030710000}"/>
    <cellStyle name="Migliaia [0] 50 5" xfId="3192" xr:uid="{00000000-0005-0000-0000-000031710000}"/>
    <cellStyle name="Migliaia [0] 50 5 2" xfId="23192" xr:uid="{00000000-0005-0000-0000-000032710000}"/>
    <cellStyle name="Migliaia [0] 50 6" xfId="21343" xr:uid="{00000000-0005-0000-0000-000033710000}"/>
    <cellStyle name="Migliaia [0] 50 7" xfId="38134" xr:uid="{00000000-0005-0000-0000-000034710000}"/>
    <cellStyle name="Migliaia [0] 50 8" xfId="39096" xr:uid="{00000000-0005-0000-0000-000035710000}"/>
    <cellStyle name="Migliaia [0] 50 9" xfId="39496" xr:uid="{00000000-0005-0000-0000-000036710000}"/>
    <cellStyle name="Migliaia [0] 51" xfId="413" xr:uid="{00000000-0005-0000-0000-000037710000}"/>
    <cellStyle name="Migliaia [0] 51 10" xfId="39983" xr:uid="{00000000-0005-0000-0000-000038710000}"/>
    <cellStyle name="Migliaia [0] 51 2" xfId="11332" xr:uid="{00000000-0005-0000-0000-000039710000}"/>
    <cellStyle name="Migliaia [0] 51 2 2" xfId="20216" xr:uid="{00000000-0005-0000-0000-00003A710000}"/>
    <cellStyle name="Migliaia [0] 51 2 2 2" xfId="37726" xr:uid="{00000000-0005-0000-0000-00003B710000}"/>
    <cellStyle name="Migliaia [0] 51 2 3" xfId="38681" xr:uid="{00000000-0005-0000-0000-00003C710000}"/>
    <cellStyle name="Migliaia [0] 51 3" xfId="12013" xr:uid="{00000000-0005-0000-0000-00003D710000}"/>
    <cellStyle name="Migliaia [0] 51 3 2" xfId="30198" xr:uid="{00000000-0005-0000-0000-00003E710000}"/>
    <cellStyle name="Migliaia [0] 51 4" xfId="19216" xr:uid="{00000000-0005-0000-0000-00003F710000}"/>
    <cellStyle name="Migliaia [0] 51 4 2" xfId="37180" xr:uid="{00000000-0005-0000-0000-000040710000}"/>
    <cellStyle name="Migliaia [0] 51 5" xfId="3193" xr:uid="{00000000-0005-0000-0000-000041710000}"/>
    <cellStyle name="Migliaia [0] 51 5 2" xfId="23193" xr:uid="{00000000-0005-0000-0000-000042710000}"/>
    <cellStyle name="Migliaia [0] 51 6" xfId="21344" xr:uid="{00000000-0005-0000-0000-000043710000}"/>
    <cellStyle name="Migliaia [0] 51 7" xfId="38135" xr:uid="{00000000-0005-0000-0000-000044710000}"/>
    <cellStyle name="Migliaia [0] 51 8" xfId="39097" xr:uid="{00000000-0005-0000-0000-000045710000}"/>
    <cellStyle name="Migliaia [0] 51 9" xfId="39497" xr:uid="{00000000-0005-0000-0000-000046710000}"/>
    <cellStyle name="Migliaia [0] 52" xfId="414" xr:uid="{00000000-0005-0000-0000-000047710000}"/>
    <cellStyle name="Migliaia [0] 52 10" xfId="39984" xr:uid="{00000000-0005-0000-0000-000048710000}"/>
    <cellStyle name="Migliaia [0] 52 2" xfId="11333" xr:uid="{00000000-0005-0000-0000-000049710000}"/>
    <cellStyle name="Migliaia [0] 52 2 2" xfId="20217" xr:uid="{00000000-0005-0000-0000-00004A710000}"/>
    <cellStyle name="Migliaia [0] 52 2 2 2" xfId="37727" xr:uid="{00000000-0005-0000-0000-00004B710000}"/>
    <cellStyle name="Migliaia [0] 52 2 3" xfId="38682" xr:uid="{00000000-0005-0000-0000-00004C710000}"/>
    <cellStyle name="Migliaia [0] 52 3" xfId="12014" xr:uid="{00000000-0005-0000-0000-00004D710000}"/>
    <cellStyle name="Migliaia [0] 52 3 2" xfId="30199" xr:uid="{00000000-0005-0000-0000-00004E710000}"/>
    <cellStyle name="Migliaia [0] 52 4" xfId="19217" xr:uid="{00000000-0005-0000-0000-00004F710000}"/>
    <cellStyle name="Migliaia [0] 52 4 2" xfId="37181" xr:uid="{00000000-0005-0000-0000-000050710000}"/>
    <cellStyle name="Migliaia [0] 52 5" xfId="3194" xr:uid="{00000000-0005-0000-0000-000051710000}"/>
    <cellStyle name="Migliaia [0] 52 5 2" xfId="23194" xr:uid="{00000000-0005-0000-0000-000052710000}"/>
    <cellStyle name="Migliaia [0] 52 6" xfId="21345" xr:uid="{00000000-0005-0000-0000-000053710000}"/>
    <cellStyle name="Migliaia [0] 52 7" xfId="38136" xr:uid="{00000000-0005-0000-0000-000054710000}"/>
    <cellStyle name="Migliaia [0] 52 8" xfId="39098" xr:uid="{00000000-0005-0000-0000-000055710000}"/>
    <cellStyle name="Migliaia [0] 52 9" xfId="39498" xr:uid="{00000000-0005-0000-0000-000056710000}"/>
    <cellStyle name="Migliaia [0] 53" xfId="415" xr:uid="{00000000-0005-0000-0000-000057710000}"/>
    <cellStyle name="Migliaia [0] 53 10" xfId="39985" xr:uid="{00000000-0005-0000-0000-000058710000}"/>
    <cellStyle name="Migliaia [0] 53 2" xfId="11334" xr:uid="{00000000-0005-0000-0000-000059710000}"/>
    <cellStyle name="Migliaia [0] 53 2 2" xfId="20218" xr:uid="{00000000-0005-0000-0000-00005A710000}"/>
    <cellStyle name="Migliaia [0] 53 2 2 2" xfId="37728" xr:uid="{00000000-0005-0000-0000-00005B710000}"/>
    <cellStyle name="Migliaia [0] 53 2 3" xfId="38683" xr:uid="{00000000-0005-0000-0000-00005C710000}"/>
    <cellStyle name="Migliaia [0] 53 3" xfId="12015" xr:uid="{00000000-0005-0000-0000-00005D710000}"/>
    <cellStyle name="Migliaia [0] 53 3 2" xfId="30200" xr:uid="{00000000-0005-0000-0000-00005E710000}"/>
    <cellStyle name="Migliaia [0] 53 4" xfId="19218" xr:uid="{00000000-0005-0000-0000-00005F710000}"/>
    <cellStyle name="Migliaia [0] 53 4 2" xfId="37182" xr:uid="{00000000-0005-0000-0000-000060710000}"/>
    <cellStyle name="Migliaia [0] 53 5" xfId="3195" xr:uid="{00000000-0005-0000-0000-000061710000}"/>
    <cellStyle name="Migliaia [0] 53 5 2" xfId="23195" xr:uid="{00000000-0005-0000-0000-000062710000}"/>
    <cellStyle name="Migliaia [0] 53 6" xfId="21346" xr:uid="{00000000-0005-0000-0000-000063710000}"/>
    <cellStyle name="Migliaia [0] 53 7" xfId="38137" xr:uid="{00000000-0005-0000-0000-000064710000}"/>
    <cellStyle name="Migliaia [0] 53 8" xfId="39099" xr:uid="{00000000-0005-0000-0000-000065710000}"/>
    <cellStyle name="Migliaia [0] 53 9" xfId="39499" xr:uid="{00000000-0005-0000-0000-000066710000}"/>
    <cellStyle name="Migliaia [0] 54" xfId="416" xr:uid="{00000000-0005-0000-0000-000067710000}"/>
    <cellStyle name="Migliaia [0] 54 10" xfId="39986" xr:uid="{00000000-0005-0000-0000-000068710000}"/>
    <cellStyle name="Migliaia [0] 54 2" xfId="11335" xr:uid="{00000000-0005-0000-0000-000069710000}"/>
    <cellStyle name="Migliaia [0] 54 2 2" xfId="20219" xr:uid="{00000000-0005-0000-0000-00006A710000}"/>
    <cellStyle name="Migliaia [0] 54 2 2 2" xfId="37729" xr:uid="{00000000-0005-0000-0000-00006B710000}"/>
    <cellStyle name="Migliaia [0] 54 2 3" xfId="38684" xr:uid="{00000000-0005-0000-0000-00006C710000}"/>
    <cellStyle name="Migliaia [0] 54 3" xfId="12016" xr:uid="{00000000-0005-0000-0000-00006D710000}"/>
    <cellStyle name="Migliaia [0] 54 3 2" xfId="30201" xr:uid="{00000000-0005-0000-0000-00006E710000}"/>
    <cellStyle name="Migliaia [0] 54 4" xfId="19219" xr:uid="{00000000-0005-0000-0000-00006F710000}"/>
    <cellStyle name="Migliaia [0] 54 4 2" xfId="37183" xr:uid="{00000000-0005-0000-0000-000070710000}"/>
    <cellStyle name="Migliaia [0] 54 5" xfId="3196" xr:uid="{00000000-0005-0000-0000-000071710000}"/>
    <cellStyle name="Migliaia [0] 54 5 2" xfId="23196" xr:uid="{00000000-0005-0000-0000-000072710000}"/>
    <cellStyle name="Migliaia [0] 54 6" xfId="21347" xr:uid="{00000000-0005-0000-0000-000073710000}"/>
    <cellStyle name="Migliaia [0] 54 7" xfId="38138" xr:uid="{00000000-0005-0000-0000-000074710000}"/>
    <cellStyle name="Migliaia [0] 54 8" xfId="39100" xr:uid="{00000000-0005-0000-0000-000075710000}"/>
    <cellStyle name="Migliaia [0] 54 9" xfId="39500" xr:uid="{00000000-0005-0000-0000-000076710000}"/>
    <cellStyle name="Migliaia [0] 55" xfId="417" xr:uid="{00000000-0005-0000-0000-000077710000}"/>
    <cellStyle name="Migliaia [0] 55 10" xfId="39987" xr:uid="{00000000-0005-0000-0000-000078710000}"/>
    <cellStyle name="Migliaia [0] 55 2" xfId="11336" xr:uid="{00000000-0005-0000-0000-000079710000}"/>
    <cellStyle name="Migliaia [0] 55 2 2" xfId="20220" xr:uid="{00000000-0005-0000-0000-00007A710000}"/>
    <cellStyle name="Migliaia [0] 55 2 2 2" xfId="37730" xr:uid="{00000000-0005-0000-0000-00007B710000}"/>
    <cellStyle name="Migliaia [0] 55 2 3" xfId="38685" xr:uid="{00000000-0005-0000-0000-00007C710000}"/>
    <cellStyle name="Migliaia [0] 55 3" xfId="12017" xr:uid="{00000000-0005-0000-0000-00007D710000}"/>
    <cellStyle name="Migliaia [0] 55 3 2" xfId="30202" xr:uid="{00000000-0005-0000-0000-00007E710000}"/>
    <cellStyle name="Migliaia [0] 55 4" xfId="19220" xr:uid="{00000000-0005-0000-0000-00007F710000}"/>
    <cellStyle name="Migliaia [0] 55 4 2" xfId="37184" xr:uid="{00000000-0005-0000-0000-000080710000}"/>
    <cellStyle name="Migliaia [0] 55 5" xfId="3197" xr:uid="{00000000-0005-0000-0000-000081710000}"/>
    <cellStyle name="Migliaia [0] 55 5 2" xfId="23197" xr:uid="{00000000-0005-0000-0000-000082710000}"/>
    <cellStyle name="Migliaia [0] 55 6" xfId="21348" xr:uid="{00000000-0005-0000-0000-000083710000}"/>
    <cellStyle name="Migliaia [0] 55 7" xfId="38139" xr:uid="{00000000-0005-0000-0000-000084710000}"/>
    <cellStyle name="Migliaia [0] 55 8" xfId="39101" xr:uid="{00000000-0005-0000-0000-000085710000}"/>
    <cellStyle name="Migliaia [0] 55 9" xfId="39501" xr:uid="{00000000-0005-0000-0000-000086710000}"/>
    <cellStyle name="Migliaia [0] 56" xfId="418" xr:uid="{00000000-0005-0000-0000-000087710000}"/>
    <cellStyle name="Migliaia [0] 56 10" xfId="39988" xr:uid="{00000000-0005-0000-0000-000088710000}"/>
    <cellStyle name="Migliaia [0] 56 2" xfId="11337" xr:uid="{00000000-0005-0000-0000-000089710000}"/>
    <cellStyle name="Migliaia [0] 56 2 2" xfId="20221" xr:uid="{00000000-0005-0000-0000-00008A710000}"/>
    <cellStyle name="Migliaia [0] 56 2 2 2" xfId="37731" xr:uid="{00000000-0005-0000-0000-00008B710000}"/>
    <cellStyle name="Migliaia [0] 56 2 3" xfId="38686" xr:uid="{00000000-0005-0000-0000-00008C710000}"/>
    <cellStyle name="Migliaia [0] 56 3" xfId="12018" xr:uid="{00000000-0005-0000-0000-00008D710000}"/>
    <cellStyle name="Migliaia [0] 56 3 2" xfId="30203" xr:uid="{00000000-0005-0000-0000-00008E710000}"/>
    <cellStyle name="Migliaia [0] 56 4" xfId="19221" xr:uid="{00000000-0005-0000-0000-00008F710000}"/>
    <cellStyle name="Migliaia [0] 56 4 2" xfId="37185" xr:uid="{00000000-0005-0000-0000-000090710000}"/>
    <cellStyle name="Migliaia [0] 56 5" xfId="3198" xr:uid="{00000000-0005-0000-0000-000091710000}"/>
    <cellStyle name="Migliaia [0] 56 5 2" xfId="23198" xr:uid="{00000000-0005-0000-0000-000092710000}"/>
    <cellStyle name="Migliaia [0] 56 6" xfId="21349" xr:uid="{00000000-0005-0000-0000-000093710000}"/>
    <cellStyle name="Migliaia [0] 56 7" xfId="38140" xr:uid="{00000000-0005-0000-0000-000094710000}"/>
    <cellStyle name="Migliaia [0] 56 8" xfId="39102" xr:uid="{00000000-0005-0000-0000-000095710000}"/>
    <cellStyle name="Migliaia [0] 56 9" xfId="39502" xr:uid="{00000000-0005-0000-0000-000096710000}"/>
    <cellStyle name="Migliaia [0] 57" xfId="419" xr:uid="{00000000-0005-0000-0000-000097710000}"/>
    <cellStyle name="Migliaia [0] 57 10" xfId="39989" xr:uid="{00000000-0005-0000-0000-000098710000}"/>
    <cellStyle name="Migliaia [0] 57 2" xfId="11338" xr:uid="{00000000-0005-0000-0000-000099710000}"/>
    <cellStyle name="Migliaia [0] 57 2 2" xfId="20222" xr:uid="{00000000-0005-0000-0000-00009A710000}"/>
    <cellStyle name="Migliaia [0] 57 2 2 2" xfId="37732" xr:uid="{00000000-0005-0000-0000-00009B710000}"/>
    <cellStyle name="Migliaia [0] 57 2 3" xfId="38687" xr:uid="{00000000-0005-0000-0000-00009C710000}"/>
    <cellStyle name="Migliaia [0] 57 3" xfId="12019" xr:uid="{00000000-0005-0000-0000-00009D710000}"/>
    <cellStyle name="Migliaia [0] 57 3 2" xfId="30204" xr:uid="{00000000-0005-0000-0000-00009E710000}"/>
    <cellStyle name="Migliaia [0] 57 4" xfId="19222" xr:uid="{00000000-0005-0000-0000-00009F710000}"/>
    <cellStyle name="Migliaia [0] 57 4 2" xfId="37186" xr:uid="{00000000-0005-0000-0000-0000A0710000}"/>
    <cellStyle name="Migliaia [0] 57 5" xfId="3199" xr:uid="{00000000-0005-0000-0000-0000A1710000}"/>
    <cellStyle name="Migliaia [0] 57 5 2" xfId="23199" xr:uid="{00000000-0005-0000-0000-0000A2710000}"/>
    <cellStyle name="Migliaia [0] 57 6" xfId="21350" xr:uid="{00000000-0005-0000-0000-0000A3710000}"/>
    <cellStyle name="Migliaia [0] 57 7" xfId="38141" xr:uid="{00000000-0005-0000-0000-0000A4710000}"/>
    <cellStyle name="Migliaia [0] 57 8" xfId="39103" xr:uid="{00000000-0005-0000-0000-0000A5710000}"/>
    <cellStyle name="Migliaia [0] 57 9" xfId="39503" xr:uid="{00000000-0005-0000-0000-0000A6710000}"/>
    <cellStyle name="Migliaia [0] 58" xfId="420" xr:uid="{00000000-0005-0000-0000-0000A7710000}"/>
    <cellStyle name="Migliaia [0] 58 10" xfId="39990" xr:uid="{00000000-0005-0000-0000-0000A8710000}"/>
    <cellStyle name="Migliaia [0] 58 2" xfId="11339" xr:uid="{00000000-0005-0000-0000-0000A9710000}"/>
    <cellStyle name="Migliaia [0] 58 2 2" xfId="20223" xr:uid="{00000000-0005-0000-0000-0000AA710000}"/>
    <cellStyle name="Migliaia [0] 58 2 2 2" xfId="37733" xr:uid="{00000000-0005-0000-0000-0000AB710000}"/>
    <cellStyle name="Migliaia [0] 58 2 3" xfId="38688" xr:uid="{00000000-0005-0000-0000-0000AC710000}"/>
    <cellStyle name="Migliaia [0] 58 3" xfId="12020" xr:uid="{00000000-0005-0000-0000-0000AD710000}"/>
    <cellStyle name="Migliaia [0] 58 3 2" xfId="30205" xr:uid="{00000000-0005-0000-0000-0000AE710000}"/>
    <cellStyle name="Migliaia [0] 58 4" xfId="19223" xr:uid="{00000000-0005-0000-0000-0000AF710000}"/>
    <cellStyle name="Migliaia [0] 58 4 2" xfId="37187" xr:uid="{00000000-0005-0000-0000-0000B0710000}"/>
    <cellStyle name="Migliaia [0] 58 5" xfId="3200" xr:uid="{00000000-0005-0000-0000-0000B1710000}"/>
    <cellStyle name="Migliaia [0] 58 5 2" xfId="23200" xr:uid="{00000000-0005-0000-0000-0000B2710000}"/>
    <cellStyle name="Migliaia [0] 58 6" xfId="21351" xr:uid="{00000000-0005-0000-0000-0000B3710000}"/>
    <cellStyle name="Migliaia [0] 58 7" xfId="38142" xr:uid="{00000000-0005-0000-0000-0000B4710000}"/>
    <cellStyle name="Migliaia [0] 58 8" xfId="39104" xr:uid="{00000000-0005-0000-0000-0000B5710000}"/>
    <cellStyle name="Migliaia [0] 58 9" xfId="39504" xr:uid="{00000000-0005-0000-0000-0000B6710000}"/>
    <cellStyle name="Migliaia [0] 59" xfId="421" xr:uid="{00000000-0005-0000-0000-0000B7710000}"/>
    <cellStyle name="Migliaia [0] 59 10" xfId="39991" xr:uid="{00000000-0005-0000-0000-0000B8710000}"/>
    <cellStyle name="Migliaia [0] 59 2" xfId="11340" xr:uid="{00000000-0005-0000-0000-0000B9710000}"/>
    <cellStyle name="Migliaia [0] 59 2 2" xfId="20224" xr:uid="{00000000-0005-0000-0000-0000BA710000}"/>
    <cellStyle name="Migliaia [0] 59 2 2 2" xfId="37734" xr:uid="{00000000-0005-0000-0000-0000BB710000}"/>
    <cellStyle name="Migliaia [0] 59 2 3" xfId="38689" xr:uid="{00000000-0005-0000-0000-0000BC710000}"/>
    <cellStyle name="Migliaia [0] 59 3" xfId="12021" xr:uid="{00000000-0005-0000-0000-0000BD710000}"/>
    <cellStyle name="Migliaia [0] 59 3 2" xfId="30206" xr:uid="{00000000-0005-0000-0000-0000BE710000}"/>
    <cellStyle name="Migliaia [0] 59 4" xfId="19224" xr:uid="{00000000-0005-0000-0000-0000BF710000}"/>
    <cellStyle name="Migliaia [0] 59 4 2" xfId="37188" xr:uid="{00000000-0005-0000-0000-0000C0710000}"/>
    <cellStyle name="Migliaia [0] 59 5" xfId="3201" xr:uid="{00000000-0005-0000-0000-0000C1710000}"/>
    <cellStyle name="Migliaia [0] 59 5 2" xfId="23201" xr:uid="{00000000-0005-0000-0000-0000C2710000}"/>
    <cellStyle name="Migliaia [0] 59 6" xfId="21352" xr:uid="{00000000-0005-0000-0000-0000C3710000}"/>
    <cellStyle name="Migliaia [0] 59 7" xfId="38143" xr:uid="{00000000-0005-0000-0000-0000C4710000}"/>
    <cellStyle name="Migliaia [0] 59 8" xfId="39105" xr:uid="{00000000-0005-0000-0000-0000C5710000}"/>
    <cellStyle name="Migliaia [0] 59 9" xfId="39505" xr:uid="{00000000-0005-0000-0000-0000C6710000}"/>
    <cellStyle name="Migliaia [0] 6" xfId="422" xr:uid="{00000000-0005-0000-0000-0000C7710000}"/>
    <cellStyle name="Migliaia [0] 6 10" xfId="39992" xr:uid="{00000000-0005-0000-0000-0000C8710000}"/>
    <cellStyle name="Migliaia [0] 6 2" xfId="11341" xr:uid="{00000000-0005-0000-0000-0000C9710000}"/>
    <cellStyle name="Migliaia [0] 6 2 2" xfId="20225" xr:uid="{00000000-0005-0000-0000-0000CA710000}"/>
    <cellStyle name="Migliaia [0] 6 2 2 2" xfId="37735" xr:uid="{00000000-0005-0000-0000-0000CB710000}"/>
    <cellStyle name="Migliaia [0] 6 2 3" xfId="38690" xr:uid="{00000000-0005-0000-0000-0000CC710000}"/>
    <cellStyle name="Migliaia [0] 6 3" xfId="12022" xr:uid="{00000000-0005-0000-0000-0000CD710000}"/>
    <cellStyle name="Migliaia [0] 6 3 2" xfId="30207" xr:uid="{00000000-0005-0000-0000-0000CE710000}"/>
    <cellStyle name="Migliaia [0] 6 4" xfId="19225" xr:uid="{00000000-0005-0000-0000-0000CF710000}"/>
    <cellStyle name="Migliaia [0] 6 4 2" xfId="37189" xr:uid="{00000000-0005-0000-0000-0000D0710000}"/>
    <cellStyle name="Migliaia [0] 6 5" xfId="3202" xr:uid="{00000000-0005-0000-0000-0000D1710000}"/>
    <cellStyle name="Migliaia [0] 6 5 2" xfId="23202" xr:uid="{00000000-0005-0000-0000-0000D2710000}"/>
    <cellStyle name="Migliaia [0] 6 6" xfId="21353" xr:uid="{00000000-0005-0000-0000-0000D3710000}"/>
    <cellStyle name="Migliaia [0] 6 7" xfId="38144" xr:uid="{00000000-0005-0000-0000-0000D4710000}"/>
    <cellStyle name="Migliaia [0] 6 8" xfId="39106" xr:uid="{00000000-0005-0000-0000-0000D5710000}"/>
    <cellStyle name="Migliaia [0] 6 9" xfId="39506" xr:uid="{00000000-0005-0000-0000-0000D6710000}"/>
    <cellStyle name="Migliaia [0] 7" xfId="423" xr:uid="{00000000-0005-0000-0000-0000D7710000}"/>
    <cellStyle name="Migliaia [0] 7 10" xfId="39993" xr:uid="{00000000-0005-0000-0000-0000D8710000}"/>
    <cellStyle name="Migliaia [0] 7 2" xfId="11342" xr:uid="{00000000-0005-0000-0000-0000D9710000}"/>
    <cellStyle name="Migliaia [0] 7 2 2" xfId="20226" xr:uid="{00000000-0005-0000-0000-0000DA710000}"/>
    <cellStyle name="Migliaia [0] 7 2 2 2" xfId="37736" xr:uid="{00000000-0005-0000-0000-0000DB710000}"/>
    <cellStyle name="Migliaia [0] 7 2 3" xfId="38691" xr:uid="{00000000-0005-0000-0000-0000DC710000}"/>
    <cellStyle name="Migliaia [0] 7 3" xfId="12023" xr:uid="{00000000-0005-0000-0000-0000DD710000}"/>
    <cellStyle name="Migliaia [0] 7 3 2" xfId="30208" xr:uid="{00000000-0005-0000-0000-0000DE710000}"/>
    <cellStyle name="Migliaia [0] 7 4" xfId="19226" xr:uid="{00000000-0005-0000-0000-0000DF710000}"/>
    <cellStyle name="Migliaia [0] 7 4 2" xfId="37190" xr:uid="{00000000-0005-0000-0000-0000E0710000}"/>
    <cellStyle name="Migliaia [0] 7 5" xfId="3203" xr:uid="{00000000-0005-0000-0000-0000E1710000}"/>
    <cellStyle name="Migliaia [0] 7 5 2" xfId="23203" xr:uid="{00000000-0005-0000-0000-0000E2710000}"/>
    <cellStyle name="Migliaia [0] 7 6" xfId="21354" xr:uid="{00000000-0005-0000-0000-0000E3710000}"/>
    <cellStyle name="Migliaia [0] 7 7" xfId="38145" xr:uid="{00000000-0005-0000-0000-0000E4710000}"/>
    <cellStyle name="Migliaia [0] 7 8" xfId="39107" xr:uid="{00000000-0005-0000-0000-0000E5710000}"/>
    <cellStyle name="Migliaia [0] 7 9" xfId="39507" xr:uid="{00000000-0005-0000-0000-0000E6710000}"/>
    <cellStyle name="Migliaia [0] 8" xfId="424" xr:uid="{00000000-0005-0000-0000-0000E7710000}"/>
    <cellStyle name="Migliaia [0] 8 10" xfId="39994" xr:uid="{00000000-0005-0000-0000-0000E8710000}"/>
    <cellStyle name="Migliaia [0] 8 2" xfId="11343" xr:uid="{00000000-0005-0000-0000-0000E9710000}"/>
    <cellStyle name="Migliaia [0] 8 2 2" xfId="20227" xr:uid="{00000000-0005-0000-0000-0000EA710000}"/>
    <cellStyle name="Migliaia [0] 8 2 2 2" xfId="37737" xr:uid="{00000000-0005-0000-0000-0000EB710000}"/>
    <cellStyle name="Migliaia [0] 8 2 3" xfId="38692" xr:uid="{00000000-0005-0000-0000-0000EC710000}"/>
    <cellStyle name="Migliaia [0] 8 3" xfId="12024" xr:uid="{00000000-0005-0000-0000-0000ED710000}"/>
    <cellStyle name="Migliaia [0] 8 3 2" xfId="30209" xr:uid="{00000000-0005-0000-0000-0000EE710000}"/>
    <cellStyle name="Migliaia [0] 8 4" xfId="19227" xr:uid="{00000000-0005-0000-0000-0000EF710000}"/>
    <cellStyle name="Migliaia [0] 8 4 2" xfId="37191" xr:uid="{00000000-0005-0000-0000-0000F0710000}"/>
    <cellStyle name="Migliaia [0] 8 5" xfId="3204" xr:uid="{00000000-0005-0000-0000-0000F1710000}"/>
    <cellStyle name="Migliaia [0] 8 5 2" xfId="23204" xr:uid="{00000000-0005-0000-0000-0000F2710000}"/>
    <cellStyle name="Migliaia [0] 8 6" xfId="21355" xr:uid="{00000000-0005-0000-0000-0000F3710000}"/>
    <cellStyle name="Migliaia [0] 8 7" xfId="38146" xr:uid="{00000000-0005-0000-0000-0000F4710000}"/>
    <cellStyle name="Migliaia [0] 8 8" xfId="39108" xr:uid="{00000000-0005-0000-0000-0000F5710000}"/>
    <cellStyle name="Migliaia [0] 8 9" xfId="39508" xr:uid="{00000000-0005-0000-0000-0000F6710000}"/>
    <cellStyle name="Migliaia [0] 9" xfId="425" xr:uid="{00000000-0005-0000-0000-0000F7710000}"/>
    <cellStyle name="Migliaia [0] 9 10" xfId="39995" xr:uid="{00000000-0005-0000-0000-0000F8710000}"/>
    <cellStyle name="Migliaia [0] 9 2" xfId="11344" xr:uid="{00000000-0005-0000-0000-0000F9710000}"/>
    <cellStyle name="Migliaia [0] 9 2 2" xfId="20228" xr:uid="{00000000-0005-0000-0000-0000FA710000}"/>
    <cellStyle name="Migliaia [0] 9 2 2 2" xfId="37738" xr:uid="{00000000-0005-0000-0000-0000FB710000}"/>
    <cellStyle name="Migliaia [0] 9 2 3" xfId="38693" xr:uid="{00000000-0005-0000-0000-0000FC710000}"/>
    <cellStyle name="Migliaia [0] 9 3" xfId="12025" xr:uid="{00000000-0005-0000-0000-0000FD710000}"/>
    <cellStyle name="Migliaia [0] 9 3 2" xfId="30210" xr:uid="{00000000-0005-0000-0000-0000FE710000}"/>
    <cellStyle name="Migliaia [0] 9 4" xfId="19228" xr:uid="{00000000-0005-0000-0000-0000FF710000}"/>
    <cellStyle name="Migliaia [0] 9 4 2" xfId="37192" xr:uid="{00000000-0005-0000-0000-000000720000}"/>
    <cellStyle name="Migliaia [0] 9 5" xfId="3205" xr:uid="{00000000-0005-0000-0000-000001720000}"/>
    <cellStyle name="Migliaia [0] 9 5 2" xfId="23205" xr:uid="{00000000-0005-0000-0000-000002720000}"/>
    <cellStyle name="Migliaia [0] 9 6" xfId="21356" xr:uid="{00000000-0005-0000-0000-000003720000}"/>
    <cellStyle name="Migliaia [0] 9 7" xfId="38147" xr:uid="{00000000-0005-0000-0000-000004720000}"/>
    <cellStyle name="Migliaia [0] 9 8" xfId="39109" xr:uid="{00000000-0005-0000-0000-000005720000}"/>
    <cellStyle name="Migliaia [0] 9 9" xfId="39509" xr:uid="{00000000-0005-0000-0000-000006720000}"/>
    <cellStyle name="Migliaia 10" xfId="426" xr:uid="{00000000-0005-0000-0000-000007720000}"/>
    <cellStyle name="Migliaia 10 10" xfId="21357" xr:uid="{00000000-0005-0000-0000-000008720000}"/>
    <cellStyle name="Migliaia 10 11" xfId="38148" xr:uid="{00000000-0005-0000-0000-000009720000}"/>
    <cellStyle name="Migliaia 10 12" xfId="39110" xr:uid="{00000000-0005-0000-0000-00000A720000}"/>
    <cellStyle name="Migliaia 10 13" xfId="39510" xr:uid="{00000000-0005-0000-0000-00000B720000}"/>
    <cellStyle name="Migliaia 10 14" xfId="39996" xr:uid="{00000000-0005-0000-0000-00000C720000}"/>
    <cellStyle name="Migliaia 10 2" xfId="427" xr:uid="{00000000-0005-0000-0000-00000D720000}"/>
    <cellStyle name="Migliaia 10 2 10" xfId="39511" xr:uid="{00000000-0005-0000-0000-00000E720000}"/>
    <cellStyle name="Migliaia 10 2 11" xfId="39997" xr:uid="{00000000-0005-0000-0000-00000F720000}"/>
    <cellStyle name="Migliaia 10 2 2" xfId="3538" xr:uid="{00000000-0005-0000-0000-000010720000}"/>
    <cellStyle name="Migliaia 10 2 2 2" xfId="12299" xr:uid="{00000000-0005-0000-0000-000011720000}"/>
    <cellStyle name="Migliaia 10 2 2 2 2" xfId="30469" xr:uid="{00000000-0005-0000-0000-000012720000}"/>
    <cellStyle name="Migliaia 10 2 2 3" xfId="20427" xr:uid="{00000000-0005-0000-0000-000013720000}"/>
    <cellStyle name="Migliaia 10 2 2 3 2" xfId="37744" xr:uid="{00000000-0005-0000-0000-000014720000}"/>
    <cellStyle name="Migliaia 10 2 2 4" xfId="23467" xr:uid="{00000000-0005-0000-0000-000015720000}"/>
    <cellStyle name="Migliaia 10 2 2 5" xfId="38699" xr:uid="{00000000-0005-0000-0000-000016720000}"/>
    <cellStyle name="Migliaia 10 2 2 6" xfId="39383" xr:uid="{00000000-0005-0000-0000-000017720000}"/>
    <cellStyle name="Migliaia 10 2 3" xfId="11346" xr:uid="{00000000-0005-0000-0000-000018720000}"/>
    <cellStyle name="Migliaia 10 2 4" xfId="12027" xr:uid="{00000000-0005-0000-0000-000019720000}"/>
    <cellStyle name="Migliaia 10 2 4 2" xfId="30212" xr:uid="{00000000-0005-0000-0000-00001A720000}"/>
    <cellStyle name="Migliaia 10 2 5" xfId="19230" xr:uid="{00000000-0005-0000-0000-00001B720000}"/>
    <cellStyle name="Migliaia 10 2 5 2" xfId="37194" xr:uid="{00000000-0005-0000-0000-00001C720000}"/>
    <cellStyle name="Migliaia 10 2 6" xfId="3207" xr:uid="{00000000-0005-0000-0000-00001D720000}"/>
    <cellStyle name="Migliaia 10 2 6 2" xfId="23207" xr:uid="{00000000-0005-0000-0000-00001E720000}"/>
    <cellStyle name="Migliaia 10 2 7" xfId="21358" xr:uid="{00000000-0005-0000-0000-00001F720000}"/>
    <cellStyle name="Migliaia 10 2 8" xfId="38149" xr:uid="{00000000-0005-0000-0000-000020720000}"/>
    <cellStyle name="Migliaia 10 2 9" xfId="39111" xr:uid="{00000000-0005-0000-0000-000021720000}"/>
    <cellStyle name="Migliaia 10 3" xfId="428" xr:uid="{00000000-0005-0000-0000-000022720000}"/>
    <cellStyle name="Migliaia 10 3 10" xfId="39512" xr:uid="{00000000-0005-0000-0000-000023720000}"/>
    <cellStyle name="Migliaia 10 3 11" xfId="39998" xr:uid="{00000000-0005-0000-0000-000024720000}"/>
    <cellStyle name="Migliaia 10 3 2" xfId="429" xr:uid="{00000000-0005-0000-0000-000025720000}"/>
    <cellStyle name="Migliaia 10 3 2 10" xfId="39999" xr:uid="{00000000-0005-0000-0000-000026720000}"/>
    <cellStyle name="Migliaia 10 3 2 2" xfId="11348" xr:uid="{00000000-0005-0000-0000-000027720000}"/>
    <cellStyle name="Migliaia 10 3 2 3" xfId="12029" xr:uid="{00000000-0005-0000-0000-000028720000}"/>
    <cellStyle name="Migliaia 10 3 2 3 2" xfId="30214" xr:uid="{00000000-0005-0000-0000-000029720000}"/>
    <cellStyle name="Migliaia 10 3 2 4" xfId="19232" xr:uid="{00000000-0005-0000-0000-00002A720000}"/>
    <cellStyle name="Migliaia 10 3 2 4 2" xfId="37196" xr:uid="{00000000-0005-0000-0000-00002B720000}"/>
    <cellStyle name="Migliaia 10 3 2 5" xfId="3209" xr:uid="{00000000-0005-0000-0000-00002C720000}"/>
    <cellStyle name="Migliaia 10 3 2 5 2" xfId="23209" xr:uid="{00000000-0005-0000-0000-00002D720000}"/>
    <cellStyle name="Migliaia 10 3 2 6" xfId="21360" xr:uid="{00000000-0005-0000-0000-00002E720000}"/>
    <cellStyle name="Migliaia 10 3 2 7" xfId="38151" xr:uid="{00000000-0005-0000-0000-00002F720000}"/>
    <cellStyle name="Migliaia 10 3 2 8" xfId="39113" xr:uid="{00000000-0005-0000-0000-000030720000}"/>
    <cellStyle name="Migliaia 10 3 2 9" xfId="39513" xr:uid="{00000000-0005-0000-0000-000031720000}"/>
    <cellStyle name="Migliaia 10 3 3" xfId="11347" xr:uid="{00000000-0005-0000-0000-000032720000}"/>
    <cellStyle name="Migliaia 10 3 3 2" xfId="20429" xr:uid="{00000000-0005-0000-0000-000033720000}"/>
    <cellStyle name="Migliaia 10 3 3 2 2" xfId="37746" xr:uid="{00000000-0005-0000-0000-000034720000}"/>
    <cellStyle name="Migliaia 10 3 3 2 3" xfId="38701" xr:uid="{00000000-0005-0000-0000-000035720000}"/>
    <cellStyle name="Migliaia 10 3 3 3" xfId="19233" xr:uid="{00000000-0005-0000-0000-000036720000}"/>
    <cellStyle name="Migliaia 10 3 3 3 2" xfId="37197" xr:uid="{00000000-0005-0000-0000-000037720000}"/>
    <cellStyle name="Migliaia 10 3 3 4" xfId="38152" xr:uid="{00000000-0005-0000-0000-000038720000}"/>
    <cellStyle name="Migliaia 10 3 4" xfId="12028" xr:uid="{00000000-0005-0000-0000-000039720000}"/>
    <cellStyle name="Migliaia 10 3 4 2" xfId="20428" xr:uid="{00000000-0005-0000-0000-00003A720000}"/>
    <cellStyle name="Migliaia 10 3 4 2 2" xfId="37745" xr:uid="{00000000-0005-0000-0000-00003B720000}"/>
    <cellStyle name="Migliaia 10 3 4 3" xfId="30213" xr:uid="{00000000-0005-0000-0000-00003C720000}"/>
    <cellStyle name="Migliaia 10 3 4 4" xfId="38700" xr:uid="{00000000-0005-0000-0000-00003D720000}"/>
    <cellStyle name="Migliaia 10 3 5" xfId="19231" xr:uid="{00000000-0005-0000-0000-00003E720000}"/>
    <cellStyle name="Migliaia 10 3 5 2" xfId="37195" xr:uid="{00000000-0005-0000-0000-00003F720000}"/>
    <cellStyle name="Migliaia 10 3 6" xfId="3208" xr:uid="{00000000-0005-0000-0000-000040720000}"/>
    <cellStyle name="Migliaia 10 3 6 2" xfId="23208" xr:uid="{00000000-0005-0000-0000-000041720000}"/>
    <cellStyle name="Migliaia 10 3 7" xfId="21359" xr:uid="{00000000-0005-0000-0000-000042720000}"/>
    <cellStyle name="Migliaia 10 3 8" xfId="38150" xr:uid="{00000000-0005-0000-0000-000043720000}"/>
    <cellStyle name="Migliaia 10 3 9" xfId="39112" xr:uid="{00000000-0005-0000-0000-000044720000}"/>
    <cellStyle name="Migliaia 10 4" xfId="430" xr:uid="{00000000-0005-0000-0000-000045720000}"/>
    <cellStyle name="Migliaia 10 4 2" xfId="19235" xr:uid="{00000000-0005-0000-0000-000046720000}"/>
    <cellStyle name="Migliaia 10 4 2 2" xfId="20431" xr:uid="{00000000-0005-0000-0000-000047720000}"/>
    <cellStyle name="Migliaia 10 4 2 2 2" xfId="37748" xr:uid="{00000000-0005-0000-0000-000048720000}"/>
    <cellStyle name="Migliaia 10 4 2 2 3" xfId="38703" xr:uid="{00000000-0005-0000-0000-000049720000}"/>
    <cellStyle name="Migliaia 10 4 2 3" xfId="37199" xr:uid="{00000000-0005-0000-0000-00004A720000}"/>
    <cellStyle name="Migliaia 10 4 2 4" xfId="38154" xr:uid="{00000000-0005-0000-0000-00004B720000}"/>
    <cellStyle name="Migliaia 10 4 3" xfId="20430" xr:uid="{00000000-0005-0000-0000-00004C720000}"/>
    <cellStyle name="Migliaia 10 4 3 2" xfId="37747" xr:uid="{00000000-0005-0000-0000-00004D720000}"/>
    <cellStyle name="Migliaia 10 4 3 3" xfId="38702" xr:uid="{00000000-0005-0000-0000-00004E720000}"/>
    <cellStyle name="Migliaia 10 4 4" xfId="19234" xr:uid="{00000000-0005-0000-0000-00004F720000}"/>
    <cellStyle name="Migliaia 10 4 4 2" xfId="37198" xr:uid="{00000000-0005-0000-0000-000050720000}"/>
    <cellStyle name="Migliaia 10 4 5" xfId="11349" xr:uid="{00000000-0005-0000-0000-000051720000}"/>
    <cellStyle name="Migliaia 10 4 6" xfId="21361" xr:uid="{00000000-0005-0000-0000-000052720000}"/>
    <cellStyle name="Migliaia 10 4 7" xfId="38153" xr:uid="{00000000-0005-0000-0000-000053720000}"/>
    <cellStyle name="Migliaia 10 4 8" xfId="39514" xr:uid="{00000000-0005-0000-0000-000054720000}"/>
    <cellStyle name="Migliaia 10 4 9" xfId="40000" xr:uid="{00000000-0005-0000-0000-000055720000}"/>
    <cellStyle name="Migliaia 10 5" xfId="431" xr:uid="{00000000-0005-0000-0000-000056720000}"/>
    <cellStyle name="Migliaia 10 5 2" xfId="19236" xr:uid="{00000000-0005-0000-0000-000057720000}"/>
    <cellStyle name="Migliaia 10 5 2 2" xfId="37200" xr:uid="{00000000-0005-0000-0000-000058720000}"/>
    <cellStyle name="Migliaia 10 5 3" xfId="11350" xr:uid="{00000000-0005-0000-0000-000059720000}"/>
    <cellStyle name="Migliaia 10 5 4" xfId="21362" xr:uid="{00000000-0005-0000-0000-00005A720000}"/>
    <cellStyle name="Migliaia 10 5 5" xfId="38155" xr:uid="{00000000-0005-0000-0000-00005B720000}"/>
    <cellStyle name="Migliaia 10 5 6" xfId="39515" xr:uid="{00000000-0005-0000-0000-00005C720000}"/>
    <cellStyle name="Migliaia 10 5 7" xfId="40001" xr:uid="{00000000-0005-0000-0000-00005D720000}"/>
    <cellStyle name="Migliaia 10 6" xfId="432" xr:uid="{00000000-0005-0000-0000-00005E720000}"/>
    <cellStyle name="Migliaia 10 6 2" xfId="11345" xr:uid="{00000000-0005-0000-0000-00005F720000}"/>
    <cellStyle name="Migliaia 10 6 3" xfId="21363" xr:uid="{00000000-0005-0000-0000-000060720000}"/>
    <cellStyle name="Migliaia 10 6 4" xfId="39516" xr:uid="{00000000-0005-0000-0000-000061720000}"/>
    <cellStyle name="Migliaia 10 6 5" xfId="40002" xr:uid="{00000000-0005-0000-0000-000062720000}"/>
    <cellStyle name="Migliaia 10 7" xfId="12026" xr:uid="{00000000-0005-0000-0000-000063720000}"/>
    <cellStyle name="Migliaia 10 7 2" xfId="30211" xr:uid="{00000000-0005-0000-0000-000064720000}"/>
    <cellStyle name="Migliaia 10 8" xfId="19229" xr:uid="{00000000-0005-0000-0000-000065720000}"/>
    <cellStyle name="Migliaia 10 8 2" xfId="37193" xr:uid="{00000000-0005-0000-0000-000066720000}"/>
    <cellStyle name="Migliaia 10 9" xfId="3206" xr:uid="{00000000-0005-0000-0000-000067720000}"/>
    <cellStyle name="Migliaia 10 9 2" xfId="23206" xr:uid="{00000000-0005-0000-0000-000068720000}"/>
    <cellStyle name="Migliaia 11" xfId="433" xr:uid="{00000000-0005-0000-0000-000069720000}"/>
    <cellStyle name="Migliaia 11 10" xfId="21364" xr:uid="{00000000-0005-0000-0000-00006A720000}"/>
    <cellStyle name="Migliaia 11 11" xfId="38156" xr:uid="{00000000-0005-0000-0000-00006B720000}"/>
    <cellStyle name="Migliaia 11 12" xfId="39114" xr:uid="{00000000-0005-0000-0000-00006C720000}"/>
    <cellStyle name="Migliaia 11 13" xfId="39517" xr:uid="{00000000-0005-0000-0000-00006D720000}"/>
    <cellStyle name="Migliaia 11 14" xfId="40003" xr:uid="{00000000-0005-0000-0000-00006E720000}"/>
    <cellStyle name="Migliaia 11 2" xfId="434" xr:uid="{00000000-0005-0000-0000-00006F720000}"/>
    <cellStyle name="Migliaia 11 2 10" xfId="39518" xr:uid="{00000000-0005-0000-0000-000070720000}"/>
    <cellStyle name="Migliaia 11 2 11" xfId="40004" xr:uid="{00000000-0005-0000-0000-000071720000}"/>
    <cellStyle name="Migliaia 11 2 2" xfId="3539" xr:uid="{00000000-0005-0000-0000-000072720000}"/>
    <cellStyle name="Migliaia 11 2 2 2" xfId="12300" xr:uid="{00000000-0005-0000-0000-000073720000}"/>
    <cellStyle name="Migliaia 11 2 2 2 2" xfId="30470" xr:uid="{00000000-0005-0000-0000-000074720000}"/>
    <cellStyle name="Migliaia 11 2 2 3" xfId="20432" xr:uid="{00000000-0005-0000-0000-000075720000}"/>
    <cellStyle name="Migliaia 11 2 2 3 2" xfId="37749" xr:uid="{00000000-0005-0000-0000-000076720000}"/>
    <cellStyle name="Migliaia 11 2 2 4" xfId="23468" xr:uid="{00000000-0005-0000-0000-000077720000}"/>
    <cellStyle name="Migliaia 11 2 2 5" xfId="38704" xr:uid="{00000000-0005-0000-0000-000078720000}"/>
    <cellStyle name="Migliaia 11 2 2 6" xfId="39384" xr:uid="{00000000-0005-0000-0000-000079720000}"/>
    <cellStyle name="Migliaia 11 2 3" xfId="11352" xr:uid="{00000000-0005-0000-0000-00007A720000}"/>
    <cellStyle name="Migliaia 11 2 4" xfId="12031" xr:uid="{00000000-0005-0000-0000-00007B720000}"/>
    <cellStyle name="Migliaia 11 2 4 2" xfId="30216" xr:uid="{00000000-0005-0000-0000-00007C720000}"/>
    <cellStyle name="Migliaia 11 2 5" xfId="19238" xr:uid="{00000000-0005-0000-0000-00007D720000}"/>
    <cellStyle name="Migliaia 11 2 5 2" xfId="37202" xr:uid="{00000000-0005-0000-0000-00007E720000}"/>
    <cellStyle name="Migliaia 11 2 6" xfId="3211" xr:uid="{00000000-0005-0000-0000-00007F720000}"/>
    <cellStyle name="Migliaia 11 2 6 2" xfId="23211" xr:uid="{00000000-0005-0000-0000-000080720000}"/>
    <cellStyle name="Migliaia 11 2 7" xfId="21365" xr:uid="{00000000-0005-0000-0000-000081720000}"/>
    <cellStyle name="Migliaia 11 2 8" xfId="38157" xr:uid="{00000000-0005-0000-0000-000082720000}"/>
    <cellStyle name="Migliaia 11 2 9" xfId="39115" xr:uid="{00000000-0005-0000-0000-000083720000}"/>
    <cellStyle name="Migliaia 11 3" xfId="435" xr:uid="{00000000-0005-0000-0000-000084720000}"/>
    <cellStyle name="Migliaia 11 3 10" xfId="39519" xr:uid="{00000000-0005-0000-0000-000085720000}"/>
    <cellStyle name="Migliaia 11 3 11" xfId="40005" xr:uid="{00000000-0005-0000-0000-000086720000}"/>
    <cellStyle name="Migliaia 11 3 2" xfId="436" xr:uid="{00000000-0005-0000-0000-000087720000}"/>
    <cellStyle name="Migliaia 11 3 2 10" xfId="40006" xr:uid="{00000000-0005-0000-0000-000088720000}"/>
    <cellStyle name="Migliaia 11 3 2 2" xfId="11354" xr:uid="{00000000-0005-0000-0000-000089720000}"/>
    <cellStyle name="Migliaia 11 3 2 3" xfId="12033" xr:uid="{00000000-0005-0000-0000-00008A720000}"/>
    <cellStyle name="Migliaia 11 3 2 3 2" xfId="30218" xr:uid="{00000000-0005-0000-0000-00008B720000}"/>
    <cellStyle name="Migliaia 11 3 2 4" xfId="19240" xr:uid="{00000000-0005-0000-0000-00008C720000}"/>
    <cellStyle name="Migliaia 11 3 2 4 2" xfId="37204" xr:uid="{00000000-0005-0000-0000-00008D720000}"/>
    <cellStyle name="Migliaia 11 3 2 5" xfId="3213" xr:uid="{00000000-0005-0000-0000-00008E720000}"/>
    <cellStyle name="Migliaia 11 3 2 5 2" xfId="23213" xr:uid="{00000000-0005-0000-0000-00008F720000}"/>
    <cellStyle name="Migliaia 11 3 2 6" xfId="21367" xr:uid="{00000000-0005-0000-0000-000090720000}"/>
    <cellStyle name="Migliaia 11 3 2 7" xfId="38159" xr:uid="{00000000-0005-0000-0000-000091720000}"/>
    <cellStyle name="Migliaia 11 3 2 8" xfId="39117" xr:uid="{00000000-0005-0000-0000-000092720000}"/>
    <cellStyle name="Migliaia 11 3 2 9" xfId="39520" xr:uid="{00000000-0005-0000-0000-000093720000}"/>
    <cellStyle name="Migliaia 11 3 3" xfId="11353" xr:uid="{00000000-0005-0000-0000-000094720000}"/>
    <cellStyle name="Migliaia 11 3 3 2" xfId="20434" xr:uid="{00000000-0005-0000-0000-000095720000}"/>
    <cellStyle name="Migliaia 11 3 3 2 2" xfId="37751" xr:uid="{00000000-0005-0000-0000-000096720000}"/>
    <cellStyle name="Migliaia 11 3 3 2 3" xfId="38706" xr:uid="{00000000-0005-0000-0000-000097720000}"/>
    <cellStyle name="Migliaia 11 3 3 3" xfId="19241" xr:uid="{00000000-0005-0000-0000-000098720000}"/>
    <cellStyle name="Migliaia 11 3 3 3 2" xfId="37205" xr:uid="{00000000-0005-0000-0000-000099720000}"/>
    <cellStyle name="Migliaia 11 3 3 4" xfId="38160" xr:uid="{00000000-0005-0000-0000-00009A720000}"/>
    <cellStyle name="Migliaia 11 3 4" xfId="12032" xr:uid="{00000000-0005-0000-0000-00009B720000}"/>
    <cellStyle name="Migliaia 11 3 4 2" xfId="20433" xr:uid="{00000000-0005-0000-0000-00009C720000}"/>
    <cellStyle name="Migliaia 11 3 4 2 2" xfId="37750" xr:uid="{00000000-0005-0000-0000-00009D720000}"/>
    <cellStyle name="Migliaia 11 3 4 3" xfId="30217" xr:uid="{00000000-0005-0000-0000-00009E720000}"/>
    <cellStyle name="Migliaia 11 3 4 4" xfId="38705" xr:uid="{00000000-0005-0000-0000-00009F720000}"/>
    <cellStyle name="Migliaia 11 3 5" xfId="19239" xr:uid="{00000000-0005-0000-0000-0000A0720000}"/>
    <cellStyle name="Migliaia 11 3 5 2" xfId="37203" xr:uid="{00000000-0005-0000-0000-0000A1720000}"/>
    <cellStyle name="Migliaia 11 3 6" xfId="3212" xr:uid="{00000000-0005-0000-0000-0000A2720000}"/>
    <cellStyle name="Migliaia 11 3 6 2" xfId="23212" xr:uid="{00000000-0005-0000-0000-0000A3720000}"/>
    <cellStyle name="Migliaia 11 3 7" xfId="21366" xr:uid="{00000000-0005-0000-0000-0000A4720000}"/>
    <cellStyle name="Migliaia 11 3 8" xfId="38158" xr:uid="{00000000-0005-0000-0000-0000A5720000}"/>
    <cellStyle name="Migliaia 11 3 9" xfId="39116" xr:uid="{00000000-0005-0000-0000-0000A6720000}"/>
    <cellStyle name="Migliaia 11 4" xfId="437" xr:uid="{00000000-0005-0000-0000-0000A7720000}"/>
    <cellStyle name="Migliaia 11 4 2" xfId="19243" xr:uid="{00000000-0005-0000-0000-0000A8720000}"/>
    <cellStyle name="Migliaia 11 4 2 2" xfId="20436" xr:uid="{00000000-0005-0000-0000-0000A9720000}"/>
    <cellStyle name="Migliaia 11 4 2 2 2" xfId="37753" xr:uid="{00000000-0005-0000-0000-0000AA720000}"/>
    <cellStyle name="Migliaia 11 4 2 2 3" xfId="38708" xr:uid="{00000000-0005-0000-0000-0000AB720000}"/>
    <cellStyle name="Migliaia 11 4 2 3" xfId="37207" xr:uid="{00000000-0005-0000-0000-0000AC720000}"/>
    <cellStyle name="Migliaia 11 4 2 4" xfId="38162" xr:uid="{00000000-0005-0000-0000-0000AD720000}"/>
    <cellStyle name="Migliaia 11 4 3" xfId="20435" xr:uid="{00000000-0005-0000-0000-0000AE720000}"/>
    <cellStyle name="Migliaia 11 4 3 2" xfId="37752" xr:uid="{00000000-0005-0000-0000-0000AF720000}"/>
    <cellStyle name="Migliaia 11 4 3 3" xfId="38707" xr:uid="{00000000-0005-0000-0000-0000B0720000}"/>
    <cellStyle name="Migliaia 11 4 4" xfId="19242" xr:uid="{00000000-0005-0000-0000-0000B1720000}"/>
    <cellStyle name="Migliaia 11 4 4 2" xfId="37206" xr:uid="{00000000-0005-0000-0000-0000B2720000}"/>
    <cellStyle name="Migliaia 11 4 5" xfId="11355" xr:uid="{00000000-0005-0000-0000-0000B3720000}"/>
    <cellStyle name="Migliaia 11 4 6" xfId="21368" xr:uid="{00000000-0005-0000-0000-0000B4720000}"/>
    <cellStyle name="Migliaia 11 4 7" xfId="38161" xr:uid="{00000000-0005-0000-0000-0000B5720000}"/>
    <cellStyle name="Migliaia 11 4 8" xfId="39521" xr:uid="{00000000-0005-0000-0000-0000B6720000}"/>
    <cellStyle name="Migliaia 11 4 9" xfId="40007" xr:uid="{00000000-0005-0000-0000-0000B7720000}"/>
    <cellStyle name="Migliaia 11 5" xfId="438" xr:uid="{00000000-0005-0000-0000-0000B8720000}"/>
    <cellStyle name="Migliaia 11 5 2" xfId="19244" xr:uid="{00000000-0005-0000-0000-0000B9720000}"/>
    <cellStyle name="Migliaia 11 5 2 2" xfId="37208" xr:uid="{00000000-0005-0000-0000-0000BA720000}"/>
    <cellStyle name="Migliaia 11 5 3" xfId="11356" xr:uid="{00000000-0005-0000-0000-0000BB720000}"/>
    <cellStyle name="Migliaia 11 5 4" xfId="21369" xr:uid="{00000000-0005-0000-0000-0000BC720000}"/>
    <cellStyle name="Migliaia 11 5 5" xfId="38163" xr:uid="{00000000-0005-0000-0000-0000BD720000}"/>
    <cellStyle name="Migliaia 11 5 6" xfId="39522" xr:uid="{00000000-0005-0000-0000-0000BE720000}"/>
    <cellStyle name="Migliaia 11 5 7" xfId="40008" xr:uid="{00000000-0005-0000-0000-0000BF720000}"/>
    <cellStyle name="Migliaia 11 6" xfId="439" xr:uid="{00000000-0005-0000-0000-0000C0720000}"/>
    <cellStyle name="Migliaia 11 6 2" xfId="11351" xr:uid="{00000000-0005-0000-0000-0000C1720000}"/>
    <cellStyle name="Migliaia 11 6 3" xfId="21370" xr:uid="{00000000-0005-0000-0000-0000C2720000}"/>
    <cellStyle name="Migliaia 11 6 4" xfId="39523" xr:uid="{00000000-0005-0000-0000-0000C3720000}"/>
    <cellStyle name="Migliaia 11 6 5" xfId="40009" xr:uid="{00000000-0005-0000-0000-0000C4720000}"/>
    <cellStyle name="Migliaia 11 7" xfId="12030" xr:uid="{00000000-0005-0000-0000-0000C5720000}"/>
    <cellStyle name="Migliaia 11 7 2" xfId="30215" xr:uid="{00000000-0005-0000-0000-0000C6720000}"/>
    <cellStyle name="Migliaia 11 8" xfId="19237" xr:uid="{00000000-0005-0000-0000-0000C7720000}"/>
    <cellStyle name="Migliaia 11 8 2" xfId="37201" xr:uid="{00000000-0005-0000-0000-0000C8720000}"/>
    <cellStyle name="Migliaia 11 9" xfId="3210" xr:uid="{00000000-0005-0000-0000-0000C9720000}"/>
    <cellStyle name="Migliaia 11 9 2" xfId="23210" xr:uid="{00000000-0005-0000-0000-0000CA720000}"/>
    <cellStyle name="Migliaia 12" xfId="440" xr:uid="{00000000-0005-0000-0000-0000CB720000}"/>
    <cellStyle name="Migliaia 12 10" xfId="21371" xr:uid="{00000000-0005-0000-0000-0000CC720000}"/>
    <cellStyle name="Migliaia 12 11" xfId="38164" xr:uid="{00000000-0005-0000-0000-0000CD720000}"/>
    <cellStyle name="Migliaia 12 12" xfId="39118" xr:uid="{00000000-0005-0000-0000-0000CE720000}"/>
    <cellStyle name="Migliaia 12 13" xfId="39524" xr:uid="{00000000-0005-0000-0000-0000CF720000}"/>
    <cellStyle name="Migliaia 12 14" xfId="40010" xr:uid="{00000000-0005-0000-0000-0000D0720000}"/>
    <cellStyle name="Migliaia 12 2" xfId="441" xr:uid="{00000000-0005-0000-0000-0000D1720000}"/>
    <cellStyle name="Migliaia 12 2 10" xfId="39525" xr:uid="{00000000-0005-0000-0000-0000D2720000}"/>
    <cellStyle name="Migliaia 12 2 11" xfId="40011" xr:uid="{00000000-0005-0000-0000-0000D3720000}"/>
    <cellStyle name="Migliaia 12 2 2" xfId="3540" xr:uid="{00000000-0005-0000-0000-0000D4720000}"/>
    <cellStyle name="Migliaia 12 2 2 2" xfId="12301" xr:uid="{00000000-0005-0000-0000-0000D5720000}"/>
    <cellStyle name="Migliaia 12 2 2 2 2" xfId="30471" xr:uid="{00000000-0005-0000-0000-0000D6720000}"/>
    <cellStyle name="Migliaia 12 2 2 3" xfId="20437" xr:uid="{00000000-0005-0000-0000-0000D7720000}"/>
    <cellStyle name="Migliaia 12 2 2 3 2" xfId="37754" xr:uid="{00000000-0005-0000-0000-0000D8720000}"/>
    <cellStyle name="Migliaia 12 2 2 4" xfId="23469" xr:uid="{00000000-0005-0000-0000-0000D9720000}"/>
    <cellStyle name="Migliaia 12 2 2 5" xfId="38709" xr:uid="{00000000-0005-0000-0000-0000DA720000}"/>
    <cellStyle name="Migliaia 12 2 2 6" xfId="39385" xr:uid="{00000000-0005-0000-0000-0000DB720000}"/>
    <cellStyle name="Migliaia 12 2 3" xfId="11358" xr:uid="{00000000-0005-0000-0000-0000DC720000}"/>
    <cellStyle name="Migliaia 12 2 4" xfId="12035" xr:uid="{00000000-0005-0000-0000-0000DD720000}"/>
    <cellStyle name="Migliaia 12 2 4 2" xfId="30220" xr:uid="{00000000-0005-0000-0000-0000DE720000}"/>
    <cellStyle name="Migliaia 12 2 5" xfId="19246" xr:uid="{00000000-0005-0000-0000-0000DF720000}"/>
    <cellStyle name="Migliaia 12 2 5 2" xfId="37210" xr:uid="{00000000-0005-0000-0000-0000E0720000}"/>
    <cellStyle name="Migliaia 12 2 6" xfId="3215" xr:uid="{00000000-0005-0000-0000-0000E1720000}"/>
    <cellStyle name="Migliaia 12 2 6 2" xfId="23215" xr:uid="{00000000-0005-0000-0000-0000E2720000}"/>
    <cellStyle name="Migliaia 12 2 7" xfId="21372" xr:uid="{00000000-0005-0000-0000-0000E3720000}"/>
    <cellStyle name="Migliaia 12 2 8" xfId="38165" xr:uid="{00000000-0005-0000-0000-0000E4720000}"/>
    <cellStyle name="Migliaia 12 2 9" xfId="39119" xr:uid="{00000000-0005-0000-0000-0000E5720000}"/>
    <cellStyle name="Migliaia 12 3" xfId="442" xr:uid="{00000000-0005-0000-0000-0000E6720000}"/>
    <cellStyle name="Migliaia 12 3 10" xfId="39526" xr:uid="{00000000-0005-0000-0000-0000E7720000}"/>
    <cellStyle name="Migliaia 12 3 11" xfId="40012" xr:uid="{00000000-0005-0000-0000-0000E8720000}"/>
    <cellStyle name="Migliaia 12 3 2" xfId="443" xr:uid="{00000000-0005-0000-0000-0000E9720000}"/>
    <cellStyle name="Migliaia 12 3 2 10" xfId="40013" xr:uid="{00000000-0005-0000-0000-0000EA720000}"/>
    <cellStyle name="Migliaia 12 3 2 2" xfId="11360" xr:uid="{00000000-0005-0000-0000-0000EB720000}"/>
    <cellStyle name="Migliaia 12 3 2 3" xfId="12037" xr:uid="{00000000-0005-0000-0000-0000EC720000}"/>
    <cellStyle name="Migliaia 12 3 2 3 2" xfId="30222" xr:uid="{00000000-0005-0000-0000-0000ED720000}"/>
    <cellStyle name="Migliaia 12 3 2 4" xfId="19248" xr:uid="{00000000-0005-0000-0000-0000EE720000}"/>
    <cellStyle name="Migliaia 12 3 2 4 2" xfId="37212" xr:uid="{00000000-0005-0000-0000-0000EF720000}"/>
    <cellStyle name="Migliaia 12 3 2 5" xfId="3217" xr:uid="{00000000-0005-0000-0000-0000F0720000}"/>
    <cellStyle name="Migliaia 12 3 2 5 2" xfId="23217" xr:uid="{00000000-0005-0000-0000-0000F1720000}"/>
    <cellStyle name="Migliaia 12 3 2 6" xfId="21374" xr:uid="{00000000-0005-0000-0000-0000F2720000}"/>
    <cellStyle name="Migliaia 12 3 2 7" xfId="38167" xr:uid="{00000000-0005-0000-0000-0000F3720000}"/>
    <cellStyle name="Migliaia 12 3 2 8" xfId="39121" xr:uid="{00000000-0005-0000-0000-0000F4720000}"/>
    <cellStyle name="Migliaia 12 3 2 9" xfId="39527" xr:uid="{00000000-0005-0000-0000-0000F5720000}"/>
    <cellStyle name="Migliaia 12 3 3" xfId="11359" xr:uid="{00000000-0005-0000-0000-0000F6720000}"/>
    <cellStyle name="Migliaia 12 3 3 2" xfId="20439" xr:uid="{00000000-0005-0000-0000-0000F7720000}"/>
    <cellStyle name="Migliaia 12 3 3 2 2" xfId="37756" xr:uid="{00000000-0005-0000-0000-0000F8720000}"/>
    <cellStyle name="Migliaia 12 3 3 2 3" xfId="38711" xr:uid="{00000000-0005-0000-0000-0000F9720000}"/>
    <cellStyle name="Migliaia 12 3 3 3" xfId="19249" xr:uid="{00000000-0005-0000-0000-0000FA720000}"/>
    <cellStyle name="Migliaia 12 3 3 3 2" xfId="37213" xr:uid="{00000000-0005-0000-0000-0000FB720000}"/>
    <cellStyle name="Migliaia 12 3 3 4" xfId="38168" xr:uid="{00000000-0005-0000-0000-0000FC720000}"/>
    <cellStyle name="Migliaia 12 3 4" xfId="12036" xr:uid="{00000000-0005-0000-0000-0000FD720000}"/>
    <cellStyle name="Migliaia 12 3 4 2" xfId="20438" xr:uid="{00000000-0005-0000-0000-0000FE720000}"/>
    <cellStyle name="Migliaia 12 3 4 2 2" xfId="37755" xr:uid="{00000000-0005-0000-0000-0000FF720000}"/>
    <cellStyle name="Migliaia 12 3 4 3" xfId="30221" xr:uid="{00000000-0005-0000-0000-000000730000}"/>
    <cellStyle name="Migliaia 12 3 4 4" xfId="38710" xr:uid="{00000000-0005-0000-0000-000001730000}"/>
    <cellStyle name="Migliaia 12 3 5" xfId="19247" xr:uid="{00000000-0005-0000-0000-000002730000}"/>
    <cellStyle name="Migliaia 12 3 5 2" xfId="37211" xr:uid="{00000000-0005-0000-0000-000003730000}"/>
    <cellStyle name="Migliaia 12 3 6" xfId="3216" xr:uid="{00000000-0005-0000-0000-000004730000}"/>
    <cellStyle name="Migliaia 12 3 6 2" xfId="23216" xr:uid="{00000000-0005-0000-0000-000005730000}"/>
    <cellStyle name="Migliaia 12 3 7" xfId="21373" xr:uid="{00000000-0005-0000-0000-000006730000}"/>
    <cellStyle name="Migliaia 12 3 8" xfId="38166" xr:uid="{00000000-0005-0000-0000-000007730000}"/>
    <cellStyle name="Migliaia 12 3 9" xfId="39120" xr:uid="{00000000-0005-0000-0000-000008730000}"/>
    <cellStyle name="Migliaia 12 4" xfId="444" xr:uid="{00000000-0005-0000-0000-000009730000}"/>
    <cellStyle name="Migliaia 12 4 2" xfId="19251" xr:uid="{00000000-0005-0000-0000-00000A730000}"/>
    <cellStyle name="Migliaia 12 4 2 2" xfId="20441" xr:uid="{00000000-0005-0000-0000-00000B730000}"/>
    <cellStyle name="Migliaia 12 4 2 2 2" xfId="37758" xr:uid="{00000000-0005-0000-0000-00000C730000}"/>
    <cellStyle name="Migliaia 12 4 2 2 3" xfId="38713" xr:uid="{00000000-0005-0000-0000-00000D730000}"/>
    <cellStyle name="Migliaia 12 4 2 3" xfId="37215" xr:uid="{00000000-0005-0000-0000-00000E730000}"/>
    <cellStyle name="Migliaia 12 4 2 4" xfId="38170" xr:uid="{00000000-0005-0000-0000-00000F730000}"/>
    <cellStyle name="Migliaia 12 4 3" xfId="20440" xr:uid="{00000000-0005-0000-0000-000010730000}"/>
    <cellStyle name="Migliaia 12 4 3 2" xfId="37757" xr:uid="{00000000-0005-0000-0000-000011730000}"/>
    <cellStyle name="Migliaia 12 4 3 3" xfId="38712" xr:uid="{00000000-0005-0000-0000-000012730000}"/>
    <cellStyle name="Migliaia 12 4 4" xfId="19250" xr:uid="{00000000-0005-0000-0000-000013730000}"/>
    <cellStyle name="Migliaia 12 4 4 2" xfId="37214" xr:uid="{00000000-0005-0000-0000-000014730000}"/>
    <cellStyle name="Migliaia 12 4 5" xfId="11361" xr:uid="{00000000-0005-0000-0000-000015730000}"/>
    <cellStyle name="Migliaia 12 4 6" xfId="21375" xr:uid="{00000000-0005-0000-0000-000016730000}"/>
    <cellStyle name="Migliaia 12 4 7" xfId="38169" xr:uid="{00000000-0005-0000-0000-000017730000}"/>
    <cellStyle name="Migliaia 12 4 8" xfId="39528" xr:uid="{00000000-0005-0000-0000-000018730000}"/>
    <cellStyle name="Migliaia 12 4 9" xfId="40014" xr:uid="{00000000-0005-0000-0000-000019730000}"/>
    <cellStyle name="Migliaia 12 5" xfId="445" xr:uid="{00000000-0005-0000-0000-00001A730000}"/>
    <cellStyle name="Migliaia 12 5 2" xfId="19252" xr:uid="{00000000-0005-0000-0000-00001B730000}"/>
    <cellStyle name="Migliaia 12 5 2 2" xfId="37216" xr:uid="{00000000-0005-0000-0000-00001C730000}"/>
    <cellStyle name="Migliaia 12 5 3" xfId="11362" xr:uid="{00000000-0005-0000-0000-00001D730000}"/>
    <cellStyle name="Migliaia 12 5 4" xfId="21376" xr:uid="{00000000-0005-0000-0000-00001E730000}"/>
    <cellStyle name="Migliaia 12 5 5" xfId="38171" xr:uid="{00000000-0005-0000-0000-00001F730000}"/>
    <cellStyle name="Migliaia 12 5 6" xfId="39529" xr:uid="{00000000-0005-0000-0000-000020730000}"/>
    <cellStyle name="Migliaia 12 5 7" xfId="40015" xr:uid="{00000000-0005-0000-0000-000021730000}"/>
    <cellStyle name="Migliaia 12 6" xfId="446" xr:uid="{00000000-0005-0000-0000-000022730000}"/>
    <cellStyle name="Migliaia 12 6 2" xfId="11357" xr:uid="{00000000-0005-0000-0000-000023730000}"/>
    <cellStyle name="Migliaia 12 6 3" xfId="21377" xr:uid="{00000000-0005-0000-0000-000024730000}"/>
    <cellStyle name="Migliaia 12 6 4" xfId="39530" xr:uid="{00000000-0005-0000-0000-000025730000}"/>
    <cellStyle name="Migliaia 12 6 5" xfId="40016" xr:uid="{00000000-0005-0000-0000-000026730000}"/>
    <cellStyle name="Migliaia 12 7" xfId="12034" xr:uid="{00000000-0005-0000-0000-000027730000}"/>
    <cellStyle name="Migliaia 12 7 2" xfId="30219" xr:uid="{00000000-0005-0000-0000-000028730000}"/>
    <cellStyle name="Migliaia 12 8" xfId="19245" xr:uid="{00000000-0005-0000-0000-000029730000}"/>
    <cellStyle name="Migliaia 12 8 2" xfId="37209" xr:uid="{00000000-0005-0000-0000-00002A730000}"/>
    <cellStyle name="Migliaia 12 9" xfId="3214" xr:uid="{00000000-0005-0000-0000-00002B730000}"/>
    <cellStyle name="Migliaia 12 9 2" xfId="23214" xr:uid="{00000000-0005-0000-0000-00002C730000}"/>
    <cellStyle name="Migliaia 13" xfId="447" xr:uid="{00000000-0005-0000-0000-00002D730000}"/>
    <cellStyle name="Migliaia 13 10" xfId="21378" xr:uid="{00000000-0005-0000-0000-00002E730000}"/>
    <cellStyle name="Migliaia 13 11" xfId="38172" xr:uid="{00000000-0005-0000-0000-00002F730000}"/>
    <cellStyle name="Migliaia 13 12" xfId="39122" xr:uid="{00000000-0005-0000-0000-000030730000}"/>
    <cellStyle name="Migliaia 13 13" xfId="39531" xr:uid="{00000000-0005-0000-0000-000031730000}"/>
    <cellStyle name="Migliaia 13 14" xfId="40017" xr:uid="{00000000-0005-0000-0000-000032730000}"/>
    <cellStyle name="Migliaia 13 2" xfId="448" xr:uid="{00000000-0005-0000-0000-000033730000}"/>
    <cellStyle name="Migliaia 13 2 10" xfId="39532" xr:uid="{00000000-0005-0000-0000-000034730000}"/>
    <cellStyle name="Migliaia 13 2 11" xfId="40018" xr:uid="{00000000-0005-0000-0000-000035730000}"/>
    <cellStyle name="Migliaia 13 2 2" xfId="3541" xr:uid="{00000000-0005-0000-0000-000036730000}"/>
    <cellStyle name="Migliaia 13 2 2 2" xfId="12302" xr:uid="{00000000-0005-0000-0000-000037730000}"/>
    <cellStyle name="Migliaia 13 2 2 2 2" xfId="30472" xr:uid="{00000000-0005-0000-0000-000038730000}"/>
    <cellStyle name="Migliaia 13 2 2 3" xfId="20442" xr:uid="{00000000-0005-0000-0000-000039730000}"/>
    <cellStyle name="Migliaia 13 2 2 3 2" xfId="37759" xr:uid="{00000000-0005-0000-0000-00003A730000}"/>
    <cellStyle name="Migliaia 13 2 2 4" xfId="23470" xr:uid="{00000000-0005-0000-0000-00003B730000}"/>
    <cellStyle name="Migliaia 13 2 2 5" xfId="38714" xr:uid="{00000000-0005-0000-0000-00003C730000}"/>
    <cellStyle name="Migliaia 13 2 2 6" xfId="39386" xr:uid="{00000000-0005-0000-0000-00003D730000}"/>
    <cellStyle name="Migliaia 13 2 3" xfId="11364" xr:uid="{00000000-0005-0000-0000-00003E730000}"/>
    <cellStyle name="Migliaia 13 2 4" xfId="12039" xr:uid="{00000000-0005-0000-0000-00003F730000}"/>
    <cellStyle name="Migliaia 13 2 4 2" xfId="30224" xr:uid="{00000000-0005-0000-0000-000040730000}"/>
    <cellStyle name="Migliaia 13 2 5" xfId="19254" xr:uid="{00000000-0005-0000-0000-000041730000}"/>
    <cellStyle name="Migliaia 13 2 5 2" xfId="37218" xr:uid="{00000000-0005-0000-0000-000042730000}"/>
    <cellStyle name="Migliaia 13 2 6" xfId="3219" xr:uid="{00000000-0005-0000-0000-000043730000}"/>
    <cellStyle name="Migliaia 13 2 6 2" xfId="23219" xr:uid="{00000000-0005-0000-0000-000044730000}"/>
    <cellStyle name="Migliaia 13 2 7" xfId="21379" xr:uid="{00000000-0005-0000-0000-000045730000}"/>
    <cellStyle name="Migliaia 13 2 8" xfId="38173" xr:uid="{00000000-0005-0000-0000-000046730000}"/>
    <cellStyle name="Migliaia 13 2 9" xfId="39123" xr:uid="{00000000-0005-0000-0000-000047730000}"/>
    <cellStyle name="Migliaia 13 3" xfId="449" xr:uid="{00000000-0005-0000-0000-000048730000}"/>
    <cellStyle name="Migliaia 13 3 10" xfId="39533" xr:uid="{00000000-0005-0000-0000-000049730000}"/>
    <cellStyle name="Migliaia 13 3 11" xfId="40019" xr:uid="{00000000-0005-0000-0000-00004A730000}"/>
    <cellStyle name="Migliaia 13 3 2" xfId="450" xr:uid="{00000000-0005-0000-0000-00004B730000}"/>
    <cellStyle name="Migliaia 13 3 2 10" xfId="40020" xr:uid="{00000000-0005-0000-0000-00004C730000}"/>
    <cellStyle name="Migliaia 13 3 2 2" xfId="11366" xr:uid="{00000000-0005-0000-0000-00004D730000}"/>
    <cellStyle name="Migliaia 13 3 2 3" xfId="12041" xr:uid="{00000000-0005-0000-0000-00004E730000}"/>
    <cellStyle name="Migliaia 13 3 2 3 2" xfId="30226" xr:uid="{00000000-0005-0000-0000-00004F730000}"/>
    <cellStyle name="Migliaia 13 3 2 4" xfId="19256" xr:uid="{00000000-0005-0000-0000-000050730000}"/>
    <cellStyle name="Migliaia 13 3 2 4 2" xfId="37220" xr:uid="{00000000-0005-0000-0000-000051730000}"/>
    <cellStyle name="Migliaia 13 3 2 5" xfId="3221" xr:uid="{00000000-0005-0000-0000-000052730000}"/>
    <cellStyle name="Migliaia 13 3 2 5 2" xfId="23221" xr:uid="{00000000-0005-0000-0000-000053730000}"/>
    <cellStyle name="Migliaia 13 3 2 6" xfId="21381" xr:uid="{00000000-0005-0000-0000-000054730000}"/>
    <cellStyle name="Migliaia 13 3 2 7" xfId="38175" xr:uid="{00000000-0005-0000-0000-000055730000}"/>
    <cellStyle name="Migliaia 13 3 2 8" xfId="39125" xr:uid="{00000000-0005-0000-0000-000056730000}"/>
    <cellStyle name="Migliaia 13 3 2 9" xfId="39534" xr:uid="{00000000-0005-0000-0000-000057730000}"/>
    <cellStyle name="Migliaia 13 3 3" xfId="11365" xr:uid="{00000000-0005-0000-0000-000058730000}"/>
    <cellStyle name="Migliaia 13 3 3 2" xfId="20444" xr:uid="{00000000-0005-0000-0000-000059730000}"/>
    <cellStyle name="Migliaia 13 3 3 2 2" xfId="37761" xr:uid="{00000000-0005-0000-0000-00005A730000}"/>
    <cellStyle name="Migliaia 13 3 3 2 3" xfId="38716" xr:uid="{00000000-0005-0000-0000-00005B730000}"/>
    <cellStyle name="Migliaia 13 3 3 3" xfId="19257" xr:uid="{00000000-0005-0000-0000-00005C730000}"/>
    <cellStyle name="Migliaia 13 3 3 3 2" xfId="37221" xr:uid="{00000000-0005-0000-0000-00005D730000}"/>
    <cellStyle name="Migliaia 13 3 3 4" xfId="38176" xr:uid="{00000000-0005-0000-0000-00005E730000}"/>
    <cellStyle name="Migliaia 13 3 4" xfId="12040" xr:uid="{00000000-0005-0000-0000-00005F730000}"/>
    <cellStyle name="Migliaia 13 3 4 2" xfId="20443" xr:uid="{00000000-0005-0000-0000-000060730000}"/>
    <cellStyle name="Migliaia 13 3 4 2 2" xfId="37760" xr:uid="{00000000-0005-0000-0000-000061730000}"/>
    <cellStyle name="Migliaia 13 3 4 3" xfId="30225" xr:uid="{00000000-0005-0000-0000-000062730000}"/>
    <cellStyle name="Migliaia 13 3 4 4" xfId="38715" xr:uid="{00000000-0005-0000-0000-000063730000}"/>
    <cellStyle name="Migliaia 13 3 5" xfId="19255" xr:uid="{00000000-0005-0000-0000-000064730000}"/>
    <cellStyle name="Migliaia 13 3 5 2" xfId="37219" xr:uid="{00000000-0005-0000-0000-000065730000}"/>
    <cellStyle name="Migliaia 13 3 6" xfId="3220" xr:uid="{00000000-0005-0000-0000-000066730000}"/>
    <cellStyle name="Migliaia 13 3 6 2" xfId="23220" xr:uid="{00000000-0005-0000-0000-000067730000}"/>
    <cellStyle name="Migliaia 13 3 7" xfId="21380" xr:uid="{00000000-0005-0000-0000-000068730000}"/>
    <cellStyle name="Migliaia 13 3 8" xfId="38174" xr:uid="{00000000-0005-0000-0000-000069730000}"/>
    <cellStyle name="Migliaia 13 3 9" xfId="39124" xr:uid="{00000000-0005-0000-0000-00006A730000}"/>
    <cellStyle name="Migliaia 13 4" xfId="451" xr:uid="{00000000-0005-0000-0000-00006B730000}"/>
    <cellStyle name="Migliaia 13 4 2" xfId="19259" xr:uid="{00000000-0005-0000-0000-00006C730000}"/>
    <cellStyle name="Migliaia 13 4 2 2" xfId="20446" xr:uid="{00000000-0005-0000-0000-00006D730000}"/>
    <cellStyle name="Migliaia 13 4 2 2 2" xfId="37763" xr:uid="{00000000-0005-0000-0000-00006E730000}"/>
    <cellStyle name="Migliaia 13 4 2 2 3" xfId="38718" xr:uid="{00000000-0005-0000-0000-00006F730000}"/>
    <cellStyle name="Migliaia 13 4 2 3" xfId="37223" xr:uid="{00000000-0005-0000-0000-000070730000}"/>
    <cellStyle name="Migliaia 13 4 2 4" xfId="38178" xr:uid="{00000000-0005-0000-0000-000071730000}"/>
    <cellStyle name="Migliaia 13 4 3" xfId="20445" xr:uid="{00000000-0005-0000-0000-000072730000}"/>
    <cellStyle name="Migliaia 13 4 3 2" xfId="37762" xr:uid="{00000000-0005-0000-0000-000073730000}"/>
    <cellStyle name="Migliaia 13 4 3 3" xfId="38717" xr:uid="{00000000-0005-0000-0000-000074730000}"/>
    <cellStyle name="Migliaia 13 4 4" xfId="19258" xr:uid="{00000000-0005-0000-0000-000075730000}"/>
    <cellStyle name="Migliaia 13 4 4 2" xfId="37222" xr:uid="{00000000-0005-0000-0000-000076730000}"/>
    <cellStyle name="Migliaia 13 4 5" xfId="11367" xr:uid="{00000000-0005-0000-0000-000077730000}"/>
    <cellStyle name="Migliaia 13 4 6" xfId="21382" xr:uid="{00000000-0005-0000-0000-000078730000}"/>
    <cellStyle name="Migliaia 13 4 7" xfId="38177" xr:uid="{00000000-0005-0000-0000-000079730000}"/>
    <cellStyle name="Migliaia 13 4 8" xfId="39535" xr:uid="{00000000-0005-0000-0000-00007A730000}"/>
    <cellStyle name="Migliaia 13 4 9" xfId="40021" xr:uid="{00000000-0005-0000-0000-00007B730000}"/>
    <cellStyle name="Migliaia 13 5" xfId="452" xr:uid="{00000000-0005-0000-0000-00007C730000}"/>
    <cellStyle name="Migliaia 13 5 2" xfId="19260" xr:uid="{00000000-0005-0000-0000-00007D730000}"/>
    <cellStyle name="Migliaia 13 5 2 2" xfId="37224" xr:uid="{00000000-0005-0000-0000-00007E730000}"/>
    <cellStyle name="Migliaia 13 5 3" xfId="11368" xr:uid="{00000000-0005-0000-0000-00007F730000}"/>
    <cellStyle name="Migliaia 13 5 4" xfId="21383" xr:uid="{00000000-0005-0000-0000-000080730000}"/>
    <cellStyle name="Migliaia 13 5 5" xfId="38179" xr:uid="{00000000-0005-0000-0000-000081730000}"/>
    <cellStyle name="Migliaia 13 5 6" xfId="39536" xr:uid="{00000000-0005-0000-0000-000082730000}"/>
    <cellStyle name="Migliaia 13 5 7" xfId="40022" xr:uid="{00000000-0005-0000-0000-000083730000}"/>
    <cellStyle name="Migliaia 13 6" xfId="453" xr:uid="{00000000-0005-0000-0000-000084730000}"/>
    <cellStyle name="Migliaia 13 6 2" xfId="11363" xr:uid="{00000000-0005-0000-0000-000085730000}"/>
    <cellStyle name="Migliaia 13 6 3" xfId="21384" xr:uid="{00000000-0005-0000-0000-000086730000}"/>
    <cellStyle name="Migliaia 13 6 4" xfId="39537" xr:uid="{00000000-0005-0000-0000-000087730000}"/>
    <cellStyle name="Migliaia 13 6 5" xfId="40023" xr:uid="{00000000-0005-0000-0000-000088730000}"/>
    <cellStyle name="Migliaia 13 7" xfId="12038" xr:uid="{00000000-0005-0000-0000-000089730000}"/>
    <cellStyle name="Migliaia 13 7 2" xfId="30223" xr:uid="{00000000-0005-0000-0000-00008A730000}"/>
    <cellStyle name="Migliaia 13 8" xfId="19253" xr:uid="{00000000-0005-0000-0000-00008B730000}"/>
    <cellStyle name="Migliaia 13 8 2" xfId="37217" xr:uid="{00000000-0005-0000-0000-00008C730000}"/>
    <cellStyle name="Migliaia 13 9" xfId="3218" xr:uid="{00000000-0005-0000-0000-00008D730000}"/>
    <cellStyle name="Migliaia 13 9 2" xfId="23218" xr:uid="{00000000-0005-0000-0000-00008E730000}"/>
    <cellStyle name="Migliaia 14" xfId="454" xr:uid="{00000000-0005-0000-0000-00008F730000}"/>
    <cellStyle name="Migliaia 14 10" xfId="21385" xr:uid="{00000000-0005-0000-0000-000090730000}"/>
    <cellStyle name="Migliaia 14 11" xfId="38180" xr:uid="{00000000-0005-0000-0000-000091730000}"/>
    <cellStyle name="Migliaia 14 12" xfId="39126" xr:uid="{00000000-0005-0000-0000-000092730000}"/>
    <cellStyle name="Migliaia 14 13" xfId="39538" xr:uid="{00000000-0005-0000-0000-000093730000}"/>
    <cellStyle name="Migliaia 14 14" xfId="40024" xr:uid="{00000000-0005-0000-0000-000094730000}"/>
    <cellStyle name="Migliaia 14 2" xfId="455" xr:uid="{00000000-0005-0000-0000-000095730000}"/>
    <cellStyle name="Migliaia 14 2 10" xfId="39539" xr:uid="{00000000-0005-0000-0000-000096730000}"/>
    <cellStyle name="Migliaia 14 2 11" xfId="40025" xr:uid="{00000000-0005-0000-0000-000097730000}"/>
    <cellStyle name="Migliaia 14 2 2" xfId="3542" xr:uid="{00000000-0005-0000-0000-000098730000}"/>
    <cellStyle name="Migliaia 14 2 2 2" xfId="12303" xr:uid="{00000000-0005-0000-0000-000099730000}"/>
    <cellStyle name="Migliaia 14 2 2 2 2" xfId="30473" xr:uid="{00000000-0005-0000-0000-00009A730000}"/>
    <cellStyle name="Migliaia 14 2 2 3" xfId="20447" xr:uid="{00000000-0005-0000-0000-00009B730000}"/>
    <cellStyle name="Migliaia 14 2 2 3 2" xfId="37764" xr:uid="{00000000-0005-0000-0000-00009C730000}"/>
    <cellStyle name="Migliaia 14 2 2 4" xfId="23471" xr:uid="{00000000-0005-0000-0000-00009D730000}"/>
    <cellStyle name="Migliaia 14 2 2 5" xfId="38719" xr:uid="{00000000-0005-0000-0000-00009E730000}"/>
    <cellStyle name="Migliaia 14 2 2 6" xfId="39387" xr:uid="{00000000-0005-0000-0000-00009F730000}"/>
    <cellStyle name="Migliaia 14 2 3" xfId="11370" xr:uid="{00000000-0005-0000-0000-0000A0730000}"/>
    <cellStyle name="Migliaia 14 2 4" xfId="12043" xr:uid="{00000000-0005-0000-0000-0000A1730000}"/>
    <cellStyle name="Migliaia 14 2 4 2" xfId="30228" xr:uid="{00000000-0005-0000-0000-0000A2730000}"/>
    <cellStyle name="Migliaia 14 2 5" xfId="19262" xr:uid="{00000000-0005-0000-0000-0000A3730000}"/>
    <cellStyle name="Migliaia 14 2 5 2" xfId="37226" xr:uid="{00000000-0005-0000-0000-0000A4730000}"/>
    <cellStyle name="Migliaia 14 2 6" xfId="3223" xr:uid="{00000000-0005-0000-0000-0000A5730000}"/>
    <cellStyle name="Migliaia 14 2 6 2" xfId="23223" xr:uid="{00000000-0005-0000-0000-0000A6730000}"/>
    <cellStyle name="Migliaia 14 2 7" xfId="21386" xr:uid="{00000000-0005-0000-0000-0000A7730000}"/>
    <cellStyle name="Migliaia 14 2 8" xfId="38181" xr:uid="{00000000-0005-0000-0000-0000A8730000}"/>
    <cellStyle name="Migliaia 14 2 9" xfId="39127" xr:uid="{00000000-0005-0000-0000-0000A9730000}"/>
    <cellStyle name="Migliaia 14 3" xfId="456" xr:uid="{00000000-0005-0000-0000-0000AA730000}"/>
    <cellStyle name="Migliaia 14 3 10" xfId="39540" xr:uid="{00000000-0005-0000-0000-0000AB730000}"/>
    <cellStyle name="Migliaia 14 3 11" xfId="40026" xr:uid="{00000000-0005-0000-0000-0000AC730000}"/>
    <cellStyle name="Migliaia 14 3 2" xfId="457" xr:uid="{00000000-0005-0000-0000-0000AD730000}"/>
    <cellStyle name="Migliaia 14 3 2 10" xfId="40027" xr:uid="{00000000-0005-0000-0000-0000AE730000}"/>
    <cellStyle name="Migliaia 14 3 2 2" xfId="11372" xr:uid="{00000000-0005-0000-0000-0000AF730000}"/>
    <cellStyle name="Migliaia 14 3 2 3" xfId="12045" xr:uid="{00000000-0005-0000-0000-0000B0730000}"/>
    <cellStyle name="Migliaia 14 3 2 3 2" xfId="30230" xr:uid="{00000000-0005-0000-0000-0000B1730000}"/>
    <cellStyle name="Migliaia 14 3 2 4" xfId="19264" xr:uid="{00000000-0005-0000-0000-0000B2730000}"/>
    <cellStyle name="Migliaia 14 3 2 4 2" xfId="37228" xr:uid="{00000000-0005-0000-0000-0000B3730000}"/>
    <cellStyle name="Migliaia 14 3 2 5" xfId="3225" xr:uid="{00000000-0005-0000-0000-0000B4730000}"/>
    <cellStyle name="Migliaia 14 3 2 5 2" xfId="23225" xr:uid="{00000000-0005-0000-0000-0000B5730000}"/>
    <cellStyle name="Migliaia 14 3 2 6" xfId="21388" xr:uid="{00000000-0005-0000-0000-0000B6730000}"/>
    <cellStyle name="Migliaia 14 3 2 7" xfId="38183" xr:uid="{00000000-0005-0000-0000-0000B7730000}"/>
    <cellStyle name="Migliaia 14 3 2 8" xfId="39129" xr:uid="{00000000-0005-0000-0000-0000B8730000}"/>
    <cellStyle name="Migliaia 14 3 2 9" xfId="39541" xr:uid="{00000000-0005-0000-0000-0000B9730000}"/>
    <cellStyle name="Migliaia 14 3 3" xfId="11371" xr:uid="{00000000-0005-0000-0000-0000BA730000}"/>
    <cellStyle name="Migliaia 14 3 3 2" xfId="20449" xr:uid="{00000000-0005-0000-0000-0000BB730000}"/>
    <cellStyle name="Migliaia 14 3 3 2 2" xfId="37766" xr:uid="{00000000-0005-0000-0000-0000BC730000}"/>
    <cellStyle name="Migliaia 14 3 3 2 3" xfId="38721" xr:uid="{00000000-0005-0000-0000-0000BD730000}"/>
    <cellStyle name="Migliaia 14 3 3 3" xfId="19265" xr:uid="{00000000-0005-0000-0000-0000BE730000}"/>
    <cellStyle name="Migliaia 14 3 3 3 2" xfId="37229" xr:uid="{00000000-0005-0000-0000-0000BF730000}"/>
    <cellStyle name="Migliaia 14 3 3 4" xfId="38184" xr:uid="{00000000-0005-0000-0000-0000C0730000}"/>
    <cellStyle name="Migliaia 14 3 4" xfId="12044" xr:uid="{00000000-0005-0000-0000-0000C1730000}"/>
    <cellStyle name="Migliaia 14 3 4 2" xfId="20448" xr:uid="{00000000-0005-0000-0000-0000C2730000}"/>
    <cellStyle name="Migliaia 14 3 4 2 2" xfId="37765" xr:uid="{00000000-0005-0000-0000-0000C3730000}"/>
    <cellStyle name="Migliaia 14 3 4 3" xfId="30229" xr:uid="{00000000-0005-0000-0000-0000C4730000}"/>
    <cellStyle name="Migliaia 14 3 4 4" xfId="38720" xr:uid="{00000000-0005-0000-0000-0000C5730000}"/>
    <cellStyle name="Migliaia 14 3 5" xfId="19263" xr:uid="{00000000-0005-0000-0000-0000C6730000}"/>
    <cellStyle name="Migliaia 14 3 5 2" xfId="37227" xr:uid="{00000000-0005-0000-0000-0000C7730000}"/>
    <cellStyle name="Migliaia 14 3 6" xfId="3224" xr:uid="{00000000-0005-0000-0000-0000C8730000}"/>
    <cellStyle name="Migliaia 14 3 6 2" xfId="23224" xr:uid="{00000000-0005-0000-0000-0000C9730000}"/>
    <cellStyle name="Migliaia 14 3 7" xfId="21387" xr:uid="{00000000-0005-0000-0000-0000CA730000}"/>
    <cellStyle name="Migliaia 14 3 8" xfId="38182" xr:uid="{00000000-0005-0000-0000-0000CB730000}"/>
    <cellStyle name="Migliaia 14 3 9" xfId="39128" xr:uid="{00000000-0005-0000-0000-0000CC730000}"/>
    <cellStyle name="Migliaia 14 4" xfId="458" xr:uid="{00000000-0005-0000-0000-0000CD730000}"/>
    <cellStyle name="Migliaia 14 4 2" xfId="19267" xr:uid="{00000000-0005-0000-0000-0000CE730000}"/>
    <cellStyle name="Migliaia 14 4 2 2" xfId="20451" xr:uid="{00000000-0005-0000-0000-0000CF730000}"/>
    <cellStyle name="Migliaia 14 4 2 2 2" xfId="37768" xr:uid="{00000000-0005-0000-0000-0000D0730000}"/>
    <cellStyle name="Migliaia 14 4 2 2 3" xfId="38723" xr:uid="{00000000-0005-0000-0000-0000D1730000}"/>
    <cellStyle name="Migliaia 14 4 2 3" xfId="37231" xr:uid="{00000000-0005-0000-0000-0000D2730000}"/>
    <cellStyle name="Migliaia 14 4 2 4" xfId="38186" xr:uid="{00000000-0005-0000-0000-0000D3730000}"/>
    <cellStyle name="Migliaia 14 4 3" xfId="20450" xr:uid="{00000000-0005-0000-0000-0000D4730000}"/>
    <cellStyle name="Migliaia 14 4 3 2" xfId="37767" xr:uid="{00000000-0005-0000-0000-0000D5730000}"/>
    <cellStyle name="Migliaia 14 4 3 3" xfId="38722" xr:uid="{00000000-0005-0000-0000-0000D6730000}"/>
    <cellStyle name="Migliaia 14 4 4" xfId="19266" xr:uid="{00000000-0005-0000-0000-0000D7730000}"/>
    <cellStyle name="Migliaia 14 4 4 2" xfId="37230" xr:uid="{00000000-0005-0000-0000-0000D8730000}"/>
    <cellStyle name="Migliaia 14 4 5" xfId="11373" xr:uid="{00000000-0005-0000-0000-0000D9730000}"/>
    <cellStyle name="Migliaia 14 4 6" xfId="21389" xr:uid="{00000000-0005-0000-0000-0000DA730000}"/>
    <cellStyle name="Migliaia 14 4 7" xfId="38185" xr:uid="{00000000-0005-0000-0000-0000DB730000}"/>
    <cellStyle name="Migliaia 14 4 8" xfId="39542" xr:uid="{00000000-0005-0000-0000-0000DC730000}"/>
    <cellStyle name="Migliaia 14 4 9" xfId="40028" xr:uid="{00000000-0005-0000-0000-0000DD730000}"/>
    <cellStyle name="Migliaia 14 5" xfId="459" xr:uid="{00000000-0005-0000-0000-0000DE730000}"/>
    <cellStyle name="Migliaia 14 5 2" xfId="19268" xr:uid="{00000000-0005-0000-0000-0000DF730000}"/>
    <cellStyle name="Migliaia 14 5 2 2" xfId="37232" xr:uid="{00000000-0005-0000-0000-0000E0730000}"/>
    <cellStyle name="Migliaia 14 5 3" xfId="11374" xr:uid="{00000000-0005-0000-0000-0000E1730000}"/>
    <cellStyle name="Migliaia 14 5 4" xfId="21390" xr:uid="{00000000-0005-0000-0000-0000E2730000}"/>
    <cellStyle name="Migliaia 14 5 5" xfId="38187" xr:uid="{00000000-0005-0000-0000-0000E3730000}"/>
    <cellStyle name="Migliaia 14 5 6" xfId="39543" xr:uid="{00000000-0005-0000-0000-0000E4730000}"/>
    <cellStyle name="Migliaia 14 5 7" xfId="40029" xr:uid="{00000000-0005-0000-0000-0000E5730000}"/>
    <cellStyle name="Migliaia 14 6" xfId="460" xr:uid="{00000000-0005-0000-0000-0000E6730000}"/>
    <cellStyle name="Migliaia 14 6 2" xfId="11369" xr:uid="{00000000-0005-0000-0000-0000E7730000}"/>
    <cellStyle name="Migliaia 14 6 3" xfId="21391" xr:uid="{00000000-0005-0000-0000-0000E8730000}"/>
    <cellStyle name="Migliaia 14 6 4" xfId="39544" xr:uid="{00000000-0005-0000-0000-0000E9730000}"/>
    <cellStyle name="Migliaia 14 6 5" xfId="40030" xr:uid="{00000000-0005-0000-0000-0000EA730000}"/>
    <cellStyle name="Migliaia 14 7" xfId="12042" xr:uid="{00000000-0005-0000-0000-0000EB730000}"/>
    <cellStyle name="Migliaia 14 7 2" xfId="30227" xr:uid="{00000000-0005-0000-0000-0000EC730000}"/>
    <cellStyle name="Migliaia 14 8" xfId="19261" xr:uid="{00000000-0005-0000-0000-0000ED730000}"/>
    <cellStyle name="Migliaia 14 8 2" xfId="37225" xr:uid="{00000000-0005-0000-0000-0000EE730000}"/>
    <cellStyle name="Migliaia 14 9" xfId="3222" xr:uid="{00000000-0005-0000-0000-0000EF730000}"/>
    <cellStyle name="Migliaia 14 9 2" xfId="23222" xr:uid="{00000000-0005-0000-0000-0000F0730000}"/>
    <cellStyle name="Migliaia 15" xfId="461" xr:uid="{00000000-0005-0000-0000-0000F1730000}"/>
    <cellStyle name="Migliaia 15 10" xfId="21392" xr:uid="{00000000-0005-0000-0000-0000F2730000}"/>
    <cellStyle name="Migliaia 15 11" xfId="38188" xr:uid="{00000000-0005-0000-0000-0000F3730000}"/>
    <cellStyle name="Migliaia 15 12" xfId="39130" xr:uid="{00000000-0005-0000-0000-0000F4730000}"/>
    <cellStyle name="Migliaia 15 13" xfId="39545" xr:uid="{00000000-0005-0000-0000-0000F5730000}"/>
    <cellStyle name="Migliaia 15 14" xfId="40031" xr:uid="{00000000-0005-0000-0000-0000F6730000}"/>
    <cellStyle name="Migliaia 15 2" xfId="462" xr:uid="{00000000-0005-0000-0000-0000F7730000}"/>
    <cellStyle name="Migliaia 15 2 10" xfId="39546" xr:uid="{00000000-0005-0000-0000-0000F8730000}"/>
    <cellStyle name="Migliaia 15 2 11" xfId="40032" xr:uid="{00000000-0005-0000-0000-0000F9730000}"/>
    <cellStyle name="Migliaia 15 2 2" xfId="3543" xr:uid="{00000000-0005-0000-0000-0000FA730000}"/>
    <cellStyle name="Migliaia 15 2 2 2" xfId="12304" xr:uid="{00000000-0005-0000-0000-0000FB730000}"/>
    <cellStyle name="Migliaia 15 2 2 2 2" xfId="30474" xr:uid="{00000000-0005-0000-0000-0000FC730000}"/>
    <cellStyle name="Migliaia 15 2 2 3" xfId="20452" xr:uid="{00000000-0005-0000-0000-0000FD730000}"/>
    <cellStyle name="Migliaia 15 2 2 3 2" xfId="37769" xr:uid="{00000000-0005-0000-0000-0000FE730000}"/>
    <cellStyle name="Migliaia 15 2 2 4" xfId="23472" xr:uid="{00000000-0005-0000-0000-0000FF730000}"/>
    <cellStyle name="Migliaia 15 2 2 5" xfId="38724" xr:uid="{00000000-0005-0000-0000-000000740000}"/>
    <cellStyle name="Migliaia 15 2 2 6" xfId="39388" xr:uid="{00000000-0005-0000-0000-000001740000}"/>
    <cellStyle name="Migliaia 15 2 3" xfId="11376" xr:uid="{00000000-0005-0000-0000-000002740000}"/>
    <cellStyle name="Migliaia 15 2 4" xfId="12047" xr:uid="{00000000-0005-0000-0000-000003740000}"/>
    <cellStyle name="Migliaia 15 2 4 2" xfId="30232" xr:uid="{00000000-0005-0000-0000-000004740000}"/>
    <cellStyle name="Migliaia 15 2 5" xfId="19270" xr:uid="{00000000-0005-0000-0000-000005740000}"/>
    <cellStyle name="Migliaia 15 2 5 2" xfId="37234" xr:uid="{00000000-0005-0000-0000-000006740000}"/>
    <cellStyle name="Migliaia 15 2 6" xfId="3227" xr:uid="{00000000-0005-0000-0000-000007740000}"/>
    <cellStyle name="Migliaia 15 2 6 2" xfId="23227" xr:uid="{00000000-0005-0000-0000-000008740000}"/>
    <cellStyle name="Migliaia 15 2 7" xfId="21393" xr:uid="{00000000-0005-0000-0000-000009740000}"/>
    <cellStyle name="Migliaia 15 2 8" xfId="38189" xr:uid="{00000000-0005-0000-0000-00000A740000}"/>
    <cellStyle name="Migliaia 15 2 9" xfId="39131" xr:uid="{00000000-0005-0000-0000-00000B740000}"/>
    <cellStyle name="Migliaia 15 3" xfId="463" xr:uid="{00000000-0005-0000-0000-00000C740000}"/>
    <cellStyle name="Migliaia 15 3 10" xfId="39547" xr:uid="{00000000-0005-0000-0000-00000D740000}"/>
    <cellStyle name="Migliaia 15 3 11" xfId="40033" xr:uid="{00000000-0005-0000-0000-00000E740000}"/>
    <cellStyle name="Migliaia 15 3 2" xfId="464" xr:uid="{00000000-0005-0000-0000-00000F740000}"/>
    <cellStyle name="Migliaia 15 3 2 10" xfId="40034" xr:uid="{00000000-0005-0000-0000-000010740000}"/>
    <cellStyle name="Migliaia 15 3 2 2" xfId="11378" xr:uid="{00000000-0005-0000-0000-000011740000}"/>
    <cellStyle name="Migliaia 15 3 2 3" xfId="12049" xr:uid="{00000000-0005-0000-0000-000012740000}"/>
    <cellStyle name="Migliaia 15 3 2 3 2" xfId="30234" xr:uid="{00000000-0005-0000-0000-000013740000}"/>
    <cellStyle name="Migliaia 15 3 2 4" xfId="19272" xr:uid="{00000000-0005-0000-0000-000014740000}"/>
    <cellStyle name="Migliaia 15 3 2 4 2" xfId="37236" xr:uid="{00000000-0005-0000-0000-000015740000}"/>
    <cellStyle name="Migliaia 15 3 2 5" xfId="3229" xr:uid="{00000000-0005-0000-0000-000016740000}"/>
    <cellStyle name="Migliaia 15 3 2 5 2" xfId="23229" xr:uid="{00000000-0005-0000-0000-000017740000}"/>
    <cellStyle name="Migliaia 15 3 2 6" xfId="21395" xr:uid="{00000000-0005-0000-0000-000018740000}"/>
    <cellStyle name="Migliaia 15 3 2 7" xfId="38191" xr:uid="{00000000-0005-0000-0000-000019740000}"/>
    <cellStyle name="Migliaia 15 3 2 8" xfId="39133" xr:uid="{00000000-0005-0000-0000-00001A740000}"/>
    <cellStyle name="Migliaia 15 3 2 9" xfId="39548" xr:uid="{00000000-0005-0000-0000-00001B740000}"/>
    <cellStyle name="Migliaia 15 3 3" xfId="11377" xr:uid="{00000000-0005-0000-0000-00001C740000}"/>
    <cellStyle name="Migliaia 15 3 3 2" xfId="20454" xr:uid="{00000000-0005-0000-0000-00001D740000}"/>
    <cellStyle name="Migliaia 15 3 3 2 2" xfId="37771" xr:uid="{00000000-0005-0000-0000-00001E740000}"/>
    <cellStyle name="Migliaia 15 3 3 2 3" xfId="38726" xr:uid="{00000000-0005-0000-0000-00001F740000}"/>
    <cellStyle name="Migliaia 15 3 3 3" xfId="19273" xr:uid="{00000000-0005-0000-0000-000020740000}"/>
    <cellStyle name="Migliaia 15 3 3 3 2" xfId="37237" xr:uid="{00000000-0005-0000-0000-000021740000}"/>
    <cellStyle name="Migliaia 15 3 3 4" xfId="38192" xr:uid="{00000000-0005-0000-0000-000022740000}"/>
    <cellStyle name="Migliaia 15 3 4" xfId="12048" xr:uid="{00000000-0005-0000-0000-000023740000}"/>
    <cellStyle name="Migliaia 15 3 4 2" xfId="20453" xr:uid="{00000000-0005-0000-0000-000024740000}"/>
    <cellStyle name="Migliaia 15 3 4 2 2" xfId="37770" xr:uid="{00000000-0005-0000-0000-000025740000}"/>
    <cellStyle name="Migliaia 15 3 4 3" xfId="30233" xr:uid="{00000000-0005-0000-0000-000026740000}"/>
    <cellStyle name="Migliaia 15 3 4 4" xfId="38725" xr:uid="{00000000-0005-0000-0000-000027740000}"/>
    <cellStyle name="Migliaia 15 3 5" xfId="19271" xr:uid="{00000000-0005-0000-0000-000028740000}"/>
    <cellStyle name="Migliaia 15 3 5 2" xfId="37235" xr:uid="{00000000-0005-0000-0000-000029740000}"/>
    <cellStyle name="Migliaia 15 3 6" xfId="3228" xr:uid="{00000000-0005-0000-0000-00002A740000}"/>
    <cellStyle name="Migliaia 15 3 6 2" xfId="23228" xr:uid="{00000000-0005-0000-0000-00002B740000}"/>
    <cellStyle name="Migliaia 15 3 7" xfId="21394" xr:uid="{00000000-0005-0000-0000-00002C740000}"/>
    <cellStyle name="Migliaia 15 3 8" xfId="38190" xr:uid="{00000000-0005-0000-0000-00002D740000}"/>
    <cellStyle name="Migliaia 15 3 9" xfId="39132" xr:uid="{00000000-0005-0000-0000-00002E740000}"/>
    <cellStyle name="Migliaia 15 4" xfId="465" xr:uid="{00000000-0005-0000-0000-00002F740000}"/>
    <cellStyle name="Migliaia 15 4 2" xfId="19275" xr:uid="{00000000-0005-0000-0000-000030740000}"/>
    <cellStyle name="Migliaia 15 4 2 2" xfId="20456" xr:uid="{00000000-0005-0000-0000-000031740000}"/>
    <cellStyle name="Migliaia 15 4 2 2 2" xfId="37773" xr:uid="{00000000-0005-0000-0000-000032740000}"/>
    <cellStyle name="Migliaia 15 4 2 2 3" xfId="38728" xr:uid="{00000000-0005-0000-0000-000033740000}"/>
    <cellStyle name="Migliaia 15 4 2 3" xfId="37239" xr:uid="{00000000-0005-0000-0000-000034740000}"/>
    <cellStyle name="Migliaia 15 4 2 4" xfId="38194" xr:uid="{00000000-0005-0000-0000-000035740000}"/>
    <cellStyle name="Migliaia 15 4 3" xfId="20455" xr:uid="{00000000-0005-0000-0000-000036740000}"/>
    <cellStyle name="Migliaia 15 4 3 2" xfId="37772" xr:uid="{00000000-0005-0000-0000-000037740000}"/>
    <cellStyle name="Migliaia 15 4 3 3" xfId="38727" xr:uid="{00000000-0005-0000-0000-000038740000}"/>
    <cellStyle name="Migliaia 15 4 4" xfId="19274" xr:uid="{00000000-0005-0000-0000-000039740000}"/>
    <cellStyle name="Migliaia 15 4 4 2" xfId="37238" xr:uid="{00000000-0005-0000-0000-00003A740000}"/>
    <cellStyle name="Migliaia 15 4 5" xfId="11379" xr:uid="{00000000-0005-0000-0000-00003B740000}"/>
    <cellStyle name="Migliaia 15 4 6" xfId="21396" xr:uid="{00000000-0005-0000-0000-00003C740000}"/>
    <cellStyle name="Migliaia 15 4 7" xfId="38193" xr:uid="{00000000-0005-0000-0000-00003D740000}"/>
    <cellStyle name="Migliaia 15 4 8" xfId="39549" xr:uid="{00000000-0005-0000-0000-00003E740000}"/>
    <cellStyle name="Migliaia 15 4 9" xfId="40035" xr:uid="{00000000-0005-0000-0000-00003F740000}"/>
    <cellStyle name="Migliaia 15 5" xfId="466" xr:uid="{00000000-0005-0000-0000-000040740000}"/>
    <cellStyle name="Migliaia 15 5 2" xfId="19276" xr:uid="{00000000-0005-0000-0000-000041740000}"/>
    <cellStyle name="Migliaia 15 5 2 2" xfId="37240" xr:uid="{00000000-0005-0000-0000-000042740000}"/>
    <cellStyle name="Migliaia 15 5 3" xfId="11380" xr:uid="{00000000-0005-0000-0000-000043740000}"/>
    <cellStyle name="Migliaia 15 5 4" xfId="21397" xr:uid="{00000000-0005-0000-0000-000044740000}"/>
    <cellStyle name="Migliaia 15 5 5" xfId="38195" xr:uid="{00000000-0005-0000-0000-000045740000}"/>
    <cellStyle name="Migliaia 15 5 6" xfId="39550" xr:uid="{00000000-0005-0000-0000-000046740000}"/>
    <cellStyle name="Migliaia 15 5 7" xfId="40036" xr:uid="{00000000-0005-0000-0000-000047740000}"/>
    <cellStyle name="Migliaia 15 6" xfId="467" xr:uid="{00000000-0005-0000-0000-000048740000}"/>
    <cellStyle name="Migliaia 15 6 2" xfId="11375" xr:uid="{00000000-0005-0000-0000-000049740000}"/>
    <cellStyle name="Migliaia 15 6 3" xfId="21398" xr:uid="{00000000-0005-0000-0000-00004A740000}"/>
    <cellStyle name="Migliaia 15 6 4" xfId="39551" xr:uid="{00000000-0005-0000-0000-00004B740000}"/>
    <cellStyle name="Migliaia 15 6 5" xfId="40037" xr:uid="{00000000-0005-0000-0000-00004C740000}"/>
    <cellStyle name="Migliaia 15 7" xfId="12046" xr:uid="{00000000-0005-0000-0000-00004D740000}"/>
    <cellStyle name="Migliaia 15 7 2" xfId="30231" xr:uid="{00000000-0005-0000-0000-00004E740000}"/>
    <cellStyle name="Migliaia 15 8" xfId="19269" xr:uid="{00000000-0005-0000-0000-00004F740000}"/>
    <cellStyle name="Migliaia 15 8 2" xfId="37233" xr:uid="{00000000-0005-0000-0000-000050740000}"/>
    <cellStyle name="Migliaia 15 9" xfId="3226" xr:uid="{00000000-0005-0000-0000-000051740000}"/>
    <cellStyle name="Migliaia 15 9 2" xfId="23226" xr:uid="{00000000-0005-0000-0000-000052740000}"/>
    <cellStyle name="Migliaia 16" xfId="468" xr:uid="{00000000-0005-0000-0000-000053740000}"/>
    <cellStyle name="Migliaia 16 10" xfId="21399" xr:uid="{00000000-0005-0000-0000-000054740000}"/>
    <cellStyle name="Migliaia 16 11" xfId="38196" xr:uid="{00000000-0005-0000-0000-000055740000}"/>
    <cellStyle name="Migliaia 16 12" xfId="39134" xr:uid="{00000000-0005-0000-0000-000056740000}"/>
    <cellStyle name="Migliaia 16 13" xfId="39552" xr:uid="{00000000-0005-0000-0000-000057740000}"/>
    <cellStyle name="Migliaia 16 14" xfId="40038" xr:uid="{00000000-0005-0000-0000-000058740000}"/>
    <cellStyle name="Migliaia 16 2" xfId="469" xr:uid="{00000000-0005-0000-0000-000059740000}"/>
    <cellStyle name="Migliaia 16 2 10" xfId="39553" xr:uid="{00000000-0005-0000-0000-00005A740000}"/>
    <cellStyle name="Migliaia 16 2 11" xfId="40039" xr:uid="{00000000-0005-0000-0000-00005B740000}"/>
    <cellStyle name="Migliaia 16 2 2" xfId="3544" xr:uid="{00000000-0005-0000-0000-00005C740000}"/>
    <cellStyle name="Migliaia 16 2 2 2" xfId="12305" xr:uid="{00000000-0005-0000-0000-00005D740000}"/>
    <cellStyle name="Migliaia 16 2 2 2 2" xfId="30475" xr:uid="{00000000-0005-0000-0000-00005E740000}"/>
    <cellStyle name="Migliaia 16 2 2 3" xfId="20457" xr:uid="{00000000-0005-0000-0000-00005F740000}"/>
    <cellStyle name="Migliaia 16 2 2 3 2" xfId="37774" xr:uid="{00000000-0005-0000-0000-000060740000}"/>
    <cellStyle name="Migliaia 16 2 2 4" xfId="23473" xr:uid="{00000000-0005-0000-0000-000061740000}"/>
    <cellStyle name="Migliaia 16 2 2 5" xfId="38729" xr:uid="{00000000-0005-0000-0000-000062740000}"/>
    <cellStyle name="Migliaia 16 2 2 6" xfId="39389" xr:uid="{00000000-0005-0000-0000-000063740000}"/>
    <cellStyle name="Migliaia 16 2 3" xfId="11382" xr:uid="{00000000-0005-0000-0000-000064740000}"/>
    <cellStyle name="Migliaia 16 2 4" xfId="12051" xr:uid="{00000000-0005-0000-0000-000065740000}"/>
    <cellStyle name="Migliaia 16 2 4 2" xfId="30236" xr:uid="{00000000-0005-0000-0000-000066740000}"/>
    <cellStyle name="Migliaia 16 2 5" xfId="19278" xr:uid="{00000000-0005-0000-0000-000067740000}"/>
    <cellStyle name="Migliaia 16 2 5 2" xfId="37242" xr:uid="{00000000-0005-0000-0000-000068740000}"/>
    <cellStyle name="Migliaia 16 2 6" xfId="3231" xr:uid="{00000000-0005-0000-0000-000069740000}"/>
    <cellStyle name="Migliaia 16 2 6 2" xfId="23231" xr:uid="{00000000-0005-0000-0000-00006A740000}"/>
    <cellStyle name="Migliaia 16 2 7" xfId="21400" xr:uid="{00000000-0005-0000-0000-00006B740000}"/>
    <cellStyle name="Migliaia 16 2 8" xfId="38197" xr:uid="{00000000-0005-0000-0000-00006C740000}"/>
    <cellStyle name="Migliaia 16 2 9" xfId="39135" xr:uid="{00000000-0005-0000-0000-00006D740000}"/>
    <cellStyle name="Migliaia 16 3" xfId="470" xr:uid="{00000000-0005-0000-0000-00006E740000}"/>
    <cellStyle name="Migliaia 16 3 10" xfId="39554" xr:uid="{00000000-0005-0000-0000-00006F740000}"/>
    <cellStyle name="Migliaia 16 3 11" xfId="40040" xr:uid="{00000000-0005-0000-0000-000070740000}"/>
    <cellStyle name="Migliaia 16 3 2" xfId="471" xr:uid="{00000000-0005-0000-0000-000071740000}"/>
    <cellStyle name="Migliaia 16 3 2 10" xfId="40041" xr:uid="{00000000-0005-0000-0000-000072740000}"/>
    <cellStyle name="Migliaia 16 3 2 2" xfId="11384" xr:uid="{00000000-0005-0000-0000-000073740000}"/>
    <cellStyle name="Migliaia 16 3 2 3" xfId="12053" xr:uid="{00000000-0005-0000-0000-000074740000}"/>
    <cellStyle name="Migliaia 16 3 2 3 2" xfId="30238" xr:uid="{00000000-0005-0000-0000-000075740000}"/>
    <cellStyle name="Migliaia 16 3 2 4" xfId="19280" xr:uid="{00000000-0005-0000-0000-000076740000}"/>
    <cellStyle name="Migliaia 16 3 2 4 2" xfId="37244" xr:uid="{00000000-0005-0000-0000-000077740000}"/>
    <cellStyle name="Migliaia 16 3 2 5" xfId="3233" xr:uid="{00000000-0005-0000-0000-000078740000}"/>
    <cellStyle name="Migliaia 16 3 2 5 2" xfId="23233" xr:uid="{00000000-0005-0000-0000-000079740000}"/>
    <cellStyle name="Migliaia 16 3 2 6" xfId="21402" xr:uid="{00000000-0005-0000-0000-00007A740000}"/>
    <cellStyle name="Migliaia 16 3 2 7" xfId="38199" xr:uid="{00000000-0005-0000-0000-00007B740000}"/>
    <cellStyle name="Migliaia 16 3 2 8" xfId="39137" xr:uid="{00000000-0005-0000-0000-00007C740000}"/>
    <cellStyle name="Migliaia 16 3 2 9" xfId="39555" xr:uid="{00000000-0005-0000-0000-00007D740000}"/>
    <cellStyle name="Migliaia 16 3 3" xfId="11383" xr:uid="{00000000-0005-0000-0000-00007E740000}"/>
    <cellStyle name="Migliaia 16 3 3 2" xfId="20459" xr:uid="{00000000-0005-0000-0000-00007F740000}"/>
    <cellStyle name="Migliaia 16 3 3 2 2" xfId="37776" xr:uid="{00000000-0005-0000-0000-000080740000}"/>
    <cellStyle name="Migliaia 16 3 3 2 3" xfId="38731" xr:uid="{00000000-0005-0000-0000-000081740000}"/>
    <cellStyle name="Migliaia 16 3 3 3" xfId="19281" xr:uid="{00000000-0005-0000-0000-000082740000}"/>
    <cellStyle name="Migliaia 16 3 3 3 2" xfId="37245" xr:uid="{00000000-0005-0000-0000-000083740000}"/>
    <cellStyle name="Migliaia 16 3 3 4" xfId="38200" xr:uid="{00000000-0005-0000-0000-000084740000}"/>
    <cellStyle name="Migliaia 16 3 4" xfId="12052" xr:uid="{00000000-0005-0000-0000-000085740000}"/>
    <cellStyle name="Migliaia 16 3 4 2" xfId="20458" xr:uid="{00000000-0005-0000-0000-000086740000}"/>
    <cellStyle name="Migliaia 16 3 4 2 2" xfId="37775" xr:uid="{00000000-0005-0000-0000-000087740000}"/>
    <cellStyle name="Migliaia 16 3 4 3" xfId="30237" xr:uid="{00000000-0005-0000-0000-000088740000}"/>
    <cellStyle name="Migliaia 16 3 4 4" xfId="38730" xr:uid="{00000000-0005-0000-0000-000089740000}"/>
    <cellStyle name="Migliaia 16 3 5" xfId="19279" xr:uid="{00000000-0005-0000-0000-00008A740000}"/>
    <cellStyle name="Migliaia 16 3 5 2" xfId="37243" xr:uid="{00000000-0005-0000-0000-00008B740000}"/>
    <cellStyle name="Migliaia 16 3 6" xfId="3232" xr:uid="{00000000-0005-0000-0000-00008C740000}"/>
    <cellStyle name="Migliaia 16 3 6 2" xfId="23232" xr:uid="{00000000-0005-0000-0000-00008D740000}"/>
    <cellStyle name="Migliaia 16 3 7" xfId="21401" xr:uid="{00000000-0005-0000-0000-00008E740000}"/>
    <cellStyle name="Migliaia 16 3 8" xfId="38198" xr:uid="{00000000-0005-0000-0000-00008F740000}"/>
    <cellStyle name="Migliaia 16 3 9" xfId="39136" xr:uid="{00000000-0005-0000-0000-000090740000}"/>
    <cellStyle name="Migliaia 16 4" xfId="472" xr:uid="{00000000-0005-0000-0000-000091740000}"/>
    <cellStyle name="Migliaia 16 4 2" xfId="19283" xr:uid="{00000000-0005-0000-0000-000092740000}"/>
    <cellStyle name="Migliaia 16 4 2 2" xfId="20461" xr:uid="{00000000-0005-0000-0000-000093740000}"/>
    <cellStyle name="Migliaia 16 4 2 2 2" xfId="37778" xr:uid="{00000000-0005-0000-0000-000094740000}"/>
    <cellStyle name="Migliaia 16 4 2 2 3" xfId="38733" xr:uid="{00000000-0005-0000-0000-000095740000}"/>
    <cellStyle name="Migliaia 16 4 2 3" xfId="37247" xr:uid="{00000000-0005-0000-0000-000096740000}"/>
    <cellStyle name="Migliaia 16 4 2 4" xfId="38202" xr:uid="{00000000-0005-0000-0000-000097740000}"/>
    <cellStyle name="Migliaia 16 4 3" xfId="20460" xr:uid="{00000000-0005-0000-0000-000098740000}"/>
    <cellStyle name="Migliaia 16 4 3 2" xfId="37777" xr:uid="{00000000-0005-0000-0000-000099740000}"/>
    <cellStyle name="Migliaia 16 4 3 3" xfId="38732" xr:uid="{00000000-0005-0000-0000-00009A740000}"/>
    <cellStyle name="Migliaia 16 4 4" xfId="19282" xr:uid="{00000000-0005-0000-0000-00009B740000}"/>
    <cellStyle name="Migliaia 16 4 4 2" xfId="37246" xr:uid="{00000000-0005-0000-0000-00009C740000}"/>
    <cellStyle name="Migliaia 16 4 5" xfId="11385" xr:uid="{00000000-0005-0000-0000-00009D740000}"/>
    <cellStyle name="Migliaia 16 4 6" xfId="21403" xr:uid="{00000000-0005-0000-0000-00009E740000}"/>
    <cellStyle name="Migliaia 16 4 7" xfId="38201" xr:uid="{00000000-0005-0000-0000-00009F740000}"/>
    <cellStyle name="Migliaia 16 4 8" xfId="39556" xr:uid="{00000000-0005-0000-0000-0000A0740000}"/>
    <cellStyle name="Migliaia 16 4 9" xfId="40042" xr:uid="{00000000-0005-0000-0000-0000A1740000}"/>
    <cellStyle name="Migliaia 16 5" xfId="473" xr:uid="{00000000-0005-0000-0000-0000A2740000}"/>
    <cellStyle name="Migliaia 16 5 2" xfId="19284" xr:uid="{00000000-0005-0000-0000-0000A3740000}"/>
    <cellStyle name="Migliaia 16 5 2 2" xfId="37248" xr:uid="{00000000-0005-0000-0000-0000A4740000}"/>
    <cellStyle name="Migliaia 16 5 3" xfId="11386" xr:uid="{00000000-0005-0000-0000-0000A5740000}"/>
    <cellStyle name="Migliaia 16 5 4" xfId="21404" xr:uid="{00000000-0005-0000-0000-0000A6740000}"/>
    <cellStyle name="Migliaia 16 5 5" xfId="38203" xr:uid="{00000000-0005-0000-0000-0000A7740000}"/>
    <cellStyle name="Migliaia 16 5 6" xfId="39557" xr:uid="{00000000-0005-0000-0000-0000A8740000}"/>
    <cellStyle name="Migliaia 16 5 7" xfId="40043" xr:uid="{00000000-0005-0000-0000-0000A9740000}"/>
    <cellStyle name="Migliaia 16 6" xfId="474" xr:uid="{00000000-0005-0000-0000-0000AA740000}"/>
    <cellStyle name="Migliaia 16 6 2" xfId="11381" xr:uid="{00000000-0005-0000-0000-0000AB740000}"/>
    <cellStyle name="Migliaia 16 6 3" xfId="21405" xr:uid="{00000000-0005-0000-0000-0000AC740000}"/>
    <cellStyle name="Migliaia 16 6 4" xfId="39558" xr:uid="{00000000-0005-0000-0000-0000AD740000}"/>
    <cellStyle name="Migliaia 16 6 5" xfId="40044" xr:uid="{00000000-0005-0000-0000-0000AE740000}"/>
    <cellStyle name="Migliaia 16 7" xfId="12050" xr:uid="{00000000-0005-0000-0000-0000AF740000}"/>
    <cellStyle name="Migliaia 16 7 2" xfId="30235" xr:uid="{00000000-0005-0000-0000-0000B0740000}"/>
    <cellStyle name="Migliaia 16 8" xfId="19277" xr:uid="{00000000-0005-0000-0000-0000B1740000}"/>
    <cellStyle name="Migliaia 16 8 2" xfId="37241" xr:uid="{00000000-0005-0000-0000-0000B2740000}"/>
    <cellStyle name="Migliaia 16 9" xfId="3230" xr:uid="{00000000-0005-0000-0000-0000B3740000}"/>
    <cellStyle name="Migliaia 16 9 2" xfId="23230" xr:uid="{00000000-0005-0000-0000-0000B4740000}"/>
    <cellStyle name="Migliaia 17" xfId="475" xr:uid="{00000000-0005-0000-0000-0000B5740000}"/>
    <cellStyle name="Migliaia 17 10" xfId="21406" xr:uid="{00000000-0005-0000-0000-0000B6740000}"/>
    <cellStyle name="Migliaia 17 11" xfId="38204" xr:uid="{00000000-0005-0000-0000-0000B7740000}"/>
    <cellStyle name="Migliaia 17 12" xfId="39138" xr:uid="{00000000-0005-0000-0000-0000B8740000}"/>
    <cellStyle name="Migliaia 17 13" xfId="39559" xr:uid="{00000000-0005-0000-0000-0000B9740000}"/>
    <cellStyle name="Migliaia 17 14" xfId="40045" xr:uid="{00000000-0005-0000-0000-0000BA740000}"/>
    <cellStyle name="Migliaia 17 2" xfId="476" xr:uid="{00000000-0005-0000-0000-0000BB740000}"/>
    <cellStyle name="Migliaia 17 2 10" xfId="39560" xr:uid="{00000000-0005-0000-0000-0000BC740000}"/>
    <cellStyle name="Migliaia 17 2 11" xfId="40046" xr:uid="{00000000-0005-0000-0000-0000BD740000}"/>
    <cellStyle name="Migliaia 17 2 2" xfId="3545" xr:uid="{00000000-0005-0000-0000-0000BE740000}"/>
    <cellStyle name="Migliaia 17 2 2 2" xfId="12306" xr:uid="{00000000-0005-0000-0000-0000BF740000}"/>
    <cellStyle name="Migliaia 17 2 2 2 2" xfId="30476" xr:uid="{00000000-0005-0000-0000-0000C0740000}"/>
    <cellStyle name="Migliaia 17 2 2 3" xfId="20462" xr:uid="{00000000-0005-0000-0000-0000C1740000}"/>
    <cellStyle name="Migliaia 17 2 2 3 2" xfId="37779" xr:uid="{00000000-0005-0000-0000-0000C2740000}"/>
    <cellStyle name="Migliaia 17 2 2 4" xfId="23474" xr:uid="{00000000-0005-0000-0000-0000C3740000}"/>
    <cellStyle name="Migliaia 17 2 2 5" xfId="38734" xr:uid="{00000000-0005-0000-0000-0000C4740000}"/>
    <cellStyle name="Migliaia 17 2 2 6" xfId="39390" xr:uid="{00000000-0005-0000-0000-0000C5740000}"/>
    <cellStyle name="Migliaia 17 2 3" xfId="11388" xr:uid="{00000000-0005-0000-0000-0000C6740000}"/>
    <cellStyle name="Migliaia 17 2 4" xfId="12055" xr:uid="{00000000-0005-0000-0000-0000C7740000}"/>
    <cellStyle name="Migliaia 17 2 4 2" xfId="30240" xr:uid="{00000000-0005-0000-0000-0000C8740000}"/>
    <cellStyle name="Migliaia 17 2 5" xfId="19286" xr:uid="{00000000-0005-0000-0000-0000C9740000}"/>
    <cellStyle name="Migliaia 17 2 5 2" xfId="37250" xr:uid="{00000000-0005-0000-0000-0000CA740000}"/>
    <cellStyle name="Migliaia 17 2 6" xfId="3235" xr:uid="{00000000-0005-0000-0000-0000CB740000}"/>
    <cellStyle name="Migliaia 17 2 6 2" xfId="23235" xr:uid="{00000000-0005-0000-0000-0000CC740000}"/>
    <cellStyle name="Migliaia 17 2 7" xfId="21407" xr:uid="{00000000-0005-0000-0000-0000CD740000}"/>
    <cellStyle name="Migliaia 17 2 8" xfId="38205" xr:uid="{00000000-0005-0000-0000-0000CE740000}"/>
    <cellStyle name="Migliaia 17 2 9" xfId="39139" xr:uid="{00000000-0005-0000-0000-0000CF740000}"/>
    <cellStyle name="Migliaia 17 3" xfId="477" xr:uid="{00000000-0005-0000-0000-0000D0740000}"/>
    <cellStyle name="Migliaia 17 3 10" xfId="39561" xr:uid="{00000000-0005-0000-0000-0000D1740000}"/>
    <cellStyle name="Migliaia 17 3 11" xfId="40047" xr:uid="{00000000-0005-0000-0000-0000D2740000}"/>
    <cellStyle name="Migliaia 17 3 2" xfId="478" xr:uid="{00000000-0005-0000-0000-0000D3740000}"/>
    <cellStyle name="Migliaia 17 3 2 10" xfId="40048" xr:uid="{00000000-0005-0000-0000-0000D4740000}"/>
    <cellStyle name="Migliaia 17 3 2 2" xfId="11390" xr:uid="{00000000-0005-0000-0000-0000D5740000}"/>
    <cellStyle name="Migliaia 17 3 2 3" xfId="12057" xr:uid="{00000000-0005-0000-0000-0000D6740000}"/>
    <cellStyle name="Migliaia 17 3 2 3 2" xfId="30242" xr:uid="{00000000-0005-0000-0000-0000D7740000}"/>
    <cellStyle name="Migliaia 17 3 2 4" xfId="19288" xr:uid="{00000000-0005-0000-0000-0000D8740000}"/>
    <cellStyle name="Migliaia 17 3 2 4 2" xfId="37252" xr:uid="{00000000-0005-0000-0000-0000D9740000}"/>
    <cellStyle name="Migliaia 17 3 2 5" xfId="3237" xr:uid="{00000000-0005-0000-0000-0000DA740000}"/>
    <cellStyle name="Migliaia 17 3 2 5 2" xfId="23237" xr:uid="{00000000-0005-0000-0000-0000DB740000}"/>
    <cellStyle name="Migliaia 17 3 2 6" xfId="21409" xr:uid="{00000000-0005-0000-0000-0000DC740000}"/>
    <cellStyle name="Migliaia 17 3 2 7" xfId="38207" xr:uid="{00000000-0005-0000-0000-0000DD740000}"/>
    <cellStyle name="Migliaia 17 3 2 8" xfId="39141" xr:uid="{00000000-0005-0000-0000-0000DE740000}"/>
    <cellStyle name="Migliaia 17 3 2 9" xfId="39562" xr:uid="{00000000-0005-0000-0000-0000DF740000}"/>
    <cellStyle name="Migliaia 17 3 3" xfId="11389" xr:uid="{00000000-0005-0000-0000-0000E0740000}"/>
    <cellStyle name="Migliaia 17 3 3 2" xfId="20464" xr:uid="{00000000-0005-0000-0000-0000E1740000}"/>
    <cellStyle name="Migliaia 17 3 3 2 2" xfId="37781" xr:uid="{00000000-0005-0000-0000-0000E2740000}"/>
    <cellStyle name="Migliaia 17 3 3 2 3" xfId="38736" xr:uid="{00000000-0005-0000-0000-0000E3740000}"/>
    <cellStyle name="Migliaia 17 3 3 3" xfId="19289" xr:uid="{00000000-0005-0000-0000-0000E4740000}"/>
    <cellStyle name="Migliaia 17 3 3 3 2" xfId="37253" xr:uid="{00000000-0005-0000-0000-0000E5740000}"/>
    <cellStyle name="Migliaia 17 3 3 4" xfId="38208" xr:uid="{00000000-0005-0000-0000-0000E6740000}"/>
    <cellStyle name="Migliaia 17 3 4" xfId="12056" xr:uid="{00000000-0005-0000-0000-0000E7740000}"/>
    <cellStyle name="Migliaia 17 3 4 2" xfId="20463" xr:uid="{00000000-0005-0000-0000-0000E8740000}"/>
    <cellStyle name="Migliaia 17 3 4 2 2" xfId="37780" xr:uid="{00000000-0005-0000-0000-0000E9740000}"/>
    <cellStyle name="Migliaia 17 3 4 3" xfId="30241" xr:uid="{00000000-0005-0000-0000-0000EA740000}"/>
    <cellStyle name="Migliaia 17 3 4 4" xfId="38735" xr:uid="{00000000-0005-0000-0000-0000EB740000}"/>
    <cellStyle name="Migliaia 17 3 5" xfId="19287" xr:uid="{00000000-0005-0000-0000-0000EC740000}"/>
    <cellStyle name="Migliaia 17 3 5 2" xfId="37251" xr:uid="{00000000-0005-0000-0000-0000ED740000}"/>
    <cellStyle name="Migliaia 17 3 6" xfId="3236" xr:uid="{00000000-0005-0000-0000-0000EE740000}"/>
    <cellStyle name="Migliaia 17 3 6 2" xfId="23236" xr:uid="{00000000-0005-0000-0000-0000EF740000}"/>
    <cellStyle name="Migliaia 17 3 7" xfId="21408" xr:uid="{00000000-0005-0000-0000-0000F0740000}"/>
    <cellStyle name="Migliaia 17 3 8" xfId="38206" xr:uid="{00000000-0005-0000-0000-0000F1740000}"/>
    <cellStyle name="Migliaia 17 3 9" xfId="39140" xr:uid="{00000000-0005-0000-0000-0000F2740000}"/>
    <cellStyle name="Migliaia 17 4" xfId="479" xr:uid="{00000000-0005-0000-0000-0000F3740000}"/>
    <cellStyle name="Migliaia 17 4 2" xfId="19291" xr:uid="{00000000-0005-0000-0000-0000F4740000}"/>
    <cellStyle name="Migliaia 17 4 2 2" xfId="20466" xr:uid="{00000000-0005-0000-0000-0000F5740000}"/>
    <cellStyle name="Migliaia 17 4 2 2 2" xfId="37783" xr:uid="{00000000-0005-0000-0000-0000F6740000}"/>
    <cellStyle name="Migliaia 17 4 2 2 3" xfId="38738" xr:uid="{00000000-0005-0000-0000-0000F7740000}"/>
    <cellStyle name="Migliaia 17 4 2 3" xfId="37255" xr:uid="{00000000-0005-0000-0000-0000F8740000}"/>
    <cellStyle name="Migliaia 17 4 2 4" xfId="38210" xr:uid="{00000000-0005-0000-0000-0000F9740000}"/>
    <cellStyle name="Migliaia 17 4 3" xfId="20465" xr:uid="{00000000-0005-0000-0000-0000FA740000}"/>
    <cellStyle name="Migliaia 17 4 3 2" xfId="37782" xr:uid="{00000000-0005-0000-0000-0000FB740000}"/>
    <cellStyle name="Migliaia 17 4 3 3" xfId="38737" xr:uid="{00000000-0005-0000-0000-0000FC740000}"/>
    <cellStyle name="Migliaia 17 4 4" xfId="19290" xr:uid="{00000000-0005-0000-0000-0000FD740000}"/>
    <cellStyle name="Migliaia 17 4 4 2" xfId="37254" xr:uid="{00000000-0005-0000-0000-0000FE740000}"/>
    <cellStyle name="Migliaia 17 4 5" xfId="11391" xr:uid="{00000000-0005-0000-0000-0000FF740000}"/>
    <cellStyle name="Migliaia 17 4 6" xfId="21410" xr:uid="{00000000-0005-0000-0000-000000750000}"/>
    <cellStyle name="Migliaia 17 4 7" xfId="38209" xr:uid="{00000000-0005-0000-0000-000001750000}"/>
    <cellStyle name="Migliaia 17 4 8" xfId="39563" xr:uid="{00000000-0005-0000-0000-000002750000}"/>
    <cellStyle name="Migliaia 17 4 9" xfId="40049" xr:uid="{00000000-0005-0000-0000-000003750000}"/>
    <cellStyle name="Migliaia 17 5" xfId="480" xr:uid="{00000000-0005-0000-0000-000004750000}"/>
    <cellStyle name="Migliaia 17 5 2" xfId="19292" xr:uid="{00000000-0005-0000-0000-000005750000}"/>
    <cellStyle name="Migliaia 17 5 2 2" xfId="37256" xr:uid="{00000000-0005-0000-0000-000006750000}"/>
    <cellStyle name="Migliaia 17 5 3" xfId="11392" xr:uid="{00000000-0005-0000-0000-000007750000}"/>
    <cellStyle name="Migliaia 17 5 4" xfId="21411" xr:uid="{00000000-0005-0000-0000-000008750000}"/>
    <cellStyle name="Migliaia 17 5 5" xfId="38211" xr:uid="{00000000-0005-0000-0000-000009750000}"/>
    <cellStyle name="Migliaia 17 5 6" xfId="39564" xr:uid="{00000000-0005-0000-0000-00000A750000}"/>
    <cellStyle name="Migliaia 17 5 7" xfId="40050" xr:uid="{00000000-0005-0000-0000-00000B750000}"/>
    <cellStyle name="Migliaia 17 6" xfId="481" xr:uid="{00000000-0005-0000-0000-00000C750000}"/>
    <cellStyle name="Migliaia 17 6 2" xfId="11387" xr:uid="{00000000-0005-0000-0000-00000D750000}"/>
    <cellStyle name="Migliaia 17 6 3" xfId="21412" xr:uid="{00000000-0005-0000-0000-00000E750000}"/>
    <cellStyle name="Migliaia 17 6 4" xfId="39565" xr:uid="{00000000-0005-0000-0000-00000F750000}"/>
    <cellStyle name="Migliaia 17 6 5" xfId="40051" xr:uid="{00000000-0005-0000-0000-000010750000}"/>
    <cellStyle name="Migliaia 17 7" xfId="12054" xr:uid="{00000000-0005-0000-0000-000011750000}"/>
    <cellStyle name="Migliaia 17 7 2" xfId="30239" xr:uid="{00000000-0005-0000-0000-000012750000}"/>
    <cellStyle name="Migliaia 17 8" xfId="19285" xr:uid="{00000000-0005-0000-0000-000013750000}"/>
    <cellStyle name="Migliaia 17 8 2" xfId="37249" xr:uid="{00000000-0005-0000-0000-000014750000}"/>
    <cellStyle name="Migliaia 17 9" xfId="3234" xr:uid="{00000000-0005-0000-0000-000015750000}"/>
    <cellStyle name="Migliaia 17 9 2" xfId="23234" xr:uid="{00000000-0005-0000-0000-000016750000}"/>
    <cellStyle name="Migliaia 18" xfId="482" xr:uid="{00000000-0005-0000-0000-000017750000}"/>
    <cellStyle name="Migliaia 18 10" xfId="21413" xr:uid="{00000000-0005-0000-0000-000018750000}"/>
    <cellStyle name="Migliaia 18 11" xfId="38212" xr:uid="{00000000-0005-0000-0000-000019750000}"/>
    <cellStyle name="Migliaia 18 12" xfId="39142" xr:uid="{00000000-0005-0000-0000-00001A750000}"/>
    <cellStyle name="Migliaia 18 13" xfId="39566" xr:uid="{00000000-0005-0000-0000-00001B750000}"/>
    <cellStyle name="Migliaia 18 14" xfId="40052" xr:uid="{00000000-0005-0000-0000-00001C750000}"/>
    <cellStyle name="Migliaia 18 2" xfId="483" xr:uid="{00000000-0005-0000-0000-00001D750000}"/>
    <cellStyle name="Migliaia 18 2 10" xfId="39567" xr:uid="{00000000-0005-0000-0000-00001E750000}"/>
    <cellStyle name="Migliaia 18 2 11" xfId="40053" xr:uid="{00000000-0005-0000-0000-00001F750000}"/>
    <cellStyle name="Migliaia 18 2 2" xfId="3546" xr:uid="{00000000-0005-0000-0000-000020750000}"/>
    <cellStyle name="Migliaia 18 2 2 2" xfId="12307" xr:uid="{00000000-0005-0000-0000-000021750000}"/>
    <cellStyle name="Migliaia 18 2 2 2 2" xfId="30477" xr:uid="{00000000-0005-0000-0000-000022750000}"/>
    <cellStyle name="Migliaia 18 2 2 3" xfId="20467" xr:uid="{00000000-0005-0000-0000-000023750000}"/>
    <cellStyle name="Migliaia 18 2 2 3 2" xfId="37784" xr:uid="{00000000-0005-0000-0000-000024750000}"/>
    <cellStyle name="Migliaia 18 2 2 4" xfId="23475" xr:uid="{00000000-0005-0000-0000-000025750000}"/>
    <cellStyle name="Migliaia 18 2 2 5" xfId="38739" xr:uid="{00000000-0005-0000-0000-000026750000}"/>
    <cellStyle name="Migliaia 18 2 2 6" xfId="39391" xr:uid="{00000000-0005-0000-0000-000027750000}"/>
    <cellStyle name="Migliaia 18 2 3" xfId="11394" xr:uid="{00000000-0005-0000-0000-000028750000}"/>
    <cellStyle name="Migliaia 18 2 4" xfId="12059" xr:uid="{00000000-0005-0000-0000-000029750000}"/>
    <cellStyle name="Migliaia 18 2 4 2" xfId="30244" xr:uid="{00000000-0005-0000-0000-00002A750000}"/>
    <cellStyle name="Migliaia 18 2 5" xfId="19294" xr:uid="{00000000-0005-0000-0000-00002B750000}"/>
    <cellStyle name="Migliaia 18 2 5 2" xfId="37258" xr:uid="{00000000-0005-0000-0000-00002C750000}"/>
    <cellStyle name="Migliaia 18 2 6" xfId="3239" xr:uid="{00000000-0005-0000-0000-00002D750000}"/>
    <cellStyle name="Migliaia 18 2 6 2" xfId="23239" xr:uid="{00000000-0005-0000-0000-00002E750000}"/>
    <cellStyle name="Migliaia 18 2 7" xfId="21414" xr:uid="{00000000-0005-0000-0000-00002F750000}"/>
    <cellStyle name="Migliaia 18 2 8" xfId="38213" xr:uid="{00000000-0005-0000-0000-000030750000}"/>
    <cellStyle name="Migliaia 18 2 9" xfId="39143" xr:uid="{00000000-0005-0000-0000-000031750000}"/>
    <cellStyle name="Migliaia 18 3" xfId="484" xr:uid="{00000000-0005-0000-0000-000032750000}"/>
    <cellStyle name="Migliaia 18 3 10" xfId="39568" xr:uid="{00000000-0005-0000-0000-000033750000}"/>
    <cellStyle name="Migliaia 18 3 11" xfId="40054" xr:uid="{00000000-0005-0000-0000-000034750000}"/>
    <cellStyle name="Migliaia 18 3 2" xfId="485" xr:uid="{00000000-0005-0000-0000-000035750000}"/>
    <cellStyle name="Migliaia 18 3 2 10" xfId="40055" xr:uid="{00000000-0005-0000-0000-000036750000}"/>
    <cellStyle name="Migliaia 18 3 2 2" xfId="11396" xr:uid="{00000000-0005-0000-0000-000037750000}"/>
    <cellStyle name="Migliaia 18 3 2 3" xfId="12061" xr:uid="{00000000-0005-0000-0000-000038750000}"/>
    <cellStyle name="Migliaia 18 3 2 3 2" xfId="30246" xr:uid="{00000000-0005-0000-0000-000039750000}"/>
    <cellStyle name="Migliaia 18 3 2 4" xfId="19296" xr:uid="{00000000-0005-0000-0000-00003A750000}"/>
    <cellStyle name="Migliaia 18 3 2 4 2" xfId="37260" xr:uid="{00000000-0005-0000-0000-00003B750000}"/>
    <cellStyle name="Migliaia 18 3 2 5" xfId="3241" xr:uid="{00000000-0005-0000-0000-00003C750000}"/>
    <cellStyle name="Migliaia 18 3 2 5 2" xfId="23241" xr:uid="{00000000-0005-0000-0000-00003D750000}"/>
    <cellStyle name="Migliaia 18 3 2 6" xfId="21416" xr:uid="{00000000-0005-0000-0000-00003E750000}"/>
    <cellStyle name="Migliaia 18 3 2 7" xfId="38215" xr:uid="{00000000-0005-0000-0000-00003F750000}"/>
    <cellStyle name="Migliaia 18 3 2 8" xfId="39145" xr:uid="{00000000-0005-0000-0000-000040750000}"/>
    <cellStyle name="Migliaia 18 3 2 9" xfId="39569" xr:uid="{00000000-0005-0000-0000-000041750000}"/>
    <cellStyle name="Migliaia 18 3 3" xfId="11395" xr:uid="{00000000-0005-0000-0000-000042750000}"/>
    <cellStyle name="Migliaia 18 3 3 2" xfId="20469" xr:uid="{00000000-0005-0000-0000-000043750000}"/>
    <cellStyle name="Migliaia 18 3 3 2 2" xfId="37786" xr:uid="{00000000-0005-0000-0000-000044750000}"/>
    <cellStyle name="Migliaia 18 3 3 2 3" xfId="38741" xr:uid="{00000000-0005-0000-0000-000045750000}"/>
    <cellStyle name="Migliaia 18 3 3 3" xfId="19297" xr:uid="{00000000-0005-0000-0000-000046750000}"/>
    <cellStyle name="Migliaia 18 3 3 3 2" xfId="37261" xr:uid="{00000000-0005-0000-0000-000047750000}"/>
    <cellStyle name="Migliaia 18 3 3 4" xfId="38216" xr:uid="{00000000-0005-0000-0000-000048750000}"/>
    <cellStyle name="Migliaia 18 3 4" xfId="12060" xr:uid="{00000000-0005-0000-0000-000049750000}"/>
    <cellStyle name="Migliaia 18 3 4 2" xfId="20468" xr:uid="{00000000-0005-0000-0000-00004A750000}"/>
    <cellStyle name="Migliaia 18 3 4 2 2" xfId="37785" xr:uid="{00000000-0005-0000-0000-00004B750000}"/>
    <cellStyle name="Migliaia 18 3 4 3" xfId="30245" xr:uid="{00000000-0005-0000-0000-00004C750000}"/>
    <cellStyle name="Migliaia 18 3 4 4" xfId="38740" xr:uid="{00000000-0005-0000-0000-00004D750000}"/>
    <cellStyle name="Migliaia 18 3 5" xfId="19295" xr:uid="{00000000-0005-0000-0000-00004E750000}"/>
    <cellStyle name="Migliaia 18 3 5 2" xfId="37259" xr:uid="{00000000-0005-0000-0000-00004F750000}"/>
    <cellStyle name="Migliaia 18 3 6" xfId="3240" xr:uid="{00000000-0005-0000-0000-000050750000}"/>
    <cellStyle name="Migliaia 18 3 6 2" xfId="23240" xr:uid="{00000000-0005-0000-0000-000051750000}"/>
    <cellStyle name="Migliaia 18 3 7" xfId="21415" xr:uid="{00000000-0005-0000-0000-000052750000}"/>
    <cellStyle name="Migliaia 18 3 8" xfId="38214" xr:uid="{00000000-0005-0000-0000-000053750000}"/>
    <cellStyle name="Migliaia 18 3 9" xfId="39144" xr:uid="{00000000-0005-0000-0000-000054750000}"/>
    <cellStyle name="Migliaia 18 4" xfId="486" xr:uid="{00000000-0005-0000-0000-000055750000}"/>
    <cellStyle name="Migliaia 18 4 2" xfId="19299" xr:uid="{00000000-0005-0000-0000-000056750000}"/>
    <cellStyle name="Migliaia 18 4 2 2" xfId="20471" xr:uid="{00000000-0005-0000-0000-000057750000}"/>
    <cellStyle name="Migliaia 18 4 2 2 2" xfId="37788" xr:uid="{00000000-0005-0000-0000-000058750000}"/>
    <cellStyle name="Migliaia 18 4 2 2 3" xfId="38743" xr:uid="{00000000-0005-0000-0000-000059750000}"/>
    <cellStyle name="Migliaia 18 4 2 3" xfId="37263" xr:uid="{00000000-0005-0000-0000-00005A750000}"/>
    <cellStyle name="Migliaia 18 4 2 4" xfId="38218" xr:uid="{00000000-0005-0000-0000-00005B750000}"/>
    <cellStyle name="Migliaia 18 4 3" xfId="20470" xr:uid="{00000000-0005-0000-0000-00005C750000}"/>
    <cellStyle name="Migliaia 18 4 3 2" xfId="37787" xr:uid="{00000000-0005-0000-0000-00005D750000}"/>
    <cellStyle name="Migliaia 18 4 3 3" xfId="38742" xr:uid="{00000000-0005-0000-0000-00005E750000}"/>
    <cellStyle name="Migliaia 18 4 4" xfId="19298" xr:uid="{00000000-0005-0000-0000-00005F750000}"/>
    <cellStyle name="Migliaia 18 4 4 2" xfId="37262" xr:uid="{00000000-0005-0000-0000-000060750000}"/>
    <cellStyle name="Migliaia 18 4 5" xfId="11397" xr:uid="{00000000-0005-0000-0000-000061750000}"/>
    <cellStyle name="Migliaia 18 4 6" xfId="21417" xr:uid="{00000000-0005-0000-0000-000062750000}"/>
    <cellStyle name="Migliaia 18 4 7" xfId="38217" xr:uid="{00000000-0005-0000-0000-000063750000}"/>
    <cellStyle name="Migliaia 18 4 8" xfId="39570" xr:uid="{00000000-0005-0000-0000-000064750000}"/>
    <cellStyle name="Migliaia 18 4 9" xfId="40056" xr:uid="{00000000-0005-0000-0000-000065750000}"/>
    <cellStyle name="Migliaia 18 5" xfId="487" xr:uid="{00000000-0005-0000-0000-000066750000}"/>
    <cellStyle name="Migliaia 18 5 2" xfId="19300" xr:uid="{00000000-0005-0000-0000-000067750000}"/>
    <cellStyle name="Migliaia 18 5 2 2" xfId="37264" xr:uid="{00000000-0005-0000-0000-000068750000}"/>
    <cellStyle name="Migliaia 18 5 3" xfId="11398" xr:uid="{00000000-0005-0000-0000-000069750000}"/>
    <cellStyle name="Migliaia 18 5 4" xfId="21418" xr:uid="{00000000-0005-0000-0000-00006A750000}"/>
    <cellStyle name="Migliaia 18 5 5" xfId="38219" xr:uid="{00000000-0005-0000-0000-00006B750000}"/>
    <cellStyle name="Migliaia 18 5 6" xfId="39571" xr:uid="{00000000-0005-0000-0000-00006C750000}"/>
    <cellStyle name="Migliaia 18 5 7" xfId="40057" xr:uid="{00000000-0005-0000-0000-00006D750000}"/>
    <cellStyle name="Migliaia 18 6" xfId="488" xr:uid="{00000000-0005-0000-0000-00006E750000}"/>
    <cellStyle name="Migliaia 18 6 2" xfId="11393" xr:uid="{00000000-0005-0000-0000-00006F750000}"/>
    <cellStyle name="Migliaia 18 6 3" xfId="21419" xr:uid="{00000000-0005-0000-0000-000070750000}"/>
    <cellStyle name="Migliaia 18 6 4" xfId="39572" xr:uid="{00000000-0005-0000-0000-000071750000}"/>
    <cellStyle name="Migliaia 18 6 5" xfId="40058" xr:uid="{00000000-0005-0000-0000-000072750000}"/>
    <cellStyle name="Migliaia 18 7" xfId="12058" xr:uid="{00000000-0005-0000-0000-000073750000}"/>
    <cellStyle name="Migliaia 18 7 2" xfId="30243" xr:uid="{00000000-0005-0000-0000-000074750000}"/>
    <cellStyle name="Migliaia 18 8" xfId="19293" xr:uid="{00000000-0005-0000-0000-000075750000}"/>
    <cellStyle name="Migliaia 18 8 2" xfId="37257" xr:uid="{00000000-0005-0000-0000-000076750000}"/>
    <cellStyle name="Migliaia 18 9" xfId="3238" xr:uid="{00000000-0005-0000-0000-000077750000}"/>
    <cellStyle name="Migliaia 18 9 2" xfId="23238" xr:uid="{00000000-0005-0000-0000-000078750000}"/>
    <cellStyle name="Migliaia 19" xfId="489" xr:uid="{00000000-0005-0000-0000-000079750000}"/>
    <cellStyle name="Migliaia 19 10" xfId="21420" xr:uid="{00000000-0005-0000-0000-00007A750000}"/>
    <cellStyle name="Migliaia 19 11" xfId="38220" xr:uid="{00000000-0005-0000-0000-00007B750000}"/>
    <cellStyle name="Migliaia 19 12" xfId="39146" xr:uid="{00000000-0005-0000-0000-00007C750000}"/>
    <cellStyle name="Migliaia 19 13" xfId="39573" xr:uid="{00000000-0005-0000-0000-00007D750000}"/>
    <cellStyle name="Migliaia 19 14" xfId="40059" xr:uid="{00000000-0005-0000-0000-00007E750000}"/>
    <cellStyle name="Migliaia 19 2" xfId="490" xr:uid="{00000000-0005-0000-0000-00007F750000}"/>
    <cellStyle name="Migliaia 19 2 10" xfId="39574" xr:uid="{00000000-0005-0000-0000-000080750000}"/>
    <cellStyle name="Migliaia 19 2 11" xfId="40060" xr:uid="{00000000-0005-0000-0000-000081750000}"/>
    <cellStyle name="Migliaia 19 2 2" xfId="3547" xr:uid="{00000000-0005-0000-0000-000082750000}"/>
    <cellStyle name="Migliaia 19 2 2 2" xfId="12308" xr:uid="{00000000-0005-0000-0000-000083750000}"/>
    <cellStyle name="Migliaia 19 2 2 2 2" xfId="30478" xr:uid="{00000000-0005-0000-0000-000084750000}"/>
    <cellStyle name="Migliaia 19 2 2 3" xfId="20472" xr:uid="{00000000-0005-0000-0000-000085750000}"/>
    <cellStyle name="Migliaia 19 2 2 3 2" xfId="37789" xr:uid="{00000000-0005-0000-0000-000086750000}"/>
    <cellStyle name="Migliaia 19 2 2 4" xfId="23476" xr:uid="{00000000-0005-0000-0000-000087750000}"/>
    <cellStyle name="Migliaia 19 2 2 5" xfId="38744" xr:uid="{00000000-0005-0000-0000-000088750000}"/>
    <cellStyle name="Migliaia 19 2 2 6" xfId="39392" xr:uid="{00000000-0005-0000-0000-000089750000}"/>
    <cellStyle name="Migliaia 19 2 3" xfId="11400" xr:uid="{00000000-0005-0000-0000-00008A750000}"/>
    <cellStyle name="Migliaia 19 2 4" xfId="12063" xr:uid="{00000000-0005-0000-0000-00008B750000}"/>
    <cellStyle name="Migliaia 19 2 4 2" xfId="30248" xr:uid="{00000000-0005-0000-0000-00008C750000}"/>
    <cellStyle name="Migliaia 19 2 5" xfId="19302" xr:uid="{00000000-0005-0000-0000-00008D750000}"/>
    <cellStyle name="Migliaia 19 2 5 2" xfId="37266" xr:uid="{00000000-0005-0000-0000-00008E750000}"/>
    <cellStyle name="Migliaia 19 2 6" xfId="3243" xr:uid="{00000000-0005-0000-0000-00008F750000}"/>
    <cellStyle name="Migliaia 19 2 6 2" xfId="23243" xr:uid="{00000000-0005-0000-0000-000090750000}"/>
    <cellStyle name="Migliaia 19 2 7" xfId="21421" xr:uid="{00000000-0005-0000-0000-000091750000}"/>
    <cellStyle name="Migliaia 19 2 8" xfId="38221" xr:uid="{00000000-0005-0000-0000-000092750000}"/>
    <cellStyle name="Migliaia 19 2 9" xfId="39147" xr:uid="{00000000-0005-0000-0000-000093750000}"/>
    <cellStyle name="Migliaia 19 3" xfId="491" xr:uid="{00000000-0005-0000-0000-000094750000}"/>
    <cellStyle name="Migliaia 19 3 10" xfId="39575" xr:uid="{00000000-0005-0000-0000-000095750000}"/>
    <cellStyle name="Migliaia 19 3 11" xfId="40061" xr:uid="{00000000-0005-0000-0000-000096750000}"/>
    <cellStyle name="Migliaia 19 3 2" xfId="492" xr:uid="{00000000-0005-0000-0000-000097750000}"/>
    <cellStyle name="Migliaia 19 3 2 10" xfId="40062" xr:uid="{00000000-0005-0000-0000-000098750000}"/>
    <cellStyle name="Migliaia 19 3 2 2" xfId="11402" xr:uid="{00000000-0005-0000-0000-000099750000}"/>
    <cellStyle name="Migliaia 19 3 2 3" xfId="12065" xr:uid="{00000000-0005-0000-0000-00009A750000}"/>
    <cellStyle name="Migliaia 19 3 2 3 2" xfId="30250" xr:uid="{00000000-0005-0000-0000-00009B750000}"/>
    <cellStyle name="Migliaia 19 3 2 4" xfId="19304" xr:uid="{00000000-0005-0000-0000-00009C750000}"/>
    <cellStyle name="Migliaia 19 3 2 4 2" xfId="37268" xr:uid="{00000000-0005-0000-0000-00009D750000}"/>
    <cellStyle name="Migliaia 19 3 2 5" xfId="3245" xr:uid="{00000000-0005-0000-0000-00009E750000}"/>
    <cellStyle name="Migliaia 19 3 2 5 2" xfId="23245" xr:uid="{00000000-0005-0000-0000-00009F750000}"/>
    <cellStyle name="Migliaia 19 3 2 6" xfId="21423" xr:uid="{00000000-0005-0000-0000-0000A0750000}"/>
    <cellStyle name="Migliaia 19 3 2 7" xfId="38223" xr:uid="{00000000-0005-0000-0000-0000A1750000}"/>
    <cellStyle name="Migliaia 19 3 2 8" xfId="39149" xr:uid="{00000000-0005-0000-0000-0000A2750000}"/>
    <cellStyle name="Migliaia 19 3 2 9" xfId="39576" xr:uid="{00000000-0005-0000-0000-0000A3750000}"/>
    <cellStyle name="Migliaia 19 3 3" xfId="11401" xr:uid="{00000000-0005-0000-0000-0000A4750000}"/>
    <cellStyle name="Migliaia 19 3 3 2" xfId="20474" xr:uid="{00000000-0005-0000-0000-0000A5750000}"/>
    <cellStyle name="Migliaia 19 3 3 2 2" xfId="37791" xr:uid="{00000000-0005-0000-0000-0000A6750000}"/>
    <cellStyle name="Migliaia 19 3 3 2 3" xfId="38746" xr:uid="{00000000-0005-0000-0000-0000A7750000}"/>
    <cellStyle name="Migliaia 19 3 3 3" xfId="19305" xr:uid="{00000000-0005-0000-0000-0000A8750000}"/>
    <cellStyle name="Migliaia 19 3 3 3 2" xfId="37269" xr:uid="{00000000-0005-0000-0000-0000A9750000}"/>
    <cellStyle name="Migliaia 19 3 3 4" xfId="38224" xr:uid="{00000000-0005-0000-0000-0000AA750000}"/>
    <cellStyle name="Migliaia 19 3 4" xfId="12064" xr:uid="{00000000-0005-0000-0000-0000AB750000}"/>
    <cellStyle name="Migliaia 19 3 4 2" xfId="20473" xr:uid="{00000000-0005-0000-0000-0000AC750000}"/>
    <cellStyle name="Migliaia 19 3 4 2 2" xfId="37790" xr:uid="{00000000-0005-0000-0000-0000AD750000}"/>
    <cellStyle name="Migliaia 19 3 4 3" xfId="30249" xr:uid="{00000000-0005-0000-0000-0000AE750000}"/>
    <cellStyle name="Migliaia 19 3 4 4" xfId="38745" xr:uid="{00000000-0005-0000-0000-0000AF750000}"/>
    <cellStyle name="Migliaia 19 3 5" xfId="19303" xr:uid="{00000000-0005-0000-0000-0000B0750000}"/>
    <cellStyle name="Migliaia 19 3 5 2" xfId="37267" xr:uid="{00000000-0005-0000-0000-0000B1750000}"/>
    <cellStyle name="Migliaia 19 3 6" xfId="3244" xr:uid="{00000000-0005-0000-0000-0000B2750000}"/>
    <cellStyle name="Migliaia 19 3 6 2" xfId="23244" xr:uid="{00000000-0005-0000-0000-0000B3750000}"/>
    <cellStyle name="Migliaia 19 3 7" xfId="21422" xr:uid="{00000000-0005-0000-0000-0000B4750000}"/>
    <cellStyle name="Migliaia 19 3 8" xfId="38222" xr:uid="{00000000-0005-0000-0000-0000B5750000}"/>
    <cellStyle name="Migliaia 19 3 9" xfId="39148" xr:uid="{00000000-0005-0000-0000-0000B6750000}"/>
    <cellStyle name="Migliaia 19 4" xfId="493" xr:uid="{00000000-0005-0000-0000-0000B7750000}"/>
    <cellStyle name="Migliaia 19 4 2" xfId="19307" xr:uid="{00000000-0005-0000-0000-0000B8750000}"/>
    <cellStyle name="Migliaia 19 4 2 2" xfId="20476" xr:uid="{00000000-0005-0000-0000-0000B9750000}"/>
    <cellStyle name="Migliaia 19 4 2 2 2" xfId="37793" xr:uid="{00000000-0005-0000-0000-0000BA750000}"/>
    <cellStyle name="Migliaia 19 4 2 2 3" xfId="38748" xr:uid="{00000000-0005-0000-0000-0000BB750000}"/>
    <cellStyle name="Migliaia 19 4 2 3" xfId="37271" xr:uid="{00000000-0005-0000-0000-0000BC750000}"/>
    <cellStyle name="Migliaia 19 4 2 4" xfId="38226" xr:uid="{00000000-0005-0000-0000-0000BD750000}"/>
    <cellStyle name="Migliaia 19 4 3" xfId="20475" xr:uid="{00000000-0005-0000-0000-0000BE750000}"/>
    <cellStyle name="Migliaia 19 4 3 2" xfId="37792" xr:uid="{00000000-0005-0000-0000-0000BF750000}"/>
    <cellStyle name="Migliaia 19 4 3 3" xfId="38747" xr:uid="{00000000-0005-0000-0000-0000C0750000}"/>
    <cellStyle name="Migliaia 19 4 4" xfId="19306" xr:uid="{00000000-0005-0000-0000-0000C1750000}"/>
    <cellStyle name="Migliaia 19 4 4 2" xfId="37270" xr:uid="{00000000-0005-0000-0000-0000C2750000}"/>
    <cellStyle name="Migliaia 19 4 5" xfId="11403" xr:uid="{00000000-0005-0000-0000-0000C3750000}"/>
    <cellStyle name="Migliaia 19 4 6" xfId="21424" xr:uid="{00000000-0005-0000-0000-0000C4750000}"/>
    <cellStyle name="Migliaia 19 4 7" xfId="38225" xr:uid="{00000000-0005-0000-0000-0000C5750000}"/>
    <cellStyle name="Migliaia 19 4 8" xfId="39577" xr:uid="{00000000-0005-0000-0000-0000C6750000}"/>
    <cellStyle name="Migliaia 19 4 9" xfId="40063" xr:uid="{00000000-0005-0000-0000-0000C7750000}"/>
    <cellStyle name="Migliaia 19 5" xfId="494" xr:uid="{00000000-0005-0000-0000-0000C8750000}"/>
    <cellStyle name="Migliaia 19 5 2" xfId="19308" xr:uid="{00000000-0005-0000-0000-0000C9750000}"/>
    <cellStyle name="Migliaia 19 5 2 2" xfId="37272" xr:uid="{00000000-0005-0000-0000-0000CA750000}"/>
    <cellStyle name="Migliaia 19 5 3" xfId="11404" xr:uid="{00000000-0005-0000-0000-0000CB750000}"/>
    <cellStyle name="Migliaia 19 5 4" xfId="21425" xr:uid="{00000000-0005-0000-0000-0000CC750000}"/>
    <cellStyle name="Migliaia 19 5 5" xfId="38227" xr:uid="{00000000-0005-0000-0000-0000CD750000}"/>
    <cellStyle name="Migliaia 19 5 6" xfId="39578" xr:uid="{00000000-0005-0000-0000-0000CE750000}"/>
    <cellStyle name="Migliaia 19 5 7" xfId="40064" xr:uid="{00000000-0005-0000-0000-0000CF750000}"/>
    <cellStyle name="Migliaia 19 6" xfId="495" xr:uid="{00000000-0005-0000-0000-0000D0750000}"/>
    <cellStyle name="Migliaia 19 6 2" xfId="11399" xr:uid="{00000000-0005-0000-0000-0000D1750000}"/>
    <cellStyle name="Migliaia 19 6 3" xfId="21426" xr:uid="{00000000-0005-0000-0000-0000D2750000}"/>
    <cellStyle name="Migliaia 19 6 4" xfId="39579" xr:uid="{00000000-0005-0000-0000-0000D3750000}"/>
    <cellStyle name="Migliaia 19 6 5" xfId="40065" xr:uid="{00000000-0005-0000-0000-0000D4750000}"/>
    <cellStyle name="Migliaia 19 7" xfId="12062" xr:uid="{00000000-0005-0000-0000-0000D5750000}"/>
    <cellStyle name="Migliaia 19 7 2" xfId="30247" xr:uid="{00000000-0005-0000-0000-0000D6750000}"/>
    <cellStyle name="Migliaia 19 8" xfId="19301" xr:uid="{00000000-0005-0000-0000-0000D7750000}"/>
    <cellStyle name="Migliaia 19 8 2" xfId="37265" xr:uid="{00000000-0005-0000-0000-0000D8750000}"/>
    <cellStyle name="Migliaia 19 9" xfId="3242" xr:uid="{00000000-0005-0000-0000-0000D9750000}"/>
    <cellStyle name="Migliaia 19 9 2" xfId="23242" xr:uid="{00000000-0005-0000-0000-0000DA750000}"/>
    <cellStyle name="Migliaia 2" xfId="496" xr:uid="{00000000-0005-0000-0000-0000DB750000}"/>
    <cellStyle name="Migliaia 2 10" xfId="3246" xr:uid="{00000000-0005-0000-0000-0000DC750000}"/>
    <cellStyle name="Migliaia 2 10 2" xfId="23246" xr:uid="{00000000-0005-0000-0000-0000DD750000}"/>
    <cellStyle name="Migliaia 2 11" xfId="21427" xr:uid="{00000000-0005-0000-0000-0000DE750000}"/>
    <cellStyle name="Migliaia 2 12" xfId="38228" xr:uid="{00000000-0005-0000-0000-0000DF750000}"/>
    <cellStyle name="Migliaia 2 13" xfId="39150" xr:uid="{00000000-0005-0000-0000-0000E0750000}"/>
    <cellStyle name="Migliaia 2 14" xfId="39580" xr:uid="{00000000-0005-0000-0000-0000E1750000}"/>
    <cellStyle name="Migliaia 2 15" xfId="40066" xr:uid="{00000000-0005-0000-0000-0000E2750000}"/>
    <cellStyle name="Migliaia 2 2" xfId="497" xr:uid="{00000000-0005-0000-0000-0000E3750000}"/>
    <cellStyle name="Migliaia 2 2 10" xfId="39581" xr:uid="{00000000-0005-0000-0000-0000E4750000}"/>
    <cellStyle name="Migliaia 2 2 11" xfId="40067" xr:uid="{00000000-0005-0000-0000-0000E5750000}"/>
    <cellStyle name="Migliaia 2 2 2" xfId="3548" xr:uid="{00000000-0005-0000-0000-0000E6750000}"/>
    <cellStyle name="Migliaia 2 2 2 2" xfId="12309" xr:uid="{00000000-0005-0000-0000-0000E7750000}"/>
    <cellStyle name="Migliaia 2 2 2 2 2" xfId="30479" xr:uid="{00000000-0005-0000-0000-0000E8750000}"/>
    <cellStyle name="Migliaia 2 2 2 3" xfId="20229" xr:uid="{00000000-0005-0000-0000-0000E9750000}"/>
    <cellStyle name="Migliaia 2 2 2 3 2" xfId="37739" xr:uid="{00000000-0005-0000-0000-0000EA750000}"/>
    <cellStyle name="Migliaia 2 2 2 4" xfId="23477" xr:uid="{00000000-0005-0000-0000-0000EB750000}"/>
    <cellStyle name="Migliaia 2 2 2 5" xfId="38694" xr:uid="{00000000-0005-0000-0000-0000EC750000}"/>
    <cellStyle name="Migliaia 2 2 2 6" xfId="39393" xr:uid="{00000000-0005-0000-0000-0000ED750000}"/>
    <cellStyle name="Migliaia 2 2 3" xfId="11406" xr:uid="{00000000-0005-0000-0000-0000EE750000}"/>
    <cellStyle name="Migliaia 2 2 4" xfId="12067" xr:uid="{00000000-0005-0000-0000-0000EF750000}"/>
    <cellStyle name="Migliaia 2 2 4 2" xfId="30252" xr:uid="{00000000-0005-0000-0000-0000F0750000}"/>
    <cellStyle name="Migliaia 2 2 5" xfId="19310" xr:uid="{00000000-0005-0000-0000-0000F1750000}"/>
    <cellStyle name="Migliaia 2 2 5 2" xfId="37274" xr:uid="{00000000-0005-0000-0000-0000F2750000}"/>
    <cellStyle name="Migliaia 2 2 6" xfId="3247" xr:uid="{00000000-0005-0000-0000-0000F3750000}"/>
    <cellStyle name="Migliaia 2 2 6 2" xfId="23247" xr:uid="{00000000-0005-0000-0000-0000F4750000}"/>
    <cellStyle name="Migliaia 2 2 7" xfId="21428" xr:uid="{00000000-0005-0000-0000-0000F5750000}"/>
    <cellStyle name="Migliaia 2 2 8" xfId="38229" xr:uid="{00000000-0005-0000-0000-0000F6750000}"/>
    <cellStyle name="Migliaia 2 2 9" xfId="39151" xr:uid="{00000000-0005-0000-0000-0000F7750000}"/>
    <cellStyle name="Migliaia 2 3" xfId="498" xr:uid="{00000000-0005-0000-0000-0000F8750000}"/>
    <cellStyle name="Migliaia 2 3 10" xfId="39582" xr:uid="{00000000-0005-0000-0000-0000F9750000}"/>
    <cellStyle name="Migliaia 2 3 11" xfId="40068" xr:uid="{00000000-0005-0000-0000-0000FA750000}"/>
    <cellStyle name="Migliaia 2 3 2" xfId="3549" xr:uid="{00000000-0005-0000-0000-0000FB750000}"/>
    <cellStyle name="Migliaia 2 3 2 2" xfId="12310" xr:uid="{00000000-0005-0000-0000-0000FC750000}"/>
    <cellStyle name="Migliaia 2 3 2 2 2" xfId="30480" xr:uid="{00000000-0005-0000-0000-0000FD750000}"/>
    <cellStyle name="Migliaia 2 3 2 3" xfId="20230" xr:uid="{00000000-0005-0000-0000-0000FE750000}"/>
    <cellStyle name="Migliaia 2 3 2 3 2" xfId="37740" xr:uid="{00000000-0005-0000-0000-0000FF750000}"/>
    <cellStyle name="Migliaia 2 3 2 4" xfId="23478" xr:uid="{00000000-0005-0000-0000-000000760000}"/>
    <cellStyle name="Migliaia 2 3 2 5" xfId="38695" xr:uid="{00000000-0005-0000-0000-000001760000}"/>
    <cellStyle name="Migliaia 2 3 2 6" xfId="39394" xr:uid="{00000000-0005-0000-0000-000002760000}"/>
    <cellStyle name="Migliaia 2 3 3" xfId="11407" xr:uid="{00000000-0005-0000-0000-000003760000}"/>
    <cellStyle name="Migliaia 2 3 4" xfId="12068" xr:uid="{00000000-0005-0000-0000-000004760000}"/>
    <cellStyle name="Migliaia 2 3 4 2" xfId="30253" xr:uid="{00000000-0005-0000-0000-000005760000}"/>
    <cellStyle name="Migliaia 2 3 5" xfId="19311" xr:uid="{00000000-0005-0000-0000-000006760000}"/>
    <cellStyle name="Migliaia 2 3 5 2" xfId="37275" xr:uid="{00000000-0005-0000-0000-000007760000}"/>
    <cellStyle name="Migliaia 2 3 6" xfId="3248" xr:uid="{00000000-0005-0000-0000-000008760000}"/>
    <cellStyle name="Migliaia 2 3 6 2" xfId="23248" xr:uid="{00000000-0005-0000-0000-000009760000}"/>
    <cellStyle name="Migliaia 2 3 7" xfId="21429" xr:uid="{00000000-0005-0000-0000-00000A760000}"/>
    <cellStyle name="Migliaia 2 3 8" xfId="38230" xr:uid="{00000000-0005-0000-0000-00000B760000}"/>
    <cellStyle name="Migliaia 2 3 9" xfId="39152" xr:uid="{00000000-0005-0000-0000-00000C760000}"/>
    <cellStyle name="Migliaia 2 4" xfId="499" xr:uid="{00000000-0005-0000-0000-00000D760000}"/>
    <cellStyle name="Migliaia 2 4 10" xfId="39583" xr:uid="{00000000-0005-0000-0000-00000E760000}"/>
    <cellStyle name="Migliaia 2 4 11" xfId="40069" xr:uid="{00000000-0005-0000-0000-00000F760000}"/>
    <cellStyle name="Migliaia 2 4 2" xfId="500" xr:uid="{00000000-0005-0000-0000-000010760000}"/>
    <cellStyle name="Migliaia 2 4 2 10" xfId="40070" xr:uid="{00000000-0005-0000-0000-000011760000}"/>
    <cellStyle name="Migliaia 2 4 2 2" xfId="11409" xr:uid="{00000000-0005-0000-0000-000012760000}"/>
    <cellStyle name="Migliaia 2 4 2 3" xfId="12070" xr:uid="{00000000-0005-0000-0000-000013760000}"/>
    <cellStyle name="Migliaia 2 4 2 3 2" xfId="30255" xr:uid="{00000000-0005-0000-0000-000014760000}"/>
    <cellStyle name="Migliaia 2 4 2 4" xfId="19313" xr:uid="{00000000-0005-0000-0000-000015760000}"/>
    <cellStyle name="Migliaia 2 4 2 4 2" xfId="37277" xr:uid="{00000000-0005-0000-0000-000016760000}"/>
    <cellStyle name="Migliaia 2 4 2 5" xfId="3250" xr:uid="{00000000-0005-0000-0000-000017760000}"/>
    <cellStyle name="Migliaia 2 4 2 5 2" xfId="23250" xr:uid="{00000000-0005-0000-0000-000018760000}"/>
    <cellStyle name="Migliaia 2 4 2 6" xfId="21431" xr:uid="{00000000-0005-0000-0000-000019760000}"/>
    <cellStyle name="Migliaia 2 4 2 7" xfId="38232" xr:uid="{00000000-0005-0000-0000-00001A760000}"/>
    <cellStyle name="Migliaia 2 4 2 8" xfId="39154" xr:uid="{00000000-0005-0000-0000-00001B760000}"/>
    <cellStyle name="Migliaia 2 4 2 9" xfId="39584" xr:uid="{00000000-0005-0000-0000-00001C760000}"/>
    <cellStyle name="Migliaia 2 4 3" xfId="11408" xr:uid="{00000000-0005-0000-0000-00001D760000}"/>
    <cellStyle name="Migliaia 2 4 3 2" xfId="20478" xr:uid="{00000000-0005-0000-0000-00001E760000}"/>
    <cellStyle name="Migliaia 2 4 3 2 2" xfId="37795" xr:uid="{00000000-0005-0000-0000-00001F760000}"/>
    <cellStyle name="Migliaia 2 4 3 2 3" xfId="38750" xr:uid="{00000000-0005-0000-0000-000020760000}"/>
    <cellStyle name="Migliaia 2 4 3 3" xfId="19314" xr:uid="{00000000-0005-0000-0000-000021760000}"/>
    <cellStyle name="Migliaia 2 4 3 3 2" xfId="37278" xr:uid="{00000000-0005-0000-0000-000022760000}"/>
    <cellStyle name="Migliaia 2 4 3 4" xfId="38233" xr:uid="{00000000-0005-0000-0000-000023760000}"/>
    <cellStyle name="Migliaia 2 4 4" xfId="12069" xr:uid="{00000000-0005-0000-0000-000024760000}"/>
    <cellStyle name="Migliaia 2 4 4 2" xfId="20477" xr:uid="{00000000-0005-0000-0000-000025760000}"/>
    <cellStyle name="Migliaia 2 4 4 2 2" xfId="37794" xr:uid="{00000000-0005-0000-0000-000026760000}"/>
    <cellStyle name="Migliaia 2 4 4 3" xfId="30254" xr:uid="{00000000-0005-0000-0000-000027760000}"/>
    <cellStyle name="Migliaia 2 4 4 4" xfId="38749" xr:uid="{00000000-0005-0000-0000-000028760000}"/>
    <cellStyle name="Migliaia 2 4 5" xfId="19312" xr:uid="{00000000-0005-0000-0000-000029760000}"/>
    <cellStyle name="Migliaia 2 4 5 2" xfId="37276" xr:uid="{00000000-0005-0000-0000-00002A760000}"/>
    <cellStyle name="Migliaia 2 4 6" xfId="3249" xr:uid="{00000000-0005-0000-0000-00002B760000}"/>
    <cellStyle name="Migliaia 2 4 6 2" xfId="23249" xr:uid="{00000000-0005-0000-0000-00002C760000}"/>
    <cellStyle name="Migliaia 2 4 7" xfId="21430" xr:uid="{00000000-0005-0000-0000-00002D760000}"/>
    <cellStyle name="Migliaia 2 4 8" xfId="38231" xr:uid="{00000000-0005-0000-0000-00002E760000}"/>
    <cellStyle name="Migliaia 2 4 9" xfId="39153" xr:uid="{00000000-0005-0000-0000-00002F760000}"/>
    <cellStyle name="Migliaia 2 5" xfId="501" xr:uid="{00000000-0005-0000-0000-000030760000}"/>
    <cellStyle name="Migliaia 2 5 2" xfId="19316" xr:uid="{00000000-0005-0000-0000-000031760000}"/>
    <cellStyle name="Migliaia 2 5 2 2" xfId="20480" xr:uid="{00000000-0005-0000-0000-000032760000}"/>
    <cellStyle name="Migliaia 2 5 2 2 2" xfId="37797" xr:uid="{00000000-0005-0000-0000-000033760000}"/>
    <cellStyle name="Migliaia 2 5 2 2 3" xfId="38752" xr:uid="{00000000-0005-0000-0000-000034760000}"/>
    <cellStyle name="Migliaia 2 5 2 3" xfId="37280" xr:uid="{00000000-0005-0000-0000-000035760000}"/>
    <cellStyle name="Migliaia 2 5 2 4" xfId="38235" xr:uid="{00000000-0005-0000-0000-000036760000}"/>
    <cellStyle name="Migliaia 2 5 3" xfId="20479" xr:uid="{00000000-0005-0000-0000-000037760000}"/>
    <cellStyle name="Migliaia 2 5 3 2" xfId="37796" xr:uid="{00000000-0005-0000-0000-000038760000}"/>
    <cellStyle name="Migliaia 2 5 3 3" xfId="38751" xr:uid="{00000000-0005-0000-0000-000039760000}"/>
    <cellStyle name="Migliaia 2 5 4" xfId="19315" xr:uid="{00000000-0005-0000-0000-00003A760000}"/>
    <cellStyle name="Migliaia 2 5 4 2" xfId="37279" xr:uid="{00000000-0005-0000-0000-00003B760000}"/>
    <cellStyle name="Migliaia 2 5 5" xfId="11410" xr:uid="{00000000-0005-0000-0000-00003C760000}"/>
    <cellStyle name="Migliaia 2 5 6" xfId="21432" xr:uid="{00000000-0005-0000-0000-00003D760000}"/>
    <cellStyle name="Migliaia 2 5 7" xfId="38234" xr:uid="{00000000-0005-0000-0000-00003E760000}"/>
    <cellStyle name="Migliaia 2 5 8" xfId="39585" xr:uid="{00000000-0005-0000-0000-00003F760000}"/>
    <cellStyle name="Migliaia 2 5 9" xfId="40071" xr:uid="{00000000-0005-0000-0000-000040760000}"/>
    <cellStyle name="Migliaia 2 6" xfId="502" xr:uid="{00000000-0005-0000-0000-000041760000}"/>
    <cellStyle name="Migliaia 2 6 2" xfId="19317" xr:uid="{00000000-0005-0000-0000-000042760000}"/>
    <cellStyle name="Migliaia 2 6 2 2" xfId="37281" xr:uid="{00000000-0005-0000-0000-000043760000}"/>
    <cellStyle name="Migliaia 2 6 3" xfId="11411" xr:uid="{00000000-0005-0000-0000-000044760000}"/>
    <cellStyle name="Migliaia 2 6 4" xfId="21433" xr:uid="{00000000-0005-0000-0000-000045760000}"/>
    <cellStyle name="Migliaia 2 6 5" xfId="38236" xr:uid="{00000000-0005-0000-0000-000046760000}"/>
    <cellStyle name="Migliaia 2 6 6" xfId="39586" xr:uid="{00000000-0005-0000-0000-000047760000}"/>
    <cellStyle name="Migliaia 2 6 7" xfId="40072" xr:uid="{00000000-0005-0000-0000-000048760000}"/>
    <cellStyle name="Migliaia 2 7" xfId="503" xr:uid="{00000000-0005-0000-0000-000049760000}"/>
    <cellStyle name="Migliaia 2 7 2" xfId="11405" xr:uid="{00000000-0005-0000-0000-00004A760000}"/>
    <cellStyle name="Migliaia 2 7 3" xfId="21434" xr:uid="{00000000-0005-0000-0000-00004B760000}"/>
    <cellStyle name="Migliaia 2 7 4" xfId="39587" xr:uid="{00000000-0005-0000-0000-00004C760000}"/>
    <cellStyle name="Migliaia 2 7 5" xfId="40073" xr:uid="{00000000-0005-0000-0000-00004D760000}"/>
    <cellStyle name="Migliaia 2 8" xfId="12066" xr:uid="{00000000-0005-0000-0000-00004E760000}"/>
    <cellStyle name="Migliaia 2 8 2" xfId="30251" xr:uid="{00000000-0005-0000-0000-00004F760000}"/>
    <cellStyle name="Migliaia 2 9" xfId="19309" xr:uid="{00000000-0005-0000-0000-000050760000}"/>
    <cellStyle name="Migliaia 2 9 2" xfId="37273" xr:uid="{00000000-0005-0000-0000-000051760000}"/>
    <cellStyle name="Migliaia 2_Domestico_reg&amp;naz" xfId="504" xr:uid="{00000000-0005-0000-0000-000052760000}"/>
    <cellStyle name="Migliaia 20" xfId="505" xr:uid="{00000000-0005-0000-0000-000053760000}"/>
    <cellStyle name="Migliaia 20 10" xfId="21435" xr:uid="{00000000-0005-0000-0000-000054760000}"/>
    <cellStyle name="Migliaia 20 11" xfId="38237" xr:uid="{00000000-0005-0000-0000-000055760000}"/>
    <cellStyle name="Migliaia 20 12" xfId="39155" xr:uid="{00000000-0005-0000-0000-000056760000}"/>
    <cellStyle name="Migliaia 20 13" xfId="39588" xr:uid="{00000000-0005-0000-0000-000057760000}"/>
    <cellStyle name="Migliaia 20 14" xfId="40074" xr:uid="{00000000-0005-0000-0000-000058760000}"/>
    <cellStyle name="Migliaia 20 2" xfId="506" xr:uid="{00000000-0005-0000-0000-000059760000}"/>
    <cellStyle name="Migliaia 20 2 10" xfId="39589" xr:uid="{00000000-0005-0000-0000-00005A760000}"/>
    <cellStyle name="Migliaia 20 2 11" xfId="40075" xr:uid="{00000000-0005-0000-0000-00005B760000}"/>
    <cellStyle name="Migliaia 20 2 2" xfId="3550" xr:uid="{00000000-0005-0000-0000-00005C760000}"/>
    <cellStyle name="Migliaia 20 2 2 2" xfId="12311" xr:uid="{00000000-0005-0000-0000-00005D760000}"/>
    <cellStyle name="Migliaia 20 2 2 2 2" xfId="30481" xr:uid="{00000000-0005-0000-0000-00005E760000}"/>
    <cellStyle name="Migliaia 20 2 2 3" xfId="20481" xr:uid="{00000000-0005-0000-0000-00005F760000}"/>
    <cellStyle name="Migliaia 20 2 2 3 2" xfId="37798" xr:uid="{00000000-0005-0000-0000-000060760000}"/>
    <cellStyle name="Migliaia 20 2 2 4" xfId="23479" xr:uid="{00000000-0005-0000-0000-000061760000}"/>
    <cellStyle name="Migliaia 20 2 2 5" xfId="38753" xr:uid="{00000000-0005-0000-0000-000062760000}"/>
    <cellStyle name="Migliaia 20 2 2 6" xfId="39395" xr:uid="{00000000-0005-0000-0000-000063760000}"/>
    <cellStyle name="Migliaia 20 2 3" xfId="11413" xr:uid="{00000000-0005-0000-0000-000064760000}"/>
    <cellStyle name="Migliaia 20 2 4" xfId="12072" xr:uid="{00000000-0005-0000-0000-000065760000}"/>
    <cellStyle name="Migliaia 20 2 4 2" xfId="30257" xr:uid="{00000000-0005-0000-0000-000066760000}"/>
    <cellStyle name="Migliaia 20 2 5" xfId="19319" xr:uid="{00000000-0005-0000-0000-000067760000}"/>
    <cellStyle name="Migliaia 20 2 5 2" xfId="37283" xr:uid="{00000000-0005-0000-0000-000068760000}"/>
    <cellStyle name="Migliaia 20 2 6" xfId="3252" xr:uid="{00000000-0005-0000-0000-000069760000}"/>
    <cellStyle name="Migliaia 20 2 6 2" xfId="23252" xr:uid="{00000000-0005-0000-0000-00006A760000}"/>
    <cellStyle name="Migliaia 20 2 7" xfId="21436" xr:uid="{00000000-0005-0000-0000-00006B760000}"/>
    <cellStyle name="Migliaia 20 2 8" xfId="38238" xr:uid="{00000000-0005-0000-0000-00006C760000}"/>
    <cellStyle name="Migliaia 20 2 9" xfId="39156" xr:uid="{00000000-0005-0000-0000-00006D760000}"/>
    <cellStyle name="Migliaia 20 3" xfId="507" xr:uid="{00000000-0005-0000-0000-00006E760000}"/>
    <cellStyle name="Migliaia 20 3 10" xfId="39590" xr:uid="{00000000-0005-0000-0000-00006F760000}"/>
    <cellStyle name="Migliaia 20 3 11" xfId="40076" xr:uid="{00000000-0005-0000-0000-000070760000}"/>
    <cellStyle name="Migliaia 20 3 2" xfId="508" xr:uid="{00000000-0005-0000-0000-000071760000}"/>
    <cellStyle name="Migliaia 20 3 2 10" xfId="40077" xr:uid="{00000000-0005-0000-0000-000072760000}"/>
    <cellStyle name="Migliaia 20 3 2 2" xfId="11415" xr:uid="{00000000-0005-0000-0000-000073760000}"/>
    <cellStyle name="Migliaia 20 3 2 3" xfId="12074" xr:uid="{00000000-0005-0000-0000-000074760000}"/>
    <cellStyle name="Migliaia 20 3 2 3 2" xfId="30259" xr:uid="{00000000-0005-0000-0000-000075760000}"/>
    <cellStyle name="Migliaia 20 3 2 4" xfId="19321" xr:uid="{00000000-0005-0000-0000-000076760000}"/>
    <cellStyle name="Migliaia 20 3 2 4 2" xfId="37285" xr:uid="{00000000-0005-0000-0000-000077760000}"/>
    <cellStyle name="Migliaia 20 3 2 5" xfId="3254" xr:uid="{00000000-0005-0000-0000-000078760000}"/>
    <cellStyle name="Migliaia 20 3 2 5 2" xfId="23254" xr:uid="{00000000-0005-0000-0000-000079760000}"/>
    <cellStyle name="Migliaia 20 3 2 6" xfId="21438" xr:uid="{00000000-0005-0000-0000-00007A760000}"/>
    <cellStyle name="Migliaia 20 3 2 7" xfId="38240" xr:uid="{00000000-0005-0000-0000-00007B760000}"/>
    <cellStyle name="Migliaia 20 3 2 8" xfId="39158" xr:uid="{00000000-0005-0000-0000-00007C760000}"/>
    <cellStyle name="Migliaia 20 3 2 9" xfId="39591" xr:uid="{00000000-0005-0000-0000-00007D760000}"/>
    <cellStyle name="Migliaia 20 3 3" xfId="11414" xr:uid="{00000000-0005-0000-0000-00007E760000}"/>
    <cellStyle name="Migliaia 20 3 3 2" xfId="20483" xr:uid="{00000000-0005-0000-0000-00007F760000}"/>
    <cellStyle name="Migliaia 20 3 3 2 2" xfId="37800" xr:uid="{00000000-0005-0000-0000-000080760000}"/>
    <cellStyle name="Migliaia 20 3 3 2 3" xfId="38755" xr:uid="{00000000-0005-0000-0000-000081760000}"/>
    <cellStyle name="Migliaia 20 3 3 3" xfId="19322" xr:uid="{00000000-0005-0000-0000-000082760000}"/>
    <cellStyle name="Migliaia 20 3 3 3 2" xfId="37286" xr:uid="{00000000-0005-0000-0000-000083760000}"/>
    <cellStyle name="Migliaia 20 3 3 4" xfId="38241" xr:uid="{00000000-0005-0000-0000-000084760000}"/>
    <cellStyle name="Migliaia 20 3 4" xfId="12073" xr:uid="{00000000-0005-0000-0000-000085760000}"/>
    <cellStyle name="Migliaia 20 3 4 2" xfId="20482" xr:uid="{00000000-0005-0000-0000-000086760000}"/>
    <cellStyle name="Migliaia 20 3 4 2 2" xfId="37799" xr:uid="{00000000-0005-0000-0000-000087760000}"/>
    <cellStyle name="Migliaia 20 3 4 3" xfId="30258" xr:uid="{00000000-0005-0000-0000-000088760000}"/>
    <cellStyle name="Migliaia 20 3 4 4" xfId="38754" xr:uid="{00000000-0005-0000-0000-000089760000}"/>
    <cellStyle name="Migliaia 20 3 5" xfId="19320" xr:uid="{00000000-0005-0000-0000-00008A760000}"/>
    <cellStyle name="Migliaia 20 3 5 2" xfId="37284" xr:uid="{00000000-0005-0000-0000-00008B760000}"/>
    <cellStyle name="Migliaia 20 3 6" xfId="3253" xr:uid="{00000000-0005-0000-0000-00008C760000}"/>
    <cellStyle name="Migliaia 20 3 6 2" xfId="23253" xr:uid="{00000000-0005-0000-0000-00008D760000}"/>
    <cellStyle name="Migliaia 20 3 7" xfId="21437" xr:uid="{00000000-0005-0000-0000-00008E760000}"/>
    <cellStyle name="Migliaia 20 3 8" xfId="38239" xr:uid="{00000000-0005-0000-0000-00008F760000}"/>
    <cellStyle name="Migliaia 20 3 9" xfId="39157" xr:uid="{00000000-0005-0000-0000-000090760000}"/>
    <cellStyle name="Migliaia 20 4" xfId="509" xr:uid="{00000000-0005-0000-0000-000091760000}"/>
    <cellStyle name="Migliaia 20 4 2" xfId="19324" xr:uid="{00000000-0005-0000-0000-000092760000}"/>
    <cellStyle name="Migliaia 20 4 2 2" xfId="20485" xr:uid="{00000000-0005-0000-0000-000093760000}"/>
    <cellStyle name="Migliaia 20 4 2 2 2" xfId="37802" xr:uid="{00000000-0005-0000-0000-000094760000}"/>
    <cellStyle name="Migliaia 20 4 2 2 3" xfId="38757" xr:uid="{00000000-0005-0000-0000-000095760000}"/>
    <cellStyle name="Migliaia 20 4 2 3" xfId="37288" xr:uid="{00000000-0005-0000-0000-000096760000}"/>
    <cellStyle name="Migliaia 20 4 2 4" xfId="38243" xr:uid="{00000000-0005-0000-0000-000097760000}"/>
    <cellStyle name="Migliaia 20 4 3" xfId="20484" xr:uid="{00000000-0005-0000-0000-000098760000}"/>
    <cellStyle name="Migliaia 20 4 3 2" xfId="37801" xr:uid="{00000000-0005-0000-0000-000099760000}"/>
    <cellStyle name="Migliaia 20 4 3 3" xfId="38756" xr:uid="{00000000-0005-0000-0000-00009A760000}"/>
    <cellStyle name="Migliaia 20 4 4" xfId="19323" xr:uid="{00000000-0005-0000-0000-00009B760000}"/>
    <cellStyle name="Migliaia 20 4 4 2" xfId="37287" xr:uid="{00000000-0005-0000-0000-00009C760000}"/>
    <cellStyle name="Migliaia 20 4 5" xfId="11416" xr:uid="{00000000-0005-0000-0000-00009D760000}"/>
    <cellStyle name="Migliaia 20 4 6" xfId="21439" xr:uid="{00000000-0005-0000-0000-00009E760000}"/>
    <cellStyle name="Migliaia 20 4 7" xfId="38242" xr:uid="{00000000-0005-0000-0000-00009F760000}"/>
    <cellStyle name="Migliaia 20 4 8" xfId="39592" xr:uid="{00000000-0005-0000-0000-0000A0760000}"/>
    <cellStyle name="Migliaia 20 4 9" xfId="40078" xr:uid="{00000000-0005-0000-0000-0000A1760000}"/>
    <cellStyle name="Migliaia 20 5" xfId="510" xr:uid="{00000000-0005-0000-0000-0000A2760000}"/>
    <cellStyle name="Migliaia 20 5 2" xfId="19325" xr:uid="{00000000-0005-0000-0000-0000A3760000}"/>
    <cellStyle name="Migliaia 20 5 2 2" xfId="37289" xr:uid="{00000000-0005-0000-0000-0000A4760000}"/>
    <cellStyle name="Migliaia 20 5 3" xfId="11417" xr:uid="{00000000-0005-0000-0000-0000A5760000}"/>
    <cellStyle name="Migliaia 20 5 4" xfId="21440" xr:uid="{00000000-0005-0000-0000-0000A6760000}"/>
    <cellStyle name="Migliaia 20 5 5" xfId="38244" xr:uid="{00000000-0005-0000-0000-0000A7760000}"/>
    <cellStyle name="Migliaia 20 5 6" xfId="39593" xr:uid="{00000000-0005-0000-0000-0000A8760000}"/>
    <cellStyle name="Migliaia 20 5 7" xfId="40079" xr:uid="{00000000-0005-0000-0000-0000A9760000}"/>
    <cellStyle name="Migliaia 20 6" xfId="511" xr:uid="{00000000-0005-0000-0000-0000AA760000}"/>
    <cellStyle name="Migliaia 20 6 2" xfId="11412" xr:uid="{00000000-0005-0000-0000-0000AB760000}"/>
    <cellStyle name="Migliaia 20 6 3" xfId="21441" xr:uid="{00000000-0005-0000-0000-0000AC760000}"/>
    <cellStyle name="Migliaia 20 6 4" xfId="39594" xr:uid="{00000000-0005-0000-0000-0000AD760000}"/>
    <cellStyle name="Migliaia 20 6 5" xfId="40080" xr:uid="{00000000-0005-0000-0000-0000AE760000}"/>
    <cellStyle name="Migliaia 20 7" xfId="12071" xr:uid="{00000000-0005-0000-0000-0000AF760000}"/>
    <cellStyle name="Migliaia 20 7 2" xfId="30256" xr:uid="{00000000-0005-0000-0000-0000B0760000}"/>
    <cellStyle name="Migliaia 20 8" xfId="19318" xr:uid="{00000000-0005-0000-0000-0000B1760000}"/>
    <cellStyle name="Migliaia 20 8 2" xfId="37282" xr:uid="{00000000-0005-0000-0000-0000B2760000}"/>
    <cellStyle name="Migliaia 20 9" xfId="3251" xr:uid="{00000000-0005-0000-0000-0000B3760000}"/>
    <cellStyle name="Migliaia 20 9 2" xfId="23251" xr:uid="{00000000-0005-0000-0000-0000B4760000}"/>
    <cellStyle name="Migliaia 21" xfId="512" xr:uid="{00000000-0005-0000-0000-0000B5760000}"/>
    <cellStyle name="Migliaia 21 10" xfId="21442" xr:uid="{00000000-0005-0000-0000-0000B6760000}"/>
    <cellStyle name="Migliaia 21 11" xfId="38245" xr:uid="{00000000-0005-0000-0000-0000B7760000}"/>
    <cellStyle name="Migliaia 21 12" xfId="39159" xr:uid="{00000000-0005-0000-0000-0000B8760000}"/>
    <cellStyle name="Migliaia 21 13" xfId="39595" xr:uid="{00000000-0005-0000-0000-0000B9760000}"/>
    <cellStyle name="Migliaia 21 14" xfId="40081" xr:uid="{00000000-0005-0000-0000-0000BA760000}"/>
    <cellStyle name="Migliaia 21 2" xfId="513" xr:uid="{00000000-0005-0000-0000-0000BB760000}"/>
    <cellStyle name="Migliaia 21 2 10" xfId="39596" xr:uid="{00000000-0005-0000-0000-0000BC760000}"/>
    <cellStyle name="Migliaia 21 2 11" xfId="40082" xr:uid="{00000000-0005-0000-0000-0000BD760000}"/>
    <cellStyle name="Migliaia 21 2 2" xfId="3551" xr:uid="{00000000-0005-0000-0000-0000BE760000}"/>
    <cellStyle name="Migliaia 21 2 2 2" xfId="12312" xr:uid="{00000000-0005-0000-0000-0000BF760000}"/>
    <cellStyle name="Migliaia 21 2 2 2 2" xfId="30482" xr:uid="{00000000-0005-0000-0000-0000C0760000}"/>
    <cellStyle name="Migliaia 21 2 2 3" xfId="20486" xr:uid="{00000000-0005-0000-0000-0000C1760000}"/>
    <cellStyle name="Migliaia 21 2 2 3 2" xfId="37803" xr:uid="{00000000-0005-0000-0000-0000C2760000}"/>
    <cellStyle name="Migliaia 21 2 2 4" xfId="23480" xr:uid="{00000000-0005-0000-0000-0000C3760000}"/>
    <cellStyle name="Migliaia 21 2 2 5" xfId="38758" xr:uid="{00000000-0005-0000-0000-0000C4760000}"/>
    <cellStyle name="Migliaia 21 2 2 6" xfId="39396" xr:uid="{00000000-0005-0000-0000-0000C5760000}"/>
    <cellStyle name="Migliaia 21 2 3" xfId="11419" xr:uid="{00000000-0005-0000-0000-0000C6760000}"/>
    <cellStyle name="Migliaia 21 2 4" xfId="12076" xr:uid="{00000000-0005-0000-0000-0000C7760000}"/>
    <cellStyle name="Migliaia 21 2 4 2" xfId="30261" xr:uid="{00000000-0005-0000-0000-0000C8760000}"/>
    <cellStyle name="Migliaia 21 2 5" xfId="19327" xr:uid="{00000000-0005-0000-0000-0000C9760000}"/>
    <cellStyle name="Migliaia 21 2 5 2" xfId="37291" xr:uid="{00000000-0005-0000-0000-0000CA760000}"/>
    <cellStyle name="Migliaia 21 2 6" xfId="3256" xr:uid="{00000000-0005-0000-0000-0000CB760000}"/>
    <cellStyle name="Migliaia 21 2 6 2" xfId="23256" xr:uid="{00000000-0005-0000-0000-0000CC760000}"/>
    <cellStyle name="Migliaia 21 2 7" xfId="21443" xr:uid="{00000000-0005-0000-0000-0000CD760000}"/>
    <cellStyle name="Migliaia 21 2 8" xfId="38246" xr:uid="{00000000-0005-0000-0000-0000CE760000}"/>
    <cellStyle name="Migliaia 21 2 9" xfId="39160" xr:uid="{00000000-0005-0000-0000-0000CF760000}"/>
    <cellStyle name="Migliaia 21 3" xfId="514" xr:uid="{00000000-0005-0000-0000-0000D0760000}"/>
    <cellStyle name="Migliaia 21 3 10" xfId="39597" xr:uid="{00000000-0005-0000-0000-0000D1760000}"/>
    <cellStyle name="Migliaia 21 3 11" xfId="40083" xr:uid="{00000000-0005-0000-0000-0000D2760000}"/>
    <cellStyle name="Migliaia 21 3 2" xfId="515" xr:uid="{00000000-0005-0000-0000-0000D3760000}"/>
    <cellStyle name="Migliaia 21 3 2 10" xfId="40084" xr:uid="{00000000-0005-0000-0000-0000D4760000}"/>
    <cellStyle name="Migliaia 21 3 2 2" xfId="11421" xr:uid="{00000000-0005-0000-0000-0000D5760000}"/>
    <cellStyle name="Migliaia 21 3 2 3" xfId="12078" xr:uid="{00000000-0005-0000-0000-0000D6760000}"/>
    <cellStyle name="Migliaia 21 3 2 3 2" xfId="30263" xr:uid="{00000000-0005-0000-0000-0000D7760000}"/>
    <cellStyle name="Migliaia 21 3 2 4" xfId="19329" xr:uid="{00000000-0005-0000-0000-0000D8760000}"/>
    <cellStyle name="Migliaia 21 3 2 4 2" xfId="37293" xr:uid="{00000000-0005-0000-0000-0000D9760000}"/>
    <cellStyle name="Migliaia 21 3 2 5" xfId="3258" xr:uid="{00000000-0005-0000-0000-0000DA760000}"/>
    <cellStyle name="Migliaia 21 3 2 5 2" xfId="23258" xr:uid="{00000000-0005-0000-0000-0000DB760000}"/>
    <cellStyle name="Migliaia 21 3 2 6" xfId="21445" xr:uid="{00000000-0005-0000-0000-0000DC760000}"/>
    <cellStyle name="Migliaia 21 3 2 7" xfId="38248" xr:uid="{00000000-0005-0000-0000-0000DD760000}"/>
    <cellStyle name="Migliaia 21 3 2 8" xfId="39162" xr:uid="{00000000-0005-0000-0000-0000DE760000}"/>
    <cellStyle name="Migliaia 21 3 2 9" xfId="39598" xr:uid="{00000000-0005-0000-0000-0000DF760000}"/>
    <cellStyle name="Migliaia 21 3 3" xfId="11420" xr:uid="{00000000-0005-0000-0000-0000E0760000}"/>
    <cellStyle name="Migliaia 21 3 3 2" xfId="20488" xr:uid="{00000000-0005-0000-0000-0000E1760000}"/>
    <cellStyle name="Migliaia 21 3 3 2 2" xfId="37805" xr:uid="{00000000-0005-0000-0000-0000E2760000}"/>
    <cellStyle name="Migliaia 21 3 3 2 3" xfId="38760" xr:uid="{00000000-0005-0000-0000-0000E3760000}"/>
    <cellStyle name="Migliaia 21 3 3 3" xfId="19330" xr:uid="{00000000-0005-0000-0000-0000E4760000}"/>
    <cellStyle name="Migliaia 21 3 3 3 2" xfId="37294" xr:uid="{00000000-0005-0000-0000-0000E5760000}"/>
    <cellStyle name="Migliaia 21 3 3 4" xfId="38249" xr:uid="{00000000-0005-0000-0000-0000E6760000}"/>
    <cellStyle name="Migliaia 21 3 4" xfId="12077" xr:uid="{00000000-0005-0000-0000-0000E7760000}"/>
    <cellStyle name="Migliaia 21 3 4 2" xfId="20487" xr:uid="{00000000-0005-0000-0000-0000E8760000}"/>
    <cellStyle name="Migliaia 21 3 4 2 2" xfId="37804" xr:uid="{00000000-0005-0000-0000-0000E9760000}"/>
    <cellStyle name="Migliaia 21 3 4 3" xfId="30262" xr:uid="{00000000-0005-0000-0000-0000EA760000}"/>
    <cellStyle name="Migliaia 21 3 4 4" xfId="38759" xr:uid="{00000000-0005-0000-0000-0000EB760000}"/>
    <cellStyle name="Migliaia 21 3 5" xfId="19328" xr:uid="{00000000-0005-0000-0000-0000EC760000}"/>
    <cellStyle name="Migliaia 21 3 5 2" xfId="37292" xr:uid="{00000000-0005-0000-0000-0000ED760000}"/>
    <cellStyle name="Migliaia 21 3 6" xfId="3257" xr:uid="{00000000-0005-0000-0000-0000EE760000}"/>
    <cellStyle name="Migliaia 21 3 6 2" xfId="23257" xr:uid="{00000000-0005-0000-0000-0000EF760000}"/>
    <cellStyle name="Migliaia 21 3 7" xfId="21444" xr:uid="{00000000-0005-0000-0000-0000F0760000}"/>
    <cellStyle name="Migliaia 21 3 8" xfId="38247" xr:uid="{00000000-0005-0000-0000-0000F1760000}"/>
    <cellStyle name="Migliaia 21 3 9" xfId="39161" xr:uid="{00000000-0005-0000-0000-0000F2760000}"/>
    <cellStyle name="Migliaia 21 4" xfId="516" xr:uid="{00000000-0005-0000-0000-0000F3760000}"/>
    <cellStyle name="Migliaia 21 4 2" xfId="19332" xr:uid="{00000000-0005-0000-0000-0000F4760000}"/>
    <cellStyle name="Migliaia 21 4 2 2" xfId="20490" xr:uid="{00000000-0005-0000-0000-0000F5760000}"/>
    <cellStyle name="Migliaia 21 4 2 2 2" xfId="37807" xr:uid="{00000000-0005-0000-0000-0000F6760000}"/>
    <cellStyle name="Migliaia 21 4 2 2 3" xfId="38762" xr:uid="{00000000-0005-0000-0000-0000F7760000}"/>
    <cellStyle name="Migliaia 21 4 2 3" xfId="37296" xr:uid="{00000000-0005-0000-0000-0000F8760000}"/>
    <cellStyle name="Migliaia 21 4 2 4" xfId="38251" xr:uid="{00000000-0005-0000-0000-0000F9760000}"/>
    <cellStyle name="Migliaia 21 4 3" xfId="20489" xr:uid="{00000000-0005-0000-0000-0000FA760000}"/>
    <cellStyle name="Migliaia 21 4 3 2" xfId="37806" xr:uid="{00000000-0005-0000-0000-0000FB760000}"/>
    <cellStyle name="Migliaia 21 4 3 3" xfId="38761" xr:uid="{00000000-0005-0000-0000-0000FC760000}"/>
    <cellStyle name="Migliaia 21 4 4" xfId="19331" xr:uid="{00000000-0005-0000-0000-0000FD760000}"/>
    <cellStyle name="Migliaia 21 4 4 2" xfId="37295" xr:uid="{00000000-0005-0000-0000-0000FE760000}"/>
    <cellStyle name="Migliaia 21 4 5" xfId="11422" xr:uid="{00000000-0005-0000-0000-0000FF760000}"/>
    <cellStyle name="Migliaia 21 4 6" xfId="21446" xr:uid="{00000000-0005-0000-0000-000000770000}"/>
    <cellStyle name="Migliaia 21 4 7" xfId="38250" xr:uid="{00000000-0005-0000-0000-000001770000}"/>
    <cellStyle name="Migliaia 21 4 8" xfId="39599" xr:uid="{00000000-0005-0000-0000-000002770000}"/>
    <cellStyle name="Migliaia 21 4 9" xfId="40085" xr:uid="{00000000-0005-0000-0000-000003770000}"/>
    <cellStyle name="Migliaia 21 5" xfId="517" xr:uid="{00000000-0005-0000-0000-000004770000}"/>
    <cellStyle name="Migliaia 21 5 2" xfId="19333" xr:uid="{00000000-0005-0000-0000-000005770000}"/>
    <cellStyle name="Migliaia 21 5 2 2" xfId="37297" xr:uid="{00000000-0005-0000-0000-000006770000}"/>
    <cellStyle name="Migliaia 21 5 3" xfId="11423" xr:uid="{00000000-0005-0000-0000-000007770000}"/>
    <cellStyle name="Migliaia 21 5 4" xfId="21447" xr:uid="{00000000-0005-0000-0000-000008770000}"/>
    <cellStyle name="Migliaia 21 5 5" xfId="38252" xr:uid="{00000000-0005-0000-0000-000009770000}"/>
    <cellStyle name="Migliaia 21 5 6" xfId="39600" xr:uid="{00000000-0005-0000-0000-00000A770000}"/>
    <cellStyle name="Migliaia 21 5 7" xfId="40086" xr:uid="{00000000-0005-0000-0000-00000B770000}"/>
    <cellStyle name="Migliaia 21 6" xfId="518" xr:uid="{00000000-0005-0000-0000-00000C770000}"/>
    <cellStyle name="Migliaia 21 6 2" xfId="11418" xr:uid="{00000000-0005-0000-0000-00000D770000}"/>
    <cellStyle name="Migliaia 21 6 3" xfId="21448" xr:uid="{00000000-0005-0000-0000-00000E770000}"/>
    <cellStyle name="Migliaia 21 6 4" xfId="39601" xr:uid="{00000000-0005-0000-0000-00000F770000}"/>
    <cellStyle name="Migliaia 21 6 5" xfId="40087" xr:uid="{00000000-0005-0000-0000-000010770000}"/>
    <cellStyle name="Migliaia 21 7" xfId="12075" xr:uid="{00000000-0005-0000-0000-000011770000}"/>
    <cellStyle name="Migliaia 21 7 2" xfId="30260" xr:uid="{00000000-0005-0000-0000-000012770000}"/>
    <cellStyle name="Migliaia 21 8" xfId="19326" xr:uid="{00000000-0005-0000-0000-000013770000}"/>
    <cellStyle name="Migliaia 21 8 2" xfId="37290" xr:uid="{00000000-0005-0000-0000-000014770000}"/>
    <cellStyle name="Migliaia 21 9" xfId="3255" xr:uid="{00000000-0005-0000-0000-000015770000}"/>
    <cellStyle name="Migliaia 21 9 2" xfId="23255" xr:uid="{00000000-0005-0000-0000-000016770000}"/>
    <cellStyle name="Migliaia 22" xfId="519" xr:uid="{00000000-0005-0000-0000-000017770000}"/>
    <cellStyle name="Migliaia 22 10" xfId="21449" xr:uid="{00000000-0005-0000-0000-000018770000}"/>
    <cellStyle name="Migliaia 22 11" xfId="38253" xr:uid="{00000000-0005-0000-0000-000019770000}"/>
    <cellStyle name="Migliaia 22 12" xfId="39163" xr:uid="{00000000-0005-0000-0000-00001A770000}"/>
    <cellStyle name="Migliaia 22 13" xfId="39602" xr:uid="{00000000-0005-0000-0000-00001B770000}"/>
    <cellStyle name="Migliaia 22 14" xfId="40088" xr:uid="{00000000-0005-0000-0000-00001C770000}"/>
    <cellStyle name="Migliaia 22 2" xfId="520" xr:uid="{00000000-0005-0000-0000-00001D770000}"/>
    <cellStyle name="Migliaia 22 2 10" xfId="39603" xr:uid="{00000000-0005-0000-0000-00001E770000}"/>
    <cellStyle name="Migliaia 22 2 11" xfId="40089" xr:uid="{00000000-0005-0000-0000-00001F770000}"/>
    <cellStyle name="Migliaia 22 2 2" xfId="3552" xr:uid="{00000000-0005-0000-0000-000020770000}"/>
    <cellStyle name="Migliaia 22 2 2 2" xfId="12313" xr:uid="{00000000-0005-0000-0000-000021770000}"/>
    <cellStyle name="Migliaia 22 2 2 2 2" xfId="30483" xr:uid="{00000000-0005-0000-0000-000022770000}"/>
    <cellStyle name="Migliaia 22 2 2 3" xfId="20491" xr:uid="{00000000-0005-0000-0000-000023770000}"/>
    <cellStyle name="Migliaia 22 2 2 3 2" xfId="37808" xr:uid="{00000000-0005-0000-0000-000024770000}"/>
    <cellStyle name="Migliaia 22 2 2 4" xfId="23481" xr:uid="{00000000-0005-0000-0000-000025770000}"/>
    <cellStyle name="Migliaia 22 2 2 5" xfId="38763" xr:uid="{00000000-0005-0000-0000-000026770000}"/>
    <cellStyle name="Migliaia 22 2 2 6" xfId="39397" xr:uid="{00000000-0005-0000-0000-000027770000}"/>
    <cellStyle name="Migliaia 22 2 3" xfId="11425" xr:uid="{00000000-0005-0000-0000-000028770000}"/>
    <cellStyle name="Migliaia 22 2 4" xfId="12080" xr:uid="{00000000-0005-0000-0000-000029770000}"/>
    <cellStyle name="Migliaia 22 2 4 2" xfId="30265" xr:uid="{00000000-0005-0000-0000-00002A770000}"/>
    <cellStyle name="Migliaia 22 2 5" xfId="19335" xr:uid="{00000000-0005-0000-0000-00002B770000}"/>
    <cellStyle name="Migliaia 22 2 5 2" xfId="37299" xr:uid="{00000000-0005-0000-0000-00002C770000}"/>
    <cellStyle name="Migliaia 22 2 6" xfId="3260" xr:uid="{00000000-0005-0000-0000-00002D770000}"/>
    <cellStyle name="Migliaia 22 2 6 2" xfId="23260" xr:uid="{00000000-0005-0000-0000-00002E770000}"/>
    <cellStyle name="Migliaia 22 2 7" xfId="21450" xr:uid="{00000000-0005-0000-0000-00002F770000}"/>
    <cellStyle name="Migliaia 22 2 8" xfId="38254" xr:uid="{00000000-0005-0000-0000-000030770000}"/>
    <cellStyle name="Migliaia 22 2 9" xfId="39164" xr:uid="{00000000-0005-0000-0000-000031770000}"/>
    <cellStyle name="Migliaia 22 3" xfId="521" xr:uid="{00000000-0005-0000-0000-000032770000}"/>
    <cellStyle name="Migliaia 22 3 10" xfId="39604" xr:uid="{00000000-0005-0000-0000-000033770000}"/>
    <cellStyle name="Migliaia 22 3 11" xfId="40090" xr:uid="{00000000-0005-0000-0000-000034770000}"/>
    <cellStyle name="Migliaia 22 3 2" xfId="522" xr:uid="{00000000-0005-0000-0000-000035770000}"/>
    <cellStyle name="Migliaia 22 3 2 10" xfId="40091" xr:uid="{00000000-0005-0000-0000-000036770000}"/>
    <cellStyle name="Migliaia 22 3 2 2" xfId="11427" xr:uid="{00000000-0005-0000-0000-000037770000}"/>
    <cellStyle name="Migliaia 22 3 2 3" xfId="12082" xr:uid="{00000000-0005-0000-0000-000038770000}"/>
    <cellStyle name="Migliaia 22 3 2 3 2" xfId="30267" xr:uid="{00000000-0005-0000-0000-000039770000}"/>
    <cellStyle name="Migliaia 22 3 2 4" xfId="19337" xr:uid="{00000000-0005-0000-0000-00003A770000}"/>
    <cellStyle name="Migliaia 22 3 2 4 2" xfId="37301" xr:uid="{00000000-0005-0000-0000-00003B770000}"/>
    <cellStyle name="Migliaia 22 3 2 5" xfId="3262" xr:uid="{00000000-0005-0000-0000-00003C770000}"/>
    <cellStyle name="Migliaia 22 3 2 5 2" xfId="23262" xr:uid="{00000000-0005-0000-0000-00003D770000}"/>
    <cellStyle name="Migliaia 22 3 2 6" xfId="21452" xr:uid="{00000000-0005-0000-0000-00003E770000}"/>
    <cellStyle name="Migliaia 22 3 2 7" xfId="38256" xr:uid="{00000000-0005-0000-0000-00003F770000}"/>
    <cellStyle name="Migliaia 22 3 2 8" xfId="39166" xr:uid="{00000000-0005-0000-0000-000040770000}"/>
    <cellStyle name="Migliaia 22 3 2 9" xfId="39605" xr:uid="{00000000-0005-0000-0000-000041770000}"/>
    <cellStyle name="Migliaia 22 3 3" xfId="11426" xr:uid="{00000000-0005-0000-0000-000042770000}"/>
    <cellStyle name="Migliaia 22 3 3 2" xfId="20493" xr:uid="{00000000-0005-0000-0000-000043770000}"/>
    <cellStyle name="Migliaia 22 3 3 2 2" xfId="37810" xr:uid="{00000000-0005-0000-0000-000044770000}"/>
    <cellStyle name="Migliaia 22 3 3 2 3" xfId="38765" xr:uid="{00000000-0005-0000-0000-000045770000}"/>
    <cellStyle name="Migliaia 22 3 3 3" xfId="19338" xr:uid="{00000000-0005-0000-0000-000046770000}"/>
    <cellStyle name="Migliaia 22 3 3 3 2" xfId="37302" xr:uid="{00000000-0005-0000-0000-000047770000}"/>
    <cellStyle name="Migliaia 22 3 3 4" xfId="38257" xr:uid="{00000000-0005-0000-0000-000048770000}"/>
    <cellStyle name="Migliaia 22 3 4" xfId="12081" xr:uid="{00000000-0005-0000-0000-000049770000}"/>
    <cellStyle name="Migliaia 22 3 4 2" xfId="20492" xr:uid="{00000000-0005-0000-0000-00004A770000}"/>
    <cellStyle name="Migliaia 22 3 4 2 2" xfId="37809" xr:uid="{00000000-0005-0000-0000-00004B770000}"/>
    <cellStyle name="Migliaia 22 3 4 3" xfId="30266" xr:uid="{00000000-0005-0000-0000-00004C770000}"/>
    <cellStyle name="Migliaia 22 3 4 4" xfId="38764" xr:uid="{00000000-0005-0000-0000-00004D770000}"/>
    <cellStyle name="Migliaia 22 3 5" xfId="19336" xr:uid="{00000000-0005-0000-0000-00004E770000}"/>
    <cellStyle name="Migliaia 22 3 5 2" xfId="37300" xr:uid="{00000000-0005-0000-0000-00004F770000}"/>
    <cellStyle name="Migliaia 22 3 6" xfId="3261" xr:uid="{00000000-0005-0000-0000-000050770000}"/>
    <cellStyle name="Migliaia 22 3 6 2" xfId="23261" xr:uid="{00000000-0005-0000-0000-000051770000}"/>
    <cellStyle name="Migliaia 22 3 7" xfId="21451" xr:uid="{00000000-0005-0000-0000-000052770000}"/>
    <cellStyle name="Migliaia 22 3 8" xfId="38255" xr:uid="{00000000-0005-0000-0000-000053770000}"/>
    <cellStyle name="Migliaia 22 3 9" xfId="39165" xr:uid="{00000000-0005-0000-0000-000054770000}"/>
    <cellStyle name="Migliaia 22 4" xfId="523" xr:uid="{00000000-0005-0000-0000-000055770000}"/>
    <cellStyle name="Migliaia 22 4 2" xfId="19340" xr:uid="{00000000-0005-0000-0000-000056770000}"/>
    <cellStyle name="Migliaia 22 4 2 2" xfId="20495" xr:uid="{00000000-0005-0000-0000-000057770000}"/>
    <cellStyle name="Migliaia 22 4 2 2 2" xfId="37812" xr:uid="{00000000-0005-0000-0000-000058770000}"/>
    <cellStyle name="Migliaia 22 4 2 2 3" xfId="38767" xr:uid="{00000000-0005-0000-0000-000059770000}"/>
    <cellStyle name="Migliaia 22 4 2 3" xfId="37304" xr:uid="{00000000-0005-0000-0000-00005A770000}"/>
    <cellStyle name="Migliaia 22 4 2 4" xfId="38259" xr:uid="{00000000-0005-0000-0000-00005B770000}"/>
    <cellStyle name="Migliaia 22 4 3" xfId="20494" xr:uid="{00000000-0005-0000-0000-00005C770000}"/>
    <cellStyle name="Migliaia 22 4 3 2" xfId="37811" xr:uid="{00000000-0005-0000-0000-00005D770000}"/>
    <cellStyle name="Migliaia 22 4 3 3" xfId="38766" xr:uid="{00000000-0005-0000-0000-00005E770000}"/>
    <cellStyle name="Migliaia 22 4 4" xfId="19339" xr:uid="{00000000-0005-0000-0000-00005F770000}"/>
    <cellStyle name="Migliaia 22 4 4 2" xfId="37303" xr:uid="{00000000-0005-0000-0000-000060770000}"/>
    <cellStyle name="Migliaia 22 4 5" xfId="11428" xr:uid="{00000000-0005-0000-0000-000061770000}"/>
    <cellStyle name="Migliaia 22 4 6" xfId="21453" xr:uid="{00000000-0005-0000-0000-000062770000}"/>
    <cellStyle name="Migliaia 22 4 7" xfId="38258" xr:uid="{00000000-0005-0000-0000-000063770000}"/>
    <cellStyle name="Migliaia 22 4 8" xfId="39606" xr:uid="{00000000-0005-0000-0000-000064770000}"/>
    <cellStyle name="Migliaia 22 4 9" xfId="40092" xr:uid="{00000000-0005-0000-0000-000065770000}"/>
    <cellStyle name="Migliaia 22 5" xfId="524" xr:uid="{00000000-0005-0000-0000-000066770000}"/>
    <cellStyle name="Migliaia 22 5 2" xfId="19341" xr:uid="{00000000-0005-0000-0000-000067770000}"/>
    <cellStyle name="Migliaia 22 5 2 2" xfId="37305" xr:uid="{00000000-0005-0000-0000-000068770000}"/>
    <cellStyle name="Migliaia 22 5 3" xfId="11429" xr:uid="{00000000-0005-0000-0000-000069770000}"/>
    <cellStyle name="Migliaia 22 5 4" xfId="21454" xr:uid="{00000000-0005-0000-0000-00006A770000}"/>
    <cellStyle name="Migliaia 22 5 5" xfId="38260" xr:uid="{00000000-0005-0000-0000-00006B770000}"/>
    <cellStyle name="Migliaia 22 5 6" xfId="39607" xr:uid="{00000000-0005-0000-0000-00006C770000}"/>
    <cellStyle name="Migliaia 22 5 7" xfId="40093" xr:uid="{00000000-0005-0000-0000-00006D770000}"/>
    <cellStyle name="Migliaia 22 6" xfId="525" xr:uid="{00000000-0005-0000-0000-00006E770000}"/>
    <cellStyle name="Migliaia 22 6 2" xfId="11424" xr:uid="{00000000-0005-0000-0000-00006F770000}"/>
    <cellStyle name="Migliaia 22 6 3" xfId="21455" xr:uid="{00000000-0005-0000-0000-000070770000}"/>
    <cellStyle name="Migliaia 22 6 4" xfId="39608" xr:uid="{00000000-0005-0000-0000-000071770000}"/>
    <cellStyle name="Migliaia 22 6 5" xfId="40094" xr:uid="{00000000-0005-0000-0000-000072770000}"/>
    <cellStyle name="Migliaia 22 7" xfId="12079" xr:uid="{00000000-0005-0000-0000-000073770000}"/>
    <cellStyle name="Migliaia 22 7 2" xfId="30264" xr:uid="{00000000-0005-0000-0000-000074770000}"/>
    <cellStyle name="Migliaia 22 8" xfId="19334" xr:uid="{00000000-0005-0000-0000-000075770000}"/>
    <cellStyle name="Migliaia 22 8 2" xfId="37298" xr:uid="{00000000-0005-0000-0000-000076770000}"/>
    <cellStyle name="Migliaia 22 9" xfId="3259" xr:uid="{00000000-0005-0000-0000-000077770000}"/>
    <cellStyle name="Migliaia 22 9 2" xfId="23259" xr:uid="{00000000-0005-0000-0000-000078770000}"/>
    <cellStyle name="Migliaia 23" xfId="526" xr:uid="{00000000-0005-0000-0000-000079770000}"/>
    <cellStyle name="Migliaia 23 10" xfId="21456" xr:uid="{00000000-0005-0000-0000-00007A770000}"/>
    <cellStyle name="Migliaia 23 11" xfId="38261" xr:uid="{00000000-0005-0000-0000-00007B770000}"/>
    <cellStyle name="Migliaia 23 12" xfId="39167" xr:uid="{00000000-0005-0000-0000-00007C770000}"/>
    <cellStyle name="Migliaia 23 13" xfId="39609" xr:uid="{00000000-0005-0000-0000-00007D770000}"/>
    <cellStyle name="Migliaia 23 14" xfId="40095" xr:uid="{00000000-0005-0000-0000-00007E770000}"/>
    <cellStyle name="Migliaia 23 2" xfId="527" xr:uid="{00000000-0005-0000-0000-00007F770000}"/>
    <cellStyle name="Migliaia 23 2 10" xfId="39610" xr:uid="{00000000-0005-0000-0000-000080770000}"/>
    <cellStyle name="Migliaia 23 2 11" xfId="40096" xr:uid="{00000000-0005-0000-0000-000081770000}"/>
    <cellStyle name="Migliaia 23 2 2" xfId="3553" xr:uid="{00000000-0005-0000-0000-000082770000}"/>
    <cellStyle name="Migliaia 23 2 2 2" xfId="12314" xr:uid="{00000000-0005-0000-0000-000083770000}"/>
    <cellStyle name="Migliaia 23 2 2 2 2" xfId="30484" xr:uid="{00000000-0005-0000-0000-000084770000}"/>
    <cellStyle name="Migliaia 23 2 2 3" xfId="20496" xr:uid="{00000000-0005-0000-0000-000085770000}"/>
    <cellStyle name="Migliaia 23 2 2 3 2" xfId="37813" xr:uid="{00000000-0005-0000-0000-000086770000}"/>
    <cellStyle name="Migliaia 23 2 2 4" xfId="23482" xr:uid="{00000000-0005-0000-0000-000087770000}"/>
    <cellStyle name="Migliaia 23 2 2 5" xfId="38768" xr:uid="{00000000-0005-0000-0000-000088770000}"/>
    <cellStyle name="Migliaia 23 2 2 6" xfId="39398" xr:uid="{00000000-0005-0000-0000-000089770000}"/>
    <cellStyle name="Migliaia 23 2 3" xfId="11431" xr:uid="{00000000-0005-0000-0000-00008A770000}"/>
    <cellStyle name="Migliaia 23 2 4" xfId="12084" xr:uid="{00000000-0005-0000-0000-00008B770000}"/>
    <cellStyle name="Migliaia 23 2 4 2" xfId="30269" xr:uid="{00000000-0005-0000-0000-00008C770000}"/>
    <cellStyle name="Migliaia 23 2 5" xfId="19343" xr:uid="{00000000-0005-0000-0000-00008D770000}"/>
    <cellStyle name="Migliaia 23 2 5 2" xfId="37307" xr:uid="{00000000-0005-0000-0000-00008E770000}"/>
    <cellStyle name="Migliaia 23 2 6" xfId="3264" xr:uid="{00000000-0005-0000-0000-00008F770000}"/>
    <cellStyle name="Migliaia 23 2 6 2" xfId="23264" xr:uid="{00000000-0005-0000-0000-000090770000}"/>
    <cellStyle name="Migliaia 23 2 7" xfId="21457" xr:uid="{00000000-0005-0000-0000-000091770000}"/>
    <cellStyle name="Migliaia 23 2 8" xfId="38262" xr:uid="{00000000-0005-0000-0000-000092770000}"/>
    <cellStyle name="Migliaia 23 2 9" xfId="39168" xr:uid="{00000000-0005-0000-0000-000093770000}"/>
    <cellStyle name="Migliaia 23 3" xfId="528" xr:uid="{00000000-0005-0000-0000-000094770000}"/>
    <cellStyle name="Migliaia 23 3 10" xfId="39611" xr:uid="{00000000-0005-0000-0000-000095770000}"/>
    <cellStyle name="Migliaia 23 3 11" xfId="40097" xr:uid="{00000000-0005-0000-0000-000096770000}"/>
    <cellStyle name="Migliaia 23 3 2" xfId="529" xr:uid="{00000000-0005-0000-0000-000097770000}"/>
    <cellStyle name="Migliaia 23 3 2 10" xfId="40098" xr:uid="{00000000-0005-0000-0000-000098770000}"/>
    <cellStyle name="Migliaia 23 3 2 2" xfId="11433" xr:uid="{00000000-0005-0000-0000-000099770000}"/>
    <cellStyle name="Migliaia 23 3 2 3" xfId="12086" xr:uid="{00000000-0005-0000-0000-00009A770000}"/>
    <cellStyle name="Migliaia 23 3 2 3 2" xfId="30271" xr:uid="{00000000-0005-0000-0000-00009B770000}"/>
    <cellStyle name="Migliaia 23 3 2 4" xfId="19345" xr:uid="{00000000-0005-0000-0000-00009C770000}"/>
    <cellStyle name="Migliaia 23 3 2 4 2" xfId="37309" xr:uid="{00000000-0005-0000-0000-00009D770000}"/>
    <cellStyle name="Migliaia 23 3 2 5" xfId="3266" xr:uid="{00000000-0005-0000-0000-00009E770000}"/>
    <cellStyle name="Migliaia 23 3 2 5 2" xfId="23266" xr:uid="{00000000-0005-0000-0000-00009F770000}"/>
    <cellStyle name="Migliaia 23 3 2 6" xfId="21459" xr:uid="{00000000-0005-0000-0000-0000A0770000}"/>
    <cellStyle name="Migliaia 23 3 2 7" xfId="38264" xr:uid="{00000000-0005-0000-0000-0000A1770000}"/>
    <cellStyle name="Migliaia 23 3 2 8" xfId="39170" xr:uid="{00000000-0005-0000-0000-0000A2770000}"/>
    <cellStyle name="Migliaia 23 3 2 9" xfId="39612" xr:uid="{00000000-0005-0000-0000-0000A3770000}"/>
    <cellStyle name="Migliaia 23 3 3" xfId="11432" xr:uid="{00000000-0005-0000-0000-0000A4770000}"/>
    <cellStyle name="Migliaia 23 3 3 2" xfId="20498" xr:uid="{00000000-0005-0000-0000-0000A5770000}"/>
    <cellStyle name="Migliaia 23 3 3 2 2" xfId="37815" xr:uid="{00000000-0005-0000-0000-0000A6770000}"/>
    <cellStyle name="Migliaia 23 3 3 2 3" xfId="38770" xr:uid="{00000000-0005-0000-0000-0000A7770000}"/>
    <cellStyle name="Migliaia 23 3 3 3" xfId="19346" xr:uid="{00000000-0005-0000-0000-0000A8770000}"/>
    <cellStyle name="Migliaia 23 3 3 3 2" xfId="37310" xr:uid="{00000000-0005-0000-0000-0000A9770000}"/>
    <cellStyle name="Migliaia 23 3 3 4" xfId="38265" xr:uid="{00000000-0005-0000-0000-0000AA770000}"/>
    <cellStyle name="Migliaia 23 3 4" xfId="12085" xr:uid="{00000000-0005-0000-0000-0000AB770000}"/>
    <cellStyle name="Migliaia 23 3 4 2" xfId="20497" xr:uid="{00000000-0005-0000-0000-0000AC770000}"/>
    <cellStyle name="Migliaia 23 3 4 2 2" xfId="37814" xr:uid="{00000000-0005-0000-0000-0000AD770000}"/>
    <cellStyle name="Migliaia 23 3 4 3" xfId="30270" xr:uid="{00000000-0005-0000-0000-0000AE770000}"/>
    <cellStyle name="Migliaia 23 3 4 4" xfId="38769" xr:uid="{00000000-0005-0000-0000-0000AF770000}"/>
    <cellStyle name="Migliaia 23 3 5" xfId="19344" xr:uid="{00000000-0005-0000-0000-0000B0770000}"/>
    <cellStyle name="Migliaia 23 3 5 2" xfId="37308" xr:uid="{00000000-0005-0000-0000-0000B1770000}"/>
    <cellStyle name="Migliaia 23 3 6" xfId="3265" xr:uid="{00000000-0005-0000-0000-0000B2770000}"/>
    <cellStyle name="Migliaia 23 3 6 2" xfId="23265" xr:uid="{00000000-0005-0000-0000-0000B3770000}"/>
    <cellStyle name="Migliaia 23 3 7" xfId="21458" xr:uid="{00000000-0005-0000-0000-0000B4770000}"/>
    <cellStyle name="Migliaia 23 3 8" xfId="38263" xr:uid="{00000000-0005-0000-0000-0000B5770000}"/>
    <cellStyle name="Migliaia 23 3 9" xfId="39169" xr:uid="{00000000-0005-0000-0000-0000B6770000}"/>
    <cellStyle name="Migliaia 23 4" xfId="530" xr:uid="{00000000-0005-0000-0000-0000B7770000}"/>
    <cellStyle name="Migliaia 23 4 2" xfId="19348" xr:uid="{00000000-0005-0000-0000-0000B8770000}"/>
    <cellStyle name="Migliaia 23 4 2 2" xfId="20500" xr:uid="{00000000-0005-0000-0000-0000B9770000}"/>
    <cellStyle name="Migliaia 23 4 2 2 2" xfId="37817" xr:uid="{00000000-0005-0000-0000-0000BA770000}"/>
    <cellStyle name="Migliaia 23 4 2 2 3" xfId="38772" xr:uid="{00000000-0005-0000-0000-0000BB770000}"/>
    <cellStyle name="Migliaia 23 4 2 3" xfId="37312" xr:uid="{00000000-0005-0000-0000-0000BC770000}"/>
    <cellStyle name="Migliaia 23 4 2 4" xfId="38267" xr:uid="{00000000-0005-0000-0000-0000BD770000}"/>
    <cellStyle name="Migliaia 23 4 3" xfId="20499" xr:uid="{00000000-0005-0000-0000-0000BE770000}"/>
    <cellStyle name="Migliaia 23 4 3 2" xfId="37816" xr:uid="{00000000-0005-0000-0000-0000BF770000}"/>
    <cellStyle name="Migliaia 23 4 3 3" xfId="38771" xr:uid="{00000000-0005-0000-0000-0000C0770000}"/>
    <cellStyle name="Migliaia 23 4 4" xfId="19347" xr:uid="{00000000-0005-0000-0000-0000C1770000}"/>
    <cellStyle name="Migliaia 23 4 4 2" xfId="37311" xr:uid="{00000000-0005-0000-0000-0000C2770000}"/>
    <cellStyle name="Migliaia 23 4 5" xfId="11434" xr:uid="{00000000-0005-0000-0000-0000C3770000}"/>
    <cellStyle name="Migliaia 23 4 6" xfId="21460" xr:uid="{00000000-0005-0000-0000-0000C4770000}"/>
    <cellStyle name="Migliaia 23 4 7" xfId="38266" xr:uid="{00000000-0005-0000-0000-0000C5770000}"/>
    <cellStyle name="Migliaia 23 4 8" xfId="39613" xr:uid="{00000000-0005-0000-0000-0000C6770000}"/>
    <cellStyle name="Migliaia 23 4 9" xfId="40099" xr:uid="{00000000-0005-0000-0000-0000C7770000}"/>
    <cellStyle name="Migliaia 23 5" xfId="531" xr:uid="{00000000-0005-0000-0000-0000C8770000}"/>
    <cellStyle name="Migliaia 23 5 2" xfId="19349" xr:uid="{00000000-0005-0000-0000-0000C9770000}"/>
    <cellStyle name="Migliaia 23 5 2 2" xfId="37313" xr:uid="{00000000-0005-0000-0000-0000CA770000}"/>
    <cellStyle name="Migliaia 23 5 3" xfId="11435" xr:uid="{00000000-0005-0000-0000-0000CB770000}"/>
    <cellStyle name="Migliaia 23 5 4" xfId="21461" xr:uid="{00000000-0005-0000-0000-0000CC770000}"/>
    <cellStyle name="Migliaia 23 5 5" xfId="38268" xr:uid="{00000000-0005-0000-0000-0000CD770000}"/>
    <cellStyle name="Migliaia 23 5 6" xfId="39614" xr:uid="{00000000-0005-0000-0000-0000CE770000}"/>
    <cellStyle name="Migliaia 23 5 7" xfId="40100" xr:uid="{00000000-0005-0000-0000-0000CF770000}"/>
    <cellStyle name="Migliaia 23 6" xfId="532" xr:uid="{00000000-0005-0000-0000-0000D0770000}"/>
    <cellStyle name="Migliaia 23 6 2" xfId="11430" xr:uid="{00000000-0005-0000-0000-0000D1770000}"/>
    <cellStyle name="Migliaia 23 6 3" xfId="21462" xr:uid="{00000000-0005-0000-0000-0000D2770000}"/>
    <cellStyle name="Migliaia 23 6 4" xfId="39615" xr:uid="{00000000-0005-0000-0000-0000D3770000}"/>
    <cellStyle name="Migliaia 23 6 5" xfId="40101" xr:uid="{00000000-0005-0000-0000-0000D4770000}"/>
    <cellStyle name="Migliaia 23 7" xfId="12083" xr:uid="{00000000-0005-0000-0000-0000D5770000}"/>
    <cellStyle name="Migliaia 23 7 2" xfId="30268" xr:uid="{00000000-0005-0000-0000-0000D6770000}"/>
    <cellStyle name="Migliaia 23 8" xfId="19342" xr:uid="{00000000-0005-0000-0000-0000D7770000}"/>
    <cellStyle name="Migliaia 23 8 2" xfId="37306" xr:uid="{00000000-0005-0000-0000-0000D8770000}"/>
    <cellStyle name="Migliaia 23 9" xfId="3263" xr:uid="{00000000-0005-0000-0000-0000D9770000}"/>
    <cellStyle name="Migliaia 23 9 2" xfId="23263" xr:uid="{00000000-0005-0000-0000-0000DA770000}"/>
    <cellStyle name="Migliaia 24" xfId="533" xr:uid="{00000000-0005-0000-0000-0000DB770000}"/>
    <cellStyle name="Migliaia 24 10" xfId="21463" xr:uid="{00000000-0005-0000-0000-0000DC770000}"/>
    <cellStyle name="Migliaia 24 11" xfId="38269" xr:uid="{00000000-0005-0000-0000-0000DD770000}"/>
    <cellStyle name="Migliaia 24 12" xfId="39171" xr:uid="{00000000-0005-0000-0000-0000DE770000}"/>
    <cellStyle name="Migliaia 24 13" xfId="39616" xr:uid="{00000000-0005-0000-0000-0000DF770000}"/>
    <cellStyle name="Migliaia 24 14" xfId="40102" xr:uid="{00000000-0005-0000-0000-0000E0770000}"/>
    <cellStyle name="Migliaia 24 2" xfId="534" xr:uid="{00000000-0005-0000-0000-0000E1770000}"/>
    <cellStyle name="Migliaia 24 2 10" xfId="39617" xr:uid="{00000000-0005-0000-0000-0000E2770000}"/>
    <cellStyle name="Migliaia 24 2 11" xfId="40103" xr:uid="{00000000-0005-0000-0000-0000E3770000}"/>
    <cellStyle name="Migliaia 24 2 2" xfId="3554" xr:uid="{00000000-0005-0000-0000-0000E4770000}"/>
    <cellStyle name="Migliaia 24 2 2 2" xfId="12315" xr:uid="{00000000-0005-0000-0000-0000E5770000}"/>
    <cellStyle name="Migliaia 24 2 2 2 2" xfId="30485" xr:uid="{00000000-0005-0000-0000-0000E6770000}"/>
    <cellStyle name="Migliaia 24 2 2 3" xfId="20501" xr:uid="{00000000-0005-0000-0000-0000E7770000}"/>
    <cellStyle name="Migliaia 24 2 2 3 2" xfId="37818" xr:uid="{00000000-0005-0000-0000-0000E8770000}"/>
    <cellStyle name="Migliaia 24 2 2 4" xfId="23483" xr:uid="{00000000-0005-0000-0000-0000E9770000}"/>
    <cellStyle name="Migliaia 24 2 2 5" xfId="38773" xr:uid="{00000000-0005-0000-0000-0000EA770000}"/>
    <cellStyle name="Migliaia 24 2 2 6" xfId="39399" xr:uid="{00000000-0005-0000-0000-0000EB770000}"/>
    <cellStyle name="Migliaia 24 2 3" xfId="11437" xr:uid="{00000000-0005-0000-0000-0000EC770000}"/>
    <cellStyle name="Migliaia 24 2 4" xfId="12088" xr:uid="{00000000-0005-0000-0000-0000ED770000}"/>
    <cellStyle name="Migliaia 24 2 4 2" xfId="30273" xr:uid="{00000000-0005-0000-0000-0000EE770000}"/>
    <cellStyle name="Migliaia 24 2 5" xfId="19351" xr:uid="{00000000-0005-0000-0000-0000EF770000}"/>
    <cellStyle name="Migliaia 24 2 5 2" xfId="37315" xr:uid="{00000000-0005-0000-0000-0000F0770000}"/>
    <cellStyle name="Migliaia 24 2 6" xfId="3268" xr:uid="{00000000-0005-0000-0000-0000F1770000}"/>
    <cellStyle name="Migliaia 24 2 6 2" xfId="23268" xr:uid="{00000000-0005-0000-0000-0000F2770000}"/>
    <cellStyle name="Migliaia 24 2 7" xfId="21464" xr:uid="{00000000-0005-0000-0000-0000F3770000}"/>
    <cellStyle name="Migliaia 24 2 8" xfId="38270" xr:uid="{00000000-0005-0000-0000-0000F4770000}"/>
    <cellStyle name="Migliaia 24 2 9" xfId="39172" xr:uid="{00000000-0005-0000-0000-0000F5770000}"/>
    <cellStyle name="Migliaia 24 3" xfId="535" xr:uid="{00000000-0005-0000-0000-0000F6770000}"/>
    <cellStyle name="Migliaia 24 3 10" xfId="39618" xr:uid="{00000000-0005-0000-0000-0000F7770000}"/>
    <cellStyle name="Migliaia 24 3 11" xfId="40104" xr:uid="{00000000-0005-0000-0000-0000F8770000}"/>
    <cellStyle name="Migliaia 24 3 2" xfId="536" xr:uid="{00000000-0005-0000-0000-0000F9770000}"/>
    <cellStyle name="Migliaia 24 3 2 10" xfId="40105" xr:uid="{00000000-0005-0000-0000-0000FA770000}"/>
    <cellStyle name="Migliaia 24 3 2 2" xfId="11439" xr:uid="{00000000-0005-0000-0000-0000FB770000}"/>
    <cellStyle name="Migliaia 24 3 2 3" xfId="12090" xr:uid="{00000000-0005-0000-0000-0000FC770000}"/>
    <cellStyle name="Migliaia 24 3 2 3 2" xfId="30275" xr:uid="{00000000-0005-0000-0000-0000FD770000}"/>
    <cellStyle name="Migliaia 24 3 2 4" xfId="19353" xr:uid="{00000000-0005-0000-0000-0000FE770000}"/>
    <cellStyle name="Migliaia 24 3 2 4 2" xfId="37317" xr:uid="{00000000-0005-0000-0000-0000FF770000}"/>
    <cellStyle name="Migliaia 24 3 2 5" xfId="3270" xr:uid="{00000000-0005-0000-0000-000000780000}"/>
    <cellStyle name="Migliaia 24 3 2 5 2" xfId="23270" xr:uid="{00000000-0005-0000-0000-000001780000}"/>
    <cellStyle name="Migliaia 24 3 2 6" xfId="21466" xr:uid="{00000000-0005-0000-0000-000002780000}"/>
    <cellStyle name="Migliaia 24 3 2 7" xfId="38272" xr:uid="{00000000-0005-0000-0000-000003780000}"/>
    <cellStyle name="Migliaia 24 3 2 8" xfId="39174" xr:uid="{00000000-0005-0000-0000-000004780000}"/>
    <cellStyle name="Migliaia 24 3 2 9" xfId="39619" xr:uid="{00000000-0005-0000-0000-000005780000}"/>
    <cellStyle name="Migliaia 24 3 3" xfId="11438" xr:uid="{00000000-0005-0000-0000-000006780000}"/>
    <cellStyle name="Migliaia 24 3 3 2" xfId="20503" xr:uid="{00000000-0005-0000-0000-000007780000}"/>
    <cellStyle name="Migliaia 24 3 3 2 2" xfId="37820" xr:uid="{00000000-0005-0000-0000-000008780000}"/>
    <cellStyle name="Migliaia 24 3 3 2 3" xfId="38775" xr:uid="{00000000-0005-0000-0000-000009780000}"/>
    <cellStyle name="Migliaia 24 3 3 3" xfId="19354" xr:uid="{00000000-0005-0000-0000-00000A780000}"/>
    <cellStyle name="Migliaia 24 3 3 3 2" xfId="37318" xr:uid="{00000000-0005-0000-0000-00000B780000}"/>
    <cellStyle name="Migliaia 24 3 3 4" xfId="38273" xr:uid="{00000000-0005-0000-0000-00000C780000}"/>
    <cellStyle name="Migliaia 24 3 4" xfId="12089" xr:uid="{00000000-0005-0000-0000-00000D780000}"/>
    <cellStyle name="Migliaia 24 3 4 2" xfId="20502" xr:uid="{00000000-0005-0000-0000-00000E780000}"/>
    <cellStyle name="Migliaia 24 3 4 2 2" xfId="37819" xr:uid="{00000000-0005-0000-0000-00000F780000}"/>
    <cellStyle name="Migliaia 24 3 4 3" xfId="30274" xr:uid="{00000000-0005-0000-0000-000010780000}"/>
    <cellStyle name="Migliaia 24 3 4 4" xfId="38774" xr:uid="{00000000-0005-0000-0000-000011780000}"/>
    <cellStyle name="Migliaia 24 3 5" xfId="19352" xr:uid="{00000000-0005-0000-0000-000012780000}"/>
    <cellStyle name="Migliaia 24 3 5 2" xfId="37316" xr:uid="{00000000-0005-0000-0000-000013780000}"/>
    <cellStyle name="Migliaia 24 3 6" xfId="3269" xr:uid="{00000000-0005-0000-0000-000014780000}"/>
    <cellStyle name="Migliaia 24 3 6 2" xfId="23269" xr:uid="{00000000-0005-0000-0000-000015780000}"/>
    <cellStyle name="Migliaia 24 3 7" xfId="21465" xr:uid="{00000000-0005-0000-0000-000016780000}"/>
    <cellStyle name="Migliaia 24 3 8" xfId="38271" xr:uid="{00000000-0005-0000-0000-000017780000}"/>
    <cellStyle name="Migliaia 24 3 9" xfId="39173" xr:uid="{00000000-0005-0000-0000-000018780000}"/>
    <cellStyle name="Migliaia 24 4" xfId="537" xr:uid="{00000000-0005-0000-0000-000019780000}"/>
    <cellStyle name="Migliaia 24 4 2" xfId="19356" xr:uid="{00000000-0005-0000-0000-00001A780000}"/>
    <cellStyle name="Migliaia 24 4 2 2" xfId="20505" xr:uid="{00000000-0005-0000-0000-00001B780000}"/>
    <cellStyle name="Migliaia 24 4 2 2 2" xfId="37822" xr:uid="{00000000-0005-0000-0000-00001C780000}"/>
    <cellStyle name="Migliaia 24 4 2 2 3" xfId="38777" xr:uid="{00000000-0005-0000-0000-00001D780000}"/>
    <cellStyle name="Migliaia 24 4 2 3" xfId="37320" xr:uid="{00000000-0005-0000-0000-00001E780000}"/>
    <cellStyle name="Migliaia 24 4 2 4" xfId="38275" xr:uid="{00000000-0005-0000-0000-00001F780000}"/>
    <cellStyle name="Migliaia 24 4 3" xfId="20504" xr:uid="{00000000-0005-0000-0000-000020780000}"/>
    <cellStyle name="Migliaia 24 4 3 2" xfId="37821" xr:uid="{00000000-0005-0000-0000-000021780000}"/>
    <cellStyle name="Migliaia 24 4 3 3" xfId="38776" xr:uid="{00000000-0005-0000-0000-000022780000}"/>
    <cellStyle name="Migliaia 24 4 4" xfId="19355" xr:uid="{00000000-0005-0000-0000-000023780000}"/>
    <cellStyle name="Migliaia 24 4 4 2" xfId="37319" xr:uid="{00000000-0005-0000-0000-000024780000}"/>
    <cellStyle name="Migliaia 24 4 5" xfId="11440" xr:uid="{00000000-0005-0000-0000-000025780000}"/>
    <cellStyle name="Migliaia 24 4 6" xfId="21467" xr:uid="{00000000-0005-0000-0000-000026780000}"/>
    <cellStyle name="Migliaia 24 4 7" xfId="38274" xr:uid="{00000000-0005-0000-0000-000027780000}"/>
    <cellStyle name="Migliaia 24 4 8" xfId="39620" xr:uid="{00000000-0005-0000-0000-000028780000}"/>
    <cellStyle name="Migliaia 24 4 9" xfId="40106" xr:uid="{00000000-0005-0000-0000-000029780000}"/>
    <cellStyle name="Migliaia 24 5" xfId="538" xr:uid="{00000000-0005-0000-0000-00002A780000}"/>
    <cellStyle name="Migliaia 24 5 2" xfId="19357" xr:uid="{00000000-0005-0000-0000-00002B780000}"/>
    <cellStyle name="Migliaia 24 5 2 2" xfId="37321" xr:uid="{00000000-0005-0000-0000-00002C780000}"/>
    <cellStyle name="Migliaia 24 5 3" xfId="11441" xr:uid="{00000000-0005-0000-0000-00002D780000}"/>
    <cellStyle name="Migliaia 24 5 4" xfId="21468" xr:uid="{00000000-0005-0000-0000-00002E780000}"/>
    <cellStyle name="Migliaia 24 5 5" xfId="38276" xr:uid="{00000000-0005-0000-0000-00002F780000}"/>
    <cellStyle name="Migliaia 24 5 6" xfId="39621" xr:uid="{00000000-0005-0000-0000-000030780000}"/>
    <cellStyle name="Migliaia 24 5 7" xfId="40107" xr:uid="{00000000-0005-0000-0000-000031780000}"/>
    <cellStyle name="Migliaia 24 6" xfId="539" xr:uid="{00000000-0005-0000-0000-000032780000}"/>
    <cellStyle name="Migliaia 24 6 2" xfId="11436" xr:uid="{00000000-0005-0000-0000-000033780000}"/>
    <cellStyle name="Migliaia 24 6 3" xfId="21469" xr:uid="{00000000-0005-0000-0000-000034780000}"/>
    <cellStyle name="Migliaia 24 6 4" xfId="39622" xr:uid="{00000000-0005-0000-0000-000035780000}"/>
    <cellStyle name="Migliaia 24 6 5" xfId="40108" xr:uid="{00000000-0005-0000-0000-000036780000}"/>
    <cellStyle name="Migliaia 24 7" xfId="12087" xr:uid="{00000000-0005-0000-0000-000037780000}"/>
    <cellStyle name="Migliaia 24 7 2" xfId="30272" xr:uid="{00000000-0005-0000-0000-000038780000}"/>
    <cellStyle name="Migliaia 24 8" xfId="19350" xr:uid="{00000000-0005-0000-0000-000039780000}"/>
    <cellStyle name="Migliaia 24 8 2" xfId="37314" xr:uid="{00000000-0005-0000-0000-00003A780000}"/>
    <cellStyle name="Migliaia 24 9" xfId="3267" xr:uid="{00000000-0005-0000-0000-00003B780000}"/>
    <cellStyle name="Migliaia 24 9 2" xfId="23267" xr:uid="{00000000-0005-0000-0000-00003C780000}"/>
    <cellStyle name="Migliaia 25" xfId="540" xr:uid="{00000000-0005-0000-0000-00003D780000}"/>
    <cellStyle name="Migliaia 25 10" xfId="21470" xr:uid="{00000000-0005-0000-0000-00003E780000}"/>
    <cellStyle name="Migliaia 25 11" xfId="38277" xr:uid="{00000000-0005-0000-0000-00003F780000}"/>
    <cellStyle name="Migliaia 25 12" xfId="39175" xr:uid="{00000000-0005-0000-0000-000040780000}"/>
    <cellStyle name="Migliaia 25 13" xfId="39623" xr:uid="{00000000-0005-0000-0000-000041780000}"/>
    <cellStyle name="Migliaia 25 14" xfId="40109" xr:uid="{00000000-0005-0000-0000-000042780000}"/>
    <cellStyle name="Migliaia 25 2" xfId="541" xr:uid="{00000000-0005-0000-0000-000043780000}"/>
    <cellStyle name="Migliaia 25 2 10" xfId="39624" xr:uid="{00000000-0005-0000-0000-000044780000}"/>
    <cellStyle name="Migliaia 25 2 11" xfId="40110" xr:uid="{00000000-0005-0000-0000-000045780000}"/>
    <cellStyle name="Migliaia 25 2 2" xfId="3555" xr:uid="{00000000-0005-0000-0000-000046780000}"/>
    <cellStyle name="Migliaia 25 2 2 2" xfId="12316" xr:uid="{00000000-0005-0000-0000-000047780000}"/>
    <cellStyle name="Migliaia 25 2 2 2 2" xfId="30486" xr:uid="{00000000-0005-0000-0000-000048780000}"/>
    <cellStyle name="Migliaia 25 2 2 3" xfId="20506" xr:uid="{00000000-0005-0000-0000-000049780000}"/>
    <cellStyle name="Migliaia 25 2 2 3 2" xfId="37823" xr:uid="{00000000-0005-0000-0000-00004A780000}"/>
    <cellStyle name="Migliaia 25 2 2 4" xfId="23484" xr:uid="{00000000-0005-0000-0000-00004B780000}"/>
    <cellStyle name="Migliaia 25 2 2 5" xfId="38778" xr:uid="{00000000-0005-0000-0000-00004C780000}"/>
    <cellStyle name="Migliaia 25 2 2 6" xfId="39400" xr:uid="{00000000-0005-0000-0000-00004D780000}"/>
    <cellStyle name="Migliaia 25 2 3" xfId="11443" xr:uid="{00000000-0005-0000-0000-00004E780000}"/>
    <cellStyle name="Migliaia 25 2 4" xfId="12092" xr:uid="{00000000-0005-0000-0000-00004F780000}"/>
    <cellStyle name="Migliaia 25 2 4 2" xfId="30277" xr:uid="{00000000-0005-0000-0000-000050780000}"/>
    <cellStyle name="Migliaia 25 2 5" xfId="19359" xr:uid="{00000000-0005-0000-0000-000051780000}"/>
    <cellStyle name="Migliaia 25 2 5 2" xfId="37323" xr:uid="{00000000-0005-0000-0000-000052780000}"/>
    <cellStyle name="Migliaia 25 2 6" xfId="3272" xr:uid="{00000000-0005-0000-0000-000053780000}"/>
    <cellStyle name="Migliaia 25 2 6 2" xfId="23272" xr:uid="{00000000-0005-0000-0000-000054780000}"/>
    <cellStyle name="Migliaia 25 2 7" xfId="21471" xr:uid="{00000000-0005-0000-0000-000055780000}"/>
    <cellStyle name="Migliaia 25 2 8" xfId="38278" xr:uid="{00000000-0005-0000-0000-000056780000}"/>
    <cellStyle name="Migliaia 25 2 9" xfId="39176" xr:uid="{00000000-0005-0000-0000-000057780000}"/>
    <cellStyle name="Migliaia 25 3" xfId="542" xr:uid="{00000000-0005-0000-0000-000058780000}"/>
    <cellStyle name="Migliaia 25 3 10" xfId="39625" xr:uid="{00000000-0005-0000-0000-000059780000}"/>
    <cellStyle name="Migliaia 25 3 11" xfId="40111" xr:uid="{00000000-0005-0000-0000-00005A780000}"/>
    <cellStyle name="Migliaia 25 3 2" xfId="543" xr:uid="{00000000-0005-0000-0000-00005B780000}"/>
    <cellStyle name="Migliaia 25 3 2 10" xfId="40112" xr:uid="{00000000-0005-0000-0000-00005C780000}"/>
    <cellStyle name="Migliaia 25 3 2 2" xfId="11445" xr:uid="{00000000-0005-0000-0000-00005D780000}"/>
    <cellStyle name="Migliaia 25 3 2 3" xfId="12094" xr:uid="{00000000-0005-0000-0000-00005E780000}"/>
    <cellStyle name="Migliaia 25 3 2 3 2" xfId="30279" xr:uid="{00000000-0005-0000-0000-00005F780000}"/>
    <cellStyle name="Migliaia 25 3 2 4" xfId="19361" xr:uid="{00000000-0005-0000-0000-000060780000}"/>
    <cellStyle name="Migliaia 25 3 2 4 2" xfId="37325" xr:uid="{00000000-0005-0000-0000-000061780000}"/>
    <cellStyle name="Migliaia 25 3 2 5" xfId="3274" xr:uid="{00000000-0005-0000-0000-000062780000}"/>
    <cellStyle name="Migliaia 25 3 2 5 2" xfId="23274" xr:uid="{00000000-0005-0000-0000-000063780000}"/>
    <cellStyle name="Migliaia 25 3 2 6" xfId="21473" xr:uid="{00000000-0005-0000-0000-000064780000}"/>
    <cellStyle name="Migliaia 25 3 2 7" xfId="38280" xr:uid="{00000000-0005-0000-0000-000065780000}"/>
    <cellStyle name="Migliaia 25 3 2 8" xfId="39178" xr:uid="{00000000-0005-0000-0000-000066780000}"/>
    <cellStyle name="Migliaia 25 3 2 9" xfId="39626" xr:uid="{00000000-0005-0000-0000-000067780000}"/>
    <cellStyle name="Migliaia 25 3 3" xfId="11444" xr:uid="{00000000-0005-0000-0000-000068780000}"/>
    <cellStyle name="Migliaia 25 3 3 2" xfId="20508" xr:uid="{00000000-0005-0000-0000-000069780000}"/>
    <cellStyle name="Migliaia 25 3 3 2 2" xfId="37825" xr:uid="{00000000-0005-0000-0000-00006A780000}"/>
    <cellStyle name="Migliaia 25 3 3 2 3" xfId="38780" xr:uid="{00000000-0005-0000-0000-00006B780000}"/>
    <cellStyle name="Migliaia 25 3 3 3" xfId="19362" xr:uid="{00000000-0005-0000-0000-00006C780000}"/>
    <cellStyle name="Migliaia 25 3 3 3 2" xfId="37326" xr:uid="{00000000-0005-0000-0000-00006D780000}"/>
    <cellStyle name="Migliaia 25 3 3 4" xfId="38281" xr:uid="{00000000-0005-0000-0000-00006E780000}"/>
    <cellStyle name="Migliaia 25 3 4" xfId="12093" xr:uid="{00000000-0005-0000-0000-00006F780000}"/>
    <cellStyle name="Migliaia 25 3 4 2" xfId="20507" xr:uid="{00000000-0005-0000-0000-000070780000}"/>
    <cellStyle name="Migliaia 25 3 4 2 2" xfId="37824" xr:uid="{00000000-0005-0000-0000-000071780000}"/>
    <cellStyle name="Migliaia 25 3 4 3" xfId="30278" xr:uid="{00000000-0005-0000-0000-000072780000}"/>
    <cellStyle name="Migliaia 25 3 4 4" xfId="38779" xr:uid="{00000000-0005-0000-0000-000073780000}"/>
    <cellStyle name="Migliaia 25 3 5" xfId="19360" xr:uid="{00000000-0005-0000-0000-000074780000}"/>
    <cellStyle name="Migliaia 25 3 5 2" xfId="37324" xr:uid="{00000000-0005-0000-0000-000075780000}"/>
    <cellStyle name="Migliaia 25 3 6" xfId="3273" xr:uid="{00000000-0005-0000-0000-000076780000}"/>
    <cellStyle name="Migliaia 25 3 6 2" xfId="23273" xr:uid="{00000000-0005-0000-0000-000077780000}"/>
    <cellStyle name="Migliaia 25 3 7" xfId="21472" xr:uid="{00000000-0005-0000-0000-000078780000}"/>
    <cellStyle name="Migliaia 25 3 8" xfId="38279" xr:uid="{00000000-0005-0000-0000-000079780000}"/>
    <cellStyle name="Migliaia 25 3 9" xfId="39177" xr:uid="{00000000-0005-0000-0000-00007A780000}"/>
    <cellStyle name="Migliaia 25 4" xfId="544" xr:uid="{00000000-0005-0000-0000-00007B780000}"/>
    <cellStyle name="Migliaia 25 4 2" xfId="19364" xr:uid="{00000000-0005-0000-0000-00007C780000}"/>
    <cellStyle name="Migliaia 25 4 2 2" xfId="20510" xr:uid="{00000000-0005-0000-0000-00007D780000}"/>
    <cellStyle name="Migliaia 25 4 2 2 2" xfId="37827" xr:uid="{00000000-0005-0000-0000-00007E780000}"/>
    <cellStyle name="Migliaia 25 4 2 2 3" xfId="38782" xr:uid="{00000000-0005-0000-0000-00007F780000}"/>
    <cellStyle name="Migliaia 25 4 2 3" xfId="37328" xr:uid="{00000000-0005-0000-0000-000080780000}"/>
    <cellStyle name="Migliaia 25 4 2 4" xfId="38283" xr:uid="{00000000-0005-0000-0000-000081780000}"/>
    <cellStyle name="Migliaia 25 4 3" xfId="20509" xr:uid="{00000000-0005-0000-0000-000082780000}"/>
    <cellStyle name="Migliaia 25 4 3 2" xfId="37826" xr:uid="{00000000-0005-0000-0000-000083780000}"/>
    <cellStyle name="Migliaia 25 4 3 3" xfId="38781" xr:uid="{00000000-0005-0000-0000-000084780000}"/>
    <cellStyle name="Migliaia 25 4 4" xfId="19363" xr:uid="{00000000-0005-0000-0000-000085780000}"/>
    <cellStyle name="Migliaia 25 4 4 2" xfId="37327" xr:uid="{00000000-0005-0000-0000-000086780000}"/>
    <cellStyle name="Migliaia 25 4 5" xfId="11446" xr:uid="{00000000-0005-0000-0000-000087780000}"/>
    <cellStyle name="Migliaia 25 4 6" xfId="21474" xr:uid="{00000000-0005-0000-0000-000088780000}"/>
    <cellStyle name="Migliaia 25 4 7" xfId="38282" xr:uid="{00000000-0005-0000-0000-000089780000}"/>
    <cellStyle name="Migliaia 25 4 8" xfId="39627" xr:uid="{00000000-0005-0000-0000-00008A780000}"/>
    <cellStyle name="Migliaia 25 4 9" xfId="40113" xr:uid="{00000000-0005-0000-0000-00008B780000}"/>
    <cellStyle name="Migliaia 25 5" xfId="545" xr:uid="{00000000-0005-0000-0000-00008C780000}"/>
    <cellStyle name="Migliaia 25 5 2" xfId="19365" xr:uid="{00000000-0005-0000-0000-00008D780000}"/>
    <cellStyle name="Migliaia 25 5 2 2" xfId="37329" xr:uid="{00000000-0005-0000-0000-00008E780000}"/>
    <cellStyle name="Migliaia 25 5 3" xfId="11447" xr:uid="{00000000-0005-0000-0000-00008F780000}"/>
    <cellStyle name="Migliaia 25 5 4" xfId="21475" xr:uid="{00000000-0005-0000-0000-000090780000}"/>
    <cellStyle name="Migliaia 25 5 5" xfId="38284" xr:uid="{00000000-0005-0000-0000-000091780000}"/>
    <cellStyle name="Migliaia 25 5 6" xfId="39628" xr:uid="{00000000-0005-0000-0000-000092780000}"/>
    <cellStyle name="Migliaia 25 5 7" xfId="40114" xr:uid="{00000000-0005-0000-0000-000093780000}"/>
    <cellStyle name="Migliaia 25 6" xfId="546" xr:uid="{00000000-0005-0000-0000-000094780000}"/>
    <cellStyle name="Migliaia 25 6 2" xfId="11442" xr:uid="{00000000-0005-0000-0000-000095780000}"/>
    <cellStyle name="Migliaia 25 6 3" xfId="21476" xr:uid="{00000000-0005-0000-0000-000096780000}"/>
    <cellStyle name="Migliaia 25 6 4" xfId="39629" xr:uid="{00000000-0005-0000-0000-000097780000}"/>
    <cellStyle name="Migliaia 25 6 5" xfId="40115" xr:uid="{00000000-0005-0000-0000-000098780000}"/>
    <cellStyle name="Migliaia 25 7" xfId="12091" xr:uid="{00000000-0005-0000-0000-000099780000}"/>
    <cellStyle name="Migliaia 25 7 2" xfId="30276" xr:uid="{00000000-0005-0000-0000-00009A780000}"/>
    <cellStyle name="Migliaia 25 8" xfId="19358" xr:uid="{00000000-0005-0000-0000-00009B780000}"/>
    <cellStyle name="Migliaia 25 8 2" xfId="37322" xr:uid="{00000000-0005-0000-0000-00009C780000}"/>
    <cellStyle name="Migliaia 25 9" xfId="3271" xr:uid="{00000000-0005-0000-0000-00009D780000}"/>
    <cellStyle name="Migliaia 25 9 2" xfId="23271" xr:uid="{00000000-0005-0000-0000-00009E780000}"/>
    <cellStyle name="Migliaia 26" xfId="547" xr:uid="{00000000-0005-0000-0000-00009F780000}"/>
    <cellStyle name="Migliaia 26 10" xfId="21477" xr:uid="{00000000-0005-0000-0000-0000A0780000}"/>
    <cellStyle name="Migliaia 26 11" xfId="38285" xr:uid="{00000000-0005-0000-0000-0000A1780000}"/>
    <cellStyle name="Migliaia 26 12" xfId="39179" xr:uid="{00000000-0005-0000-0000-0000A2780000}"/>
    <cellStyle name="Migliaia 26 13" xfId="39630" xr:uid="{00000000-0005-0000-0000-0000A3780000}"/>
    <cellStyle name="Migliaia 26 14" xfId="40116" xr:uid="{00000000-0005-0000-0000-0000A4780000}"/>
    <cellStyle name="Migliaia 26 2" xfId="548" xr:uid="{00000000-0005-0000-0000-0000A5780000}"/>
    <cellStyle name="Migliaia 26 2 10" xfId="39631" xr:uid="{00000000-0005-0000-0000-0000A6780000}"/>
    <cellStyle name="Migliaia 26 2 11" xfId="40117" xr:uid="{00000000-0005-0000-0000-0000A7780000}"/>
    <cellStyle name="Migliaia 26 2 2" xfId="3556" xr:uid="{00000000-0005-0000-0000-0000A8780000}"/>
    <cellStyle name="Migliaia 26 2 2 2" xfId="12317" xr:uid="{00000000-0005-0000-0000-0000A9780000}"/>
    <cellStyle name="Migliaia 26 2 2 2 2" xfId="30487" xr:uid="{00000000-0005-0000-0000-0000AA780000}"/>
    <cellStyle name="Migliaia 26 2 2 3" xfId="20511" xr:uid="{00000000-0005-0000-0000-0000AB780000}"/>
    <cellStyle name="Migliaia 26 2 2 3 2" xfId="37828" xr:uid="{00000000-0005-0000-0000-0000AC780000}"/>
    <cellStyle name="Migliaia 26 2 2 4" xfId="23485" xr:uid="{00000000-0005-0000-0000-0000AD780000}"/>
    <cellStyle name="Migliaia 26 2 2 5" xfId="38783" xr:uid="{00000000-0005-0000-0000-0000AE780000}"/>
    <cellStyle name="Migliaia 26 2 2 6" xfId="39401" xr:uid="{00000000-0005-0000-0000-0000AF780000}"/>
    <cellStyle name="Migliaia 26 2 3" xfId="11449" xr:uid="{00000000-0005-0000-0000-0000B0780000}"/>
    <cellStyle name="Migliaia 26 2 4" xfId="12096" xr:uid="{00000000-0005-0000-0000-0000B1780000}"/>
    <cellStyle name="Migliaia 26 2 4 2" xfId="30281" xr:uid="{00000000-0005-0000-0000-0000B2780000}"/>
    <cellStyle name="Migliaia 26 2 5" xfId="19367" xr:uid="{00000000-0005-0000-0000-0000B3780000}"/>
    <cellStyle name="Migliaia 26 2 5 2" xfId="37331" xr:uid="{00000000-0005-0000-0000-0000B4780000}"/>
    <cellStyle name="Migliaia 26 2 6" xfId="3276" xr:uid="{00000000-0005-0000-0000-0000B5780000}"/>
    <cellStyle name="Migliaia 26 2 6 2" xfId="23276" xr:uid="{00000000-0005-0000-0000-0000B6780000}"/>
    <cellStyle name="Migliaia 26 2 7" xfId="21478" xr:uid="{00000000-0005-0000-0000-0000B7780000}"/>
    <cellStyle name="Migliaia 26 2 8" xfId="38286" xr:uid="{00000000-0005-0000-0000-0000B8780000}"/>
    <cellStyle name="Migliaia 26 2 9" xfId="39180" xr:uid="{00000000-0005-0000-0000-0000B9780000}"/>
    <cellStyle name="Migliaia 26 3" xfId="549" xr:uid="{00000000-0005-0000-0000-0000BA780000}"/>
    <cellStyle name="Migliaia 26 3 10" xfId="39632" xr:uid="{00000000-0005-0000-0000-0000BB780000}"/>
    <cellStyle name="Migliaia 26 3 11" xfId="40118" xr:uid="{00000000-0005-0000-0000-0000BC780000}"/>
    <cellStyle name="Migliaia 26 3 2" xfId="550" xr:uid="{00000000-0005-0000-0000-0000BD780000}"/>
    <cellStyle name="Migliaia 26 3 2 10" xfId="40119" xr:uid="{00000000-0005-0000-0000-0000BE780000}"/>
    <cellStyle name="Migliaia 26 3 2 2" xfId="11451" xr:uid="{00000000-0005-0000-0000-0000BF780000}"/>
    <cellStyle name="Migliaia 26 3 2 3" xfId="12098" xr:uid="{00000000-0005-0000-0000-0000C0780000}"/>
    <cellStyle name="Migliaia 26 3 2 3 2" xfId="30283" xr:uid="{00000000-0005-0000-0000-0000C1780000}"/>
    <cellStyle name="Migliaia 26 3 2 4" xfId="19369" xr:uid="{00000000-0005-0000-0000-0000C2780000}"/>
    <cellStyle name="Migliaia 26 3 2 4 2" xfId="37333" xr:uid="{00000000-0005-0000-0000-0000C3780000}"/>
    <cellStyle name="Migliaia 26 3 2 5" xfId="3278" xr:uid="{00000000-0005-0000-0000-0000C4780000}"/>
    <cellStyle name="Migliaia 26 3 2 5 2" xfId="23278" xr:uid="{00000000-0005-0000-0000-0000C5780000}"/>
    <cellStyle name="Migliaia 26 3 2 6" xfId="21480" xr:uid="{00000000-0005-0000-0000-0000C6780000}"/>
    <cellStyle name="Migliaia 26 3 2 7" xfId="38288" xr:uid="{00000000-0005-0000-0000-0000C7780000}"/>
    <cellStyle name="Migliaia 26 3 2 8" xfId="39182" xr:uid="{00000000-0005-0000-0000-0000C8780000}"/>
    <cellStyle name="Migliaia 26 3 2 9" xfId="39633" xr:uid="{00000000-0005-0000-0000-0000C9780000}"/>
    <cellStyle name="Migliaia 26 3 3" xfId="11450" xr:uid="{00000000-0005-0000-0000-0000CA780000}"/>
    <cellStyle name="Migliaia 26 3 3 2" xfId="20513" xr:uid="{00000000-0005-0000-0000-0000CB780000}"/>
    <cellStyle name="Migliaia 26 3 3 2 2" xfId="37830" xr:uid="{00000000-0005-0000-0000-0000CC780000}"/>
    <cellStyle name="Migliaia 26 3 3 2 3" xfId="38785" xr:uid="{00000000-0005-0000-0000-0000CD780000}"/>
    <cellStyle name="Migliaia 26 3 3 3" xfId="19370" xr:uid="{00000000-0005-0000-0000-0000CE780000}"/>
    <cellStyle name="Migliaia 26 3 3 3 2" xfId="37334" xr:uid="{00000000-0005-0000-0000-0000CF780000}"/>
    <cellStyle name="Migliaia 26 3 3 4" xfId="38289" xr:uid="{00000000-0005-0000-0000-0000D0780000}"/>
    <cellStyle name="Migliaia 26 3 4" xfId="12097" xr:uid="{00000000-0005-0000-0000-0000D1780000}"/>
    <cellStyle name="Migliaia 26 3 4 2" xfId="20512" xr:uid="{00000000-0005-0000-0000-0000D2780000}"/>
    <cellStyle name="Migliaia 26 3 4 2 2" xfId="37829" xr:uid="{00000000-0005-0000-0000-0000D3780000}"/>
    <cellStyle name="Migliaia 26 3 4 3" xfId="30282" xr:uid="{00000000-0005-0000-0000-0000D4780000}"/>
    <cellStyle name="Migliaia 26 3 4 4" xfId="38784" xr:uid="{00000000-0005-0000-0000-0000D5780000}"/>
    <cellStyle name="Migliaia 26 3 5" xfId="19368" xr:uid="{00000000-0005-0000-0000-0000D6780000}"/>
    <cellStyle name="Migliaia 26 3 5 2" xfId="37332" xr:uid="{00000000-0005-0000-0000-0000D7780000}"/>
    <cellStyle name="Migliaia 26 3 6" xfId="3277" xr:uid="{00000000-0005-0000-0000-0000D8780000}"/>
    <cellStyle name="Migliaia 26 3 6 2" xfId="23277" xr:uid="{00000000-0005-0000-0000-0000D9780000}"/>
    <cellStyle name="Migliaia 26 3 7" xfId="21479" xr:uid="{00000000-0005-0000-0000-0000DA780000}"/>
    <cellStyle name="Migliaia 26 3 8" xfId="38287" xr:uid="{00000000-0005-0000-0000-0000DB780000}"/>
    <cellStyle name="Migliaia 26 3 9" xfId="39181" xr:uid="{00000000-0005-0000-0000-0000DC780000}"/>
    <cellStyle name="Migliaia 26 4" xfId="551" xr:uid="{00000000-0005-0000-0000-0000DD780000}"/>
    <cellStyle name="Migliaia 26 4 2" xfId="19372" xr:uid="{00000000-0005-0000-0000-0000DE780000}"/>
    <cellStyle name="Migliaia 26 4 2 2" xfId="20515" xr:uid="{00000000-0005-0000-0000-0000DF780000}"/>
    <cellStyle name="Migliaia 26 4 2 2 2" xfId="37832" xr:uid="{00000000-0005-0000-0000-0000E0780000}"/>
    <cellStyle name="Migliaia 26 4 2 2 3" xfId="38787" xr:uid="{00000000-0005-0000-0000-0000E1780000}"/>
    <cellStyle name="Migliaia 26 4 2 3" xfId="37336" xr:uid="{00000000-0005-0000-0000-0000E2780000}"/>
    <cellStyle name="Migliaia 26 4 2 4" xfId="38291" xr:uid="{00000000-0005-0000-0000-0000E3780000}"/>
    <cellStyle name="Migliaia 26 4 3" xfId="20514" xr:uid="{00000000-0005-0000-0000-0000E4780000}"/>
    <cellStyle name="Migliaia 26 4 3 2" xfId="37831" xr:uid="{00000000-0005-0000-0000-0000E5780000}"/>
    <cellStyle name="Migliaia 26 4 3 3" xfId="38786" xr:uid="{00000000-0005-0000-0000-0000E6780000}"/>
    <cellStyle name="Migliaia 26 4 4" xfId="19371" xr:uid="{00000000-0005-0000-0000-0000E7780000}"/>
    <cellStyle name="Migliaia 26 4 4 2" xfId="37335" xr:uid="{00000000-0005-0000-0000-0000E8780000}"/>
    <cellStyle name="Migliaia 26 4 5" xfId="11452" xr:uid="{00000000-0005-0000-0000-0000E9780000}"/>
    <cellStyle name="Migliaia 26 4 6" xfId="21481" xr:uid="{00000000-0005-0000-0000-0000EA780000}"/>
    <cellStyle name="Migliaia 26 4 7" xfId="38290" xr:uid="{00000000-0005-0000-0000-0000EB780000}"/>
    <cellStyle name="Migliaia 26 4 8" xfId="39634" xr:uid="{00000000-0005-0000-0000-0000EC780000}"/>
    <cellStyle name="Migliaia 26 4 9" xfId="40120" xr:uid="{00000000-0005-0000-0000-0000ED780000}"/>
    <cellStyle name="Migliaia 26 5" xfId="552" xr:uid="{00000000-0005-0000-0000-0000EE780000}"/>
    <cellStyle name="Migliaia 26 5 2" xfId="19373" xr:uid="{00000000-0005-0000-0000-0000EF780000}"/>
    <cellStyle name="Migliaia 26 5 2 2" xfId="37337" xr:uid="{00000000-0005-0000-0000-0000F0780000}"/>
    <cellStyle name="Migliaia 26 5 3" xfId="11453" xr:uid="{00000000-0005-0000-0000-0000F1780000}"/>
    <cellStyle name="Migliaia 26 5 4" xfId="21482" xr:uid="{00000000-0005-0000-0000-0000F2780000}"/>
    <cellStyle name="Migliaia 26 5 5" xfId="38292" xr:uid="{00000000-0005-0000-0000-0000F3780000}"/>
    <cellStyle name="Migliaia 26 5 6" xfId="39635" xr:uid="{00000000-0005-0000-0000-0000F4780000}"/>
    <cellStyle name="Migliaia 26 5 7" xfId="40121" xr:uid="{00000000-0005-0000-0000-0000F5780000}"/>
    <cellStyle name="Migliaia 26 6" xfId="553" xr:uid="{00000000-0005-0000-0000-0000F6780000}"/>
    <cellStyle name="Migliaia 26 6 2" xfId="11448" xr:uid="{00000000-0005-0000-0000-0000F7780000}"/>
    <cellStyle name="Migliaia 26 6 3" xfId="21483" xr:uid="{00000000-0005-0000-0000-0000F8780000}"/>
    <cellStyle name="Migliaia 26 6 4" xfId="39636" xr:uid="{00000000-0005-0000-0000-0000F9780000}"/>
    <cellStyle name="Migliaia 26 6 5" xfId="40122" xr:uid="{00000000-0005-0000-0000-0000FA780000}"/>
    <cellStyle name="Migliaia 26 7" xfId="12095" xr:uid="{00000000-0005-0000-0000-0000FB780000}"/>
    <cellStyle name="Migliaia 26 7 2" xfId="30280" xr:uid="{00000000-0005-0000-0000-0000FC780000}"/>
    <cellStyle name="Migliaia 26 8" xfId="19366" xr:uid="{00000000-0005-0000-0000-0000FD780000}"/>
    <cellStyle name="Migliaia 26 8 2" xfId="37330" xr:uid="{00000000-0005-0000-0000-0000FE780000}"/>
    <cellStyle name="Migliaia 26 9" xfId="3275" xr:uid="{00000000-0005-0000-0000-0000FF780000}"/>
    <cellStyle name="Migliaia 26 9 2" xfId="23275" xr:uid="{00000000-0005-0000-0000-000000790000}"/>
    <cellStyle name="Migliaia 27" xfId="554" xr:uid="{00000000-0005-0000-0000-000001790000}"/>
    <cellStyle name="Migliaia 27 10" xfId="21484" xr:uid="{00000000-0005-0000-0000-000002790000}"/>
    <cellStyle name="Migliaia 27 11" xfId="38293" xr:uid="{00000000-0005-0000-0000-000003790000}"/>
    <cellStyle name="Migliaia 27 12" xfId="39183" xr:uid="{00000000-0005-0000-0000-000004790000}"/>
    <cellStyle name="Migliaia 27 13" xfId="39637" xr:uid="{00000000-0005-0000-0000-000005790000}"/>
    <cellStyle name="Migliaia 27 14" xfId="40123" xr:uid="{00000000-0005-0000-0000-000006790000}"/>
    <cellStyle name="Migliaia 27 2" xfId="555" xr:uid="{00000000-0005-0000-0000-000007790000}"/>
    <cellStyle name="Migliaia 27 2 10" xfId="39638" xr:uid="{00000000-0005-0000-0000-000008790000}"/>
    <cellStyle name="Migliaia 27 2 11" xfId="40124" xr:uid="{00000000-0005-0000-0000-000009790000}"/>
    <cellStyle name="Migliaia 27 2 2" xfId="3557" xr:uid="{00000000-0005-0000-0000-00000A790000}"/>
    <cellStyle name="Migliaia 27 2 2 2" xfId="12318" xr:uid="{00000000-0005-0000-0000-00000B790000}"/>
    <cellStyle name="Migliaia 27 2 2 2 2" xfId="30488" xr:uid="{00000000-0005-0000-0000-00000C790000}"/>
    <cellStyle name="Migliaia 27 2 2 3" xfId="20516" xr:uid="{00000000-0005-0000-0000-00000D790000}"/>
    <cellStyle name="Migliaia 27 2 2 3 2" xfId="37833" xr:uid="{00000000-0005-0000-0000-00000E790000}"/>
    <cellStyle name="Migliaia 27 2 2 4" xfId="23486" xr:uid="{00000000-0005-0000-0000-00000F790000}"/>
    <cellStyle name="Migliaia 27 2 2 5" xfId="38788" xr:uid="{00000000-0005-0000-0000-000010790000}"/>
    <cellStyle name="Migliaia 27 2 2 6" xfId="39402" xr:uid="{00000000-0005-0000-0000-000011790000}"/>
    <cellStyle name="Migliaia 27 2 3" xfId="11455" xr:uid="{00000000-0005-0000-0000-000012790000}"/>
    <cellStyle name="Migliaia 27 2 4" xfId="12100" xr:uid="{00000000-0005-0000-0000-000013790000}"/>
    <cellStyle name="Migliaia 27 2 4 2" xfId="30285" xr:uid="{00000000-0005-0000-0000-000014790000}"/>
    <cellStyle name="Migliaia 27 2 5" xfId="19375" xr:uid="{00000000-0005-0000-0000-000015790000}"/>
    <cellStyle name="Migliaia 27 2 5 2" xfId="37339" xr:uid="{00000000-0005-0000-0000-000016790000}"/>
    <cellStyle name="Migliaia 27 2 6" xfId="3280" xr:uid="{00000000-0005-0000-0000-000017790000}"/>
    <cellStyle name="Migliaia 27 2 6 2" xfId="23280" xr:uid="{00000000-0005-0000-0000-000018790000}"/>
    <cellStyle name="Migliaia 27 2 7" xfId="21485" xr:uid="{00000000-0005-0000-0000-000019790000}"/>
    <cellStyle name="Migliaia 27 2 8" xfId="38294" xr:uid="{00000000-0005-0000-0000-00001A790000}"/>
    <cellStyle name="Migliaia 27 2 9" xfId="39184" xr:uid="{00000000-0005-0000-0000-00001B790000}"/>
    <cellStyle name="Migliaia 27 3" xfId="556" xr:uid="{00000000-0005-0000-0000-00001C790000}"/>
    <cellStyle name="Migliaia 27 3 10" xfId="39639" xr:uid="{00000000-0005-0000-0000-00001D790000}"/>
    <cellStyle name="Migliaia 27 3 11" xfId="40125" xr:uid="{00000000-0005-0000-0000-00001E790000}"/>
    <cellStyle name="Migliaia 27 3 2" xfId="557" xr:uid="{00000000-0005-0000-0000-00001F790000}"/>
    <cellStyle name="Migliaia 27 3 2 10" xfId="40126" xr:uid="{00000000-0005-0000-0000-000020790000}"/>
    <cellStyle name="Migliaia 27 3 2 2" xfId="11457" xr:uid="{00000000-0005-0000-0000-000021790000}"/>
    <cellStyle name="Migliaia 27 3 2 3" xfId="12102" xr:uid="{00000000-0005-0000-0000-000022790000}"/>
    <cellStyle name="Migliaia 27 3 2 3 2" xfId="30287" xr:uid="{00000000-0005-0000-0000-000023790000}"/>
    <cellStyle name="Migliaia 27 3 2 4" xfId="19377" xr:uid="{00000000-0005-0000-0000-000024790000}"/>
    <cellStyle name="Migliaia 27 3 2 4 2" xfId="37341" xr:uid="{00000000-0005-0000-0000-000025790000}"/>
    <cellStyle name="Migliaia 27 3 2 5" xfId="3282" xr:uid="{00000000-0005-0000-0000-000026790000}"/>
    <cellStyle name="Migliaia 27 3 2 5 2" xfId="23282" xr:uid="{00000000-0005-0000-0000-000027790000}"/>
    <cellStyle name="Migliaia 27 3 2 6" xfId="21487" xr:uid="{00000000-0005-0000-0000-000028790000}"/>
    <cellStyle name="Migliaia 27 3 2 7" xfId="38296" xr:uid="{00000000-0005-0000-0000-000029790000}"/>
    <cellStyle name="Migliaia 27 3 2 8" xfId="39186" xr:uid="{00000000-0005-0000-0000-00002A790000}"/>
    <cellStyle name="Migliaia 27 3 2 9" xfId="39640" xr:uid="{00000000-0005-0000-0000-00002B790000}"/>
    <cellStyle name="Migliaia 27 3 3" xfId="11456" xr:uid="{00000000-0005-0000-0000-00002C790000}"/>
    <cellStyle name="Migliaia 27 3 3 2" xfId="20518" xr:uid="{00000000-0005-0000-0000-00002D790000}"/>
    <cellStyle name="Migliaia 27 3 3 2 2" xfId="37835" xr:uid="{00000000-0005-0000-0000-00002E790000}"/>
    <cellStyle name="Migliaia 27 3 3 2 3" xfId="38790" xr:uid="{00000000-0005-0000-0000-00002F790000}"/>
    <cellStyle name="Migliaia 27 3 3 3" xfId="19378" xr:uid="{00000000-0005-0000-0000-000030790000}"/>
    <cellStyle name="Migliaia 27 3 3 3 2" xfId="37342" xr:uid="{00000000-0005-0000-0000-000031790000}"/>
    <cellStyle name="Migliaia 27 3 3 4" xfId="38297" xr:uid="{00000000-0005-0000-0000-000032790000}"/>
    <cellStyle name="Migliaia 27 3 4" xfId="12101" xr:uid="{00000000-0005-0000-0000-000033790000}"/>
    <cellStyle name="Migliaia 27 3 4 2" xfId="20517" xr:uid="{00000000-0005-0000-0000-000034790000}"/>
    <cellStyle name="Migliaia 27 3 4 2 2" xfId="37834" xr:uid="{00000000-0005-0000-0000-000035790000}"/>
    <cellStyle name="Migliaia 27 3 4 3" xfId="30286" xr:uid="{00000000-0005-0000-0000-000036790000}"/>
    <cellStyle name="Migliaia 27 3 4 4" xfId="38789" xr:uid="{00000000-0005-0000-0000-000037790000}"/>
    <cellStyle name="Migliaia 27 3 5" xfId="19376" xr:uid="{00000000-0005-0000-0000-000038790000}"/>
    <cellStyle name="Migliaia 27 3 5 2" xfId="37340" xr:uid="{00000000-0005-0000-0000-000039790000}"/>
    <cellStyle name="Migliaia 27 3 6" xfId="3281" xr:uid="{00000000-0005-0000-0000-00003A790000}"/>
    <cellStyle name="Migliaia 27 3 6 2" xfId="23281" xr:uid="{00000000-0005-0000-0000-00003B790000}"/>
    <cellStyle name="Migliaia 27 3 7" xfId="21486" xr:uid="{00000000-0005-0000-0000-00003C790000}"/>
    <cellStyle name="Migliaia 27 3 8" xfId="38295" xr:uid="{00000000-0005-0000-0000-00003D790000}"/>
    <cellStyle name="Migliaia 27 3 9" xfId="39185" xr:uid="{00000000-0005-0000-0000-00003E790000}"/>
    <cellStyle name="Migliaia 27 4" xfId="558" xr:uid="{00000000-0005-0000-0000-00003F790000}"/>
    <cellStyle name="Migliaia 27 4 2" xfId="19380" xr:uid="{00000000-0005-0000-0000-000040790000}"/>
    <cellStyle name="Migliaia 27 4 2 2" xfId="20520" xr:uid="{00000000-0005-0000-0000-000041790000}"/>
    <cellStyle name="Migliaia 27 4 2 2 2" xfId="37837" xr:uid="{00000000-0005-0000-0000-000042790000}"/>
    <cellStyle name="Migliaia 27 4 2 2 3" xfId="38792" xr:uid="{00000000-0005-0000-0000-000043790000}"/>
    <cellStyle name="Migliaia 27 4 2 3" xfId="37344" xr:uid="{00000000-0005-0000-0000-000044790000}"/>
    <cellStyle name="Migliaia 27 4 2 4" xfId="38299" xr:uid="{00000000-0005-0000-0000-000045790000}"/>
    <cellStyle name="Migliaia 27 4 3" xfId="20519" xr:uid="{00000000-0005-0000-0000-000046790000}"/>
    <cellStyle name="Migliaia 27 4 3 2" xfId="37836" xr:uid="{00000000-0005-0000-0000-000047790000}"/>
    <cellStyle name="Migliaia 27 4 3 3" xfId="38791" xr:uid="{00000000-0005-0000-0000-000048790000}"/>
    <cellStyle name="Migliaia 27 4 4" xfId="19379" xr:uid="{00000000-0005-0000-0000-000049790000}"/>
    <cellStyle name="Migliaia 27 4 4 2" xfId="37343" xr:uid="{00000000-0005-0000-0000-00004A790000}"/>
    <cellStyle name="Migliaia 27 4 5" xfId="11458" xr:uid="{00000000-0005-0000-0000-00004B790000}"/>
    <cellStyle name="Migliaia 27 4 6" xfId="21488" xr:uid="{00000000-0005-0000-0000-00004C790000}"/>
    <cellStyle name="Migliaia 27 4 7" xfId="38298" xr:uid="{00000000-0005-0000-0000-00004D790000}"/>
    <cellStyle name="Migliaia 27 4 8" xfId="39641" xr:uid="{00000000-0005-0000-0000-00004E790000}"/>
    <cellStyle name="Migliaia 27 4 9" xfId="40127" xr:uid="{00000000-0005-0000-0000-00004F790000}"/>
    <cellStyle name="Migliaia 27 5" xfId="559" xr:uid="{00000000-0005-0000-0000-000050790000}"/>
    <cellStyle name="Migliaia 27 5 2" xfId="19381" xr:uid="{00000000-0005-0000-0000-000051790000}"/>
    <cellStyle name="Migliaia 27 5 2 2" xfId="37345" xr:uid="{00000000-0005-0000-0000-000052790000}"/>
    <cellStyle name="Migliaia 27 5 3" xfId="11459" xr:uid="{00000000-0005-0000-0000-000053790000}"/>
    <cellStyle name="Migliaia 27 5 4" xfId="21489" xr:uid="{00000000-0005-0000-0000-000054790000}"/>
    <cellStyle name="Migliaia 27 5 5" xfId="38300" xr:uid="{00000000-0005-0000-0000-000055790000}"/>
    <cellStyle name="Migliaia 27 5 6" xfId="39642" xr:uid="{00000000-0005-0000-0000-000056790000}"/>
    <cellStyle name="Migliaia 27 5 7" xfId="40128" xr:uid="{00000000-0005-0000-0000-000057790000}"/>
    <cellStyle name="Migliaia 27 6" xfId="560" xr:uid="{00000000-0005-0000-0000-000058790000}"/>
    <cellStyle name="Migliaia 27 6 2" xfId="11454" xr:uid="{00000000-0005-0000-0000-000059790000}"/>
    <cellStyle name="Migliaia 27 6 3" xfId="21490" xr:uid="{00000000-0005-0000-0000-00005A790000}"/>
    <cellStyle name="Migliaia 27 6 4" xfId="39643" xr:uid="{00000000-0005-0000-0000-00005B790000}"/>
    <cellStyle name="Migliaia 27 6 5" xfId="40129" xr:uid="{00000000-0005-0000-0000-00005C790000}"/>
    <cellStyle name="Migliaia 27 7" xfId="12099" xr:uid="{00000000-0005-0000-0000-00005D790000}"/>
    <cellStyle name="Migliaia 27 7 2" xfId="30284" xr:uid="{00000000-0005-0000-0000-00005E790000}"/>
    <cellStyle name="Migliaia 27 8" xfId="19374" xr:uid="{00000000-0005-0000-0000-00005F790000}"/>
    <cellStyle name="Migliaia 27 8 2" xfId="37338" xr:uid="{00000000-0005-0000-0000-000060790000}"/>
    <cellStyle name="Migliaia 27 9" xfId="3279" xr:uid="{00000000-0005-0000-0000-000061790000}"/>
    <cellStyle name="Migliaia 27 9 2" xfId="23279" xr:uid="{00000000-0005-0000-0000-000062790000}"/>
    <cellStyle name="Migliaia 28" xfId="561" xr:uid="{00000000-0005-0000-0000-000063790000}"/>
    <cellStyle name="Migliaia 28 10" xfId="21491" xr:uid="{00000000-0005-0000-0000-000064790000}"/>
    <cellStyle name="Migliaia 28 11" xfId="38301" xr:uid="{00000000-0005-0000-0000-000065790000}"/>
    <cellStyle name="Migliaia 28 12" xfId="39187" xr:uid="{00000000-0005-0000-0000-000066790000}"/>
    <cellStyle name="Migliaia 28 13" xfId="39644" xr:uid="{00000000-0005-0000-0000-000067790000}"/>
    <cellStyle name="Migliaia 28 14" xfId="40130" xr:uid="{00000000-0005-0000-0000-000068790000}"/>
    <cellStyle name="Migliaia 28 2" xfId="562" xr:uid="{00000000-0005-0000-0000-000069790000}"/>
    <cellStyle name="Migliaia 28 2 10" xfId="39645" xr:uid="{00000000-0005-0000-0000-00006A790000}"/>
    <cellStyle name="Migliaia 28 2 11" xfId="40131" xr:uid="{00000000-0005-0000-0000-00006B790000}"/>
    <cellStyle name="Migliaia 28 2 2" xfId="3558" xr:uid="{00000000-0005-0000-0000-00006C790000}"/>
    <cellStyle name="Migliaia 28 2 2 2" xfId="12319" xr:uid="{00000000-0005-0000-0000-00006D790000}"/>
    <cellStyle name="Migliaia 28 2 2 2 2" xfId="30489" xr:uid="{00000000-0005-0000-0000-00006E790000}"/>
    <cellStyle name="Migliaia 28 2 2 3" xfId="20521" xr:uid="{00000000-0005-0000-0000-00006F790000}"/>
    <cellStyle name="Migliaia 28 2 2 3 2" xfId="37838" xr:uid="{00000000-0005-0000-0000-000070790000}"/>
    <cellStyle name="Migliaia 28 2 2 4" xfId="23487" xr:uid="{00000000-0005-0000-0000-000071790000}"/>
    <cellStyle name="Migliaia 28 2 2 5" xfId="38793" xr:uid="{00000000-0005-0000-0000-000072790000}"/>
    <cellStyle name="Migliaia 28 2 2 6" xfId="39403" xr:uid="{00000000-0005-0000-0000-000073790000}"/>
    <cellStyle name="Migliaia 28 2 3" xfId="11461" xr:uid="{00000000-0005-0000-0000-000074790000}"/>
    <cellStyle name="Migliaia 28 2 4" xfId="12104" xr:uid="{00000000-0005-0000-0000-000075790000}"/>
    <cellStyle name="Migliaia 28 2 4 2" xfId="30289" xr:uid="{00000000-0005-0000-0000-000076790000}"/>
    <cellStyle name="Migliaia 28 2 5" xfId="19383" xr:uid="{00000000-0005-0000-0000-000077790000}"/>
    <cellStyle name="Migliaia 28 2 5 2" xfId="37347" xr:uid="{00000000-0005-0000-0000-000078790000}"/>
    <cellStyle name="Migliaia 28 2 6" xfId="3284" xr:uid="{00000000-0005-0000-0000-000079790000}"/>
    <cellStyle name="Migliaia 28 2 6 2" xfId="23284" xr:uid="{00000000-0005-0000-0000-00007A790000}"/>
    <cellStyle name="Migliaia 28 2 7" xfId="21492" xr:uid="{00000000-0005-0000-0000-00007B790000}"/>
    <cellStyle name="Migliaia 28 2 8" xfId="38302" xr:uid="{00000000-0005-0000-0000-00007C790000}"/>
    <cellStyle name="Migliaia 28 2 9" xfId="39188" xr:uid="{00000000-0005-0000-0000-00007D790000}"/>
    <cellStyle name="Migliaia 28 3" xfId="563" xr:uid="{00000000-0005-0000-0000-00007E790000}"/>
    <cellStyle name="Migliaia 28 3 10" xfId="39646" xr:uid="{00000000-0005-0000-0000-00007F790000}"/>
    <cellStyle name="Migliaia 28 3 11" xfId="40132" xr:uid="{00000000-0005-0000-0000-000080790000}"/>
    <cellStyle name="Migliaia 28 3 2" xfId="564" xr:uid="{00000000-0005-0000-0000-000081790000}"/>
    <cellStyle name="Migliaia 28 3 2 10" xfId="40133" xr:uid="{00000000-0005-0000-0000-000082790000}"/>
    <cellStyle name="Migliaia 28 3 2 2" xfId="11463" xr:uid="{00000000-0005-0000-0000-000083790000}"/>
    <cellStyle name="Migliaia 28 3 2 3" xfId="12106" xr:uid="{00000000-0005-0000-0000-000084790000}"/>
    <cellStyle name="Migliaia 28 3 2 3 2" xfId="30291" xr:uid="{00000000-0005-0000-0000-000085790000}"/>
    <cellStyle name="Migliaia 28 3 2 4" xfId="19385" xr:uid="{00000000-0005-0000-0000-000086790000}"/>
    <cellStyle name="Migliaia 28 3 2 4 2" xfId="37349" xr:uid="{00000000-0005-0000-0000-000087790000}"/>
    <cellStyle name="Migliaia 28 3 2 5" xfId="3286" xr:uid="{00000000-0005-0000-0000-000088790000}"/>
    <cellStyle name="Migliaia 28 3 2 5 2" xfId="23286" xr:uid="{00000000-0005-0000-0000-000089790000}"/>
    <cellStyle name="Migliaia 28 3 2 6" xfId="21494" xr:uid="{00000000-0005-0000-0000-00008A790000}"/>
    <cellStyle name="Migliaia 28 3 2 7" xfId="38304" xr:uid="{00000000-0005-0000-0000-00008B790000}"/>
    <cellStyle name="Migliaia 28 3 2 8" xfId="39190" xr:uid="{00000000-0005-0000-0000-00008C790000}"/>
    <cellStyle name="Migliaia 28 3 2 9" xfId="39647" xr:uid="{00000000-0005-0000-0000-00008D790000}"/>
    <cellStyle name="Migliaia 28 3 3" xfId="11462" xr:uid="{00000000-0005-0000-0000-00008E790000}"/>
    <cellStyle name="Migliaia 28 3 3 2" xfId="20523" xr:uid="{00000000-0005-0000-0000-00008F790000}"/>
    <cellStyle name="Migliaia 28 3 3 2 2" xfId="37840" xr:uid="{00000000-0005-0000-0000-000090790000}"/>
    <cellStyle name="Migliaia 28 3 3 2 3" xfId="38795" xr:uid="{00000000-0005-0000-0000-000091790000}"/>
    <cellStyle name="Migliaia 28 3 3 3" xfId="19386" xr:uid="{00000000-0005-0000-0000-000092790000}"/>
    <cellStyle name="Migliaia 28 3 3 3 2" xfId="37350" xr:uid="{00000000-0005-0000-0000-000093790000}"/>
    <cellStyle name="Migliaia 28 3 3 4" xfId="38305" xr:uid="{00000000-0005-0000-0000-000094790000}"/>
    <cellStyle name="Migliaia 28 3 4" xfId="12105" xr:uid="{00000000-0005-0000-0000-000095790000}"/>
    <cellStyle name="Migliaia 28 3 4 2" xfId="20522" xr:uid="{00000000-0005-0000-0000-000096790000}"/>
    <cellStyle name="Migliaia 28 3 4 2 2" xfId="37839" xr:uid="{00000000-0005-0000-0000-000097790000}"/>
    <cellStyle name="Migliaia 28 3 4 3" xfId="30290" xr:uid="{00000000-0005-0000-0000-000098790000}"/>
    <cellStyle name="Migliaia 28 3 4 4" xfId="38794" xr:uid="{00000000-0005-0000-0000-000099790000}"/>
    <cellStyle name="Migliaia 28 3 5" xfId="19384" xr:uid="{00000000-0005-0000-0000-00009A790000}"/>
    <cellStyle name="Migliaia 28 3 5 2" xfId="37348" xr:uid="{00000000-0005-0000-0000-00009B790000}"/>
    <cellStyle name="Migliaia 28 3 6" xfId="3285" xr:uid="{00000000-0005-0000-0000-00009C790000}"/>
    <cellStyle name="Migliaia 28 3 6 2" xfId="23285" xr:uid="{00000000-0005-0000-0000-00009D790000}"/>
    <cellStyle name="Migliaia 28 3 7" xfId="21493" xr:uid="{00000000-0005-0000-0000-00009E790000}"/>
    <cellStyle name="Migliaia 28 3 8" xfId="38303" xr:uid="{00000000-0005-0000-0000-00009F790000}"/>
    <cellStyle name="Migliaia 28 3 9" xfId="39189" xr:uid="{00000000-0005-0000-0000-0000A0790000}"/>
    <cellStyle name="Migliaia 28 4" xfId="565" xr:uid="{00000000-0005-0000-0000-0000A1790000}"/>
    <cellStyle name="Migliaia 28 4 2" xfId="19388" xr:uid="{00000000-0005-0000-0000-0000A2790000}"/>
    <cellStyle name="Migliaia 28 4 2 2" xfId="20525" xr:uid="{00000000-0005-0000-0000-0000A3790000}"/>
    <cellStyle name="Migliaia 28 4 2 2 2" xfId="37842" xr:uid="{00000000-0005-0000-0000-0000A4790000}"/>
    <cellStyle name="Migliaia 28 4 2 2 3" xfId="38797" xr:uid="{00000000-0005-0000-0000-0000A5790000}"/>
    <cellStyle name="Migliaia 28 4 2 3" xfId="37352" xr:uid="{00000000-0005-0000-0000-0000A6790000}"/>
    <cellStyle name="Migliaia 28 4 2 4" xfId="38307" xr:uid="{00000000-0005-0000-0000-0000A7790000}"/>
    <cellStyle name="Migliaia 28 4 3" xfId="20524" xr:uid="{00000000-0005-0000-0000-0000A8790000}"/>
    <cellStyle name="Migliaia 28 4 3 2" xfId="37841" xr:uid="{00000000-0005-0000-0000-0000A9790000}"/>
    <cellStyle name="Migliaia 28 4 3 3" xfId="38796" xr:uid="{00000000-0005-0000-0000-0000AA790000}"/>
    <cellStyle name="Migliaia 28 4 4" xfId="19387" xr:uid="{00000000-0005-0000-0000-0000AB790000}"/>
    <cellStyle name="Migliaia 28 4 4 2" xfId="37351" xr:uid="{00000000-0005-0000-0000-0000AC790000}"/>
    <cellStyle name="Migliaia 28 4 5" xfId="11464" xr:uid="{00000000-0005-0000-0000-0000AD790000}"/>
    <cellStyle name="Migliaia 28 4 6" xfId="21495" xr:uid="{00000000-0005-0000-0000-0000AE790000}"/>
    <cellStyle name="Migliaia 28 4 7" xfId="38306" xr:uid="{00000000-0005-0000-0000-0000AF790000}"/>
    <cellStyle name="Migliaia 28 4 8" xfId="39648" xr:uid="{00000000-0005-0000-0000-0000B0790000}"/>
    <cellStyle name="Migliaia 28 4 9" xfId="40134" xr:uid="{00000000-0005-0000-0000-0000B1790000}"/>
    <cellStyle name="Migliaia 28 5" xfId="566" xr:uid="{00000000-0005-0000-0000-0000B2790000}"/>
    <cellStyle name="Migliaia 28 5 2" xfId="19389" xr:uid="{00000000-0005-0000-0000-0000B3790000}"/>
    <cellStyle name="Migliaia 28 5 2 2" xfId="37353" xr:uid="{00000000-0005-0000-0000-0000B4790000}"/>
    <cellStyle name="Migliaia 28 5 3" xfId="11465" xr:uid="{00000000-0005-0000-0000-0000B5790000}"/>
    <cellStyle name="Migliaia 28 5 4" xfId="21496" xr:uid="{00000000-0005-0000-0000-0000B6790000}"/>
    <cellStyle name="Migliaia 28 5 5" xfId="38308" xr:uid="{00000000-0005-0000-0000-0000B7790000}"/>
    <cellStyle name="Migliaia 28 5 6" xfId="39649" xr:uid="{00000000-0005-0000-0000-0000B8790000}"/>
    <cellStyle name="Migliaia 28 5 7" xfId="40135" xr:uid="{00000000-0005-0000-0000-0000B9790000}"/>
    <cellStyle name="Migliaia 28 6" xfId="567" xr:uid="{00000000-0005-0000-0000-0000BA790000}"/>
    <cellStyle name="Migliaia 28 6 2" xfId="11460" xr:uid="{00000000-0005-0000-0000-0000BB790000}"/>
    <cellStyle name="Migliaia 28 6 3" xfId="21497" xr:uid="{00000000-0005-0000-0000-0000BC790000}"/>
    <cellStyle name="Migliaia 28 6 4" xfId="39650" xr:uid="{00000000-0005-0000-0000-0000BD790000}"/>
    <cellStyle name="Migliaia 28 6 5" xfId="40136" xr:uid="{00000000-0005-0000-0000-0000BE790000}"/>
    <cellStyle name="Migliaia 28 7" xfId="12103" xr:uid="{00000000-0005-0000-0000-0000BF790000}"/>
    <cellStyle name="Migliaia 28 7 2" xfId="30288" xr:uid="{00000000-0005-0000-0000-0000C0790000}"/>
    <cellStyle name="Migliaia 28 8" xfId="19382" xr:uid="{00000000-0005-0000-0000-0000C1790000}"/>
    <cellStyle name="Migliaia 28 8 2" xfId="37346" xr:uid="{00000000-0005-0000-0000-0000C2790000}"/>
    <cellStyle name="Migliaia 28 9" xfId="3283" xr:uid="{00000000-0005-0000-0000-0000C3790000}"/>
    <cellStyle name="Migliaia 28 9 2" xfId="23283" xr:uid="{00000000-0005-0000-0000-0000C4790000}"/>
    <cellStyle name="Migliaia 29" xfId="568" xr:uid="{00000000-0005-0000-0000-0000C5790000}"/>
    <cellStyle name="Migliaia 29 10" xfId="21498" xr:uid="{00000000-0005-0000-0000-0000C6790000}"/>
    <cellStyle name="Migliaia 29 11" xfId="38309" xr:uid="{00000000-0005-0000-0000-0000C7790000}"/>
    <cellStyle name="Migliaia 29 12" xfId="39191" xr:uid="{00000000-0005-0000-0000-0000C8790000}"/>
    <cellStyle name="Migliaia 29 13" xfId="39651" xr:uid="{00000000-0005-0000-0000-0000C9790000}"/>
    <cellStyle name="Migliaia 29 14" xfId="40137" xr:uid="{00000000-0005-0000-0000-0000CA790000}"/>
    <cellStyle name="Migliaia 29 2" xfId="569" xr:uid="{00000000-0005-0000-0000-0000CB790000}"/>
    <cellStyle name="Migliaia 29 2 10" xfId="39652" xr:uid="{00000000-0005-0000-0000-0000CC790000}"/>
    <cellStyle name="Migliaia 29 2 11" xfId="40138" xr:uid="{00000000-0005-0000-0000-0000CD790000}"/>
    <cellStyle name="Migliaia 29 2 2" xfId="3559" xr:uid="{00000000-0005-0000-0000-0000CE790000}"/>
    <cellStyle name="Migliaia 29 2 2 2" xfId="12320" xr:uid="{00000000-0005-0000-0000-0000CF790000}"/>
    <cellStyle name="Migliaia 29 2 2 2 2" xfId="30490" xr:uid="{00000000-0005-0000-0000-0000D0790000}"/>
    <cellStyle name="Migliaia 29 2 2 3" xfId="20526" xr:uid="{00000000-0005-0000-0000-0000D1790000}"/>
    <cellStyle name="Migliaia 29 2 2 3 2" xfId="37843" xr:uid="{00000000-0005-0000-0000-0000D2790000}"/>
    <cellStyle name="Migliaia 29 2 2 4" xfId="23488" xr:uid="{00000000-0005-0000-0000-0000D3790000}"/>
    <cellStyle name="Migliaia 29 2 2 5" xfId="38798" xr:uid="{00000000-0005-0000-0000-0000D4790000}"/>
    <cellStyle name="Migliaia 29 2 2 6" xfId="39404" xr:uid="{00000000-0005-0000-0000-0000D5790000}"/>
    <cellStyle name="Migliaia 29 2 3" xfId="11467" xr:uid="{00000000-0005-0000-0000-0000D6790000}"/>
    <cellStyle name="Migliaia 29 2 4" xfId="12108" xr:uid="{00000000-0005-0000-0000-0000D7790000}"/>
    <cellStyle name="Migliaia 29 2 4 2" xfId="30293" xr:uid="{00000000-0005-0000-0000-0000D8790000}"/>
    <cellStyle name="Migliaia 29 2 5" xfId="19391" xr:uid="{00000000-0005-0000-0000-0000D9790000}"/>
    <cellStyle name="Migliaia 29 2 5 2" xfId="37355" xr:uid="{00000000-0005-0000-0000-0000DA790000}"/>
    <cellStyle name="Migliaia 29 2 6" xfId="3288" xr:uid="{00000000-0005-0000-0000-0000DB790000}"/>
    <cellStyle name="Migliaia 29 2 6 2" xfId="23288" xr:uid="{00000000-0005-0000-0000-0000DC790000}"/>
    <cellStyle name="Migliaia 29 2 7" xfId="21499" xr:uid="{00000000-0005-0000-0000-0000DD790000}"/>
    <cellStyle name="Migliaia 29 2 8" xfId="38310" xr:uid="{00000000-0005-0000-0000-0000DE790000}"/>
    <cellStyle name="Migliaia 29 2 9" xfId="39192" xr:uid="{00000000-0005-0000-0000-0000DF790000}"/>
    <cellStyle name="Migliaia 29 3" xfId="570" xr:uid="{00000000-0005-0000-0000-0000E0790000}"/>
    <cellStyle name="Migliaia 29 3 10" xfId="39653" xr:uid="{00000000-0005-0000-0000-0000E1790000}"/>
    <cellStyle name="Migliaia 29 3 11" xfId="40139" xr:uid="{00000000-0005-0000-0000-0000E2790000}"/>
    <cellStyle name="Migliaia 29 3 2" xfId="571" xr:uid="{00000000-0005-0000-0000-0000E3790000}"/>
    <cellStyle name="Migliaia 29 3 2 10" xfId="40140" xr:uid="{00000000-0005-0000-0000-0000E4790000}"/>
    <cellStyle name="Migliaia 29 3 2 2" xfId="11469" xr:uid="{00000000-0005-0000-0000-0000E5790000}"/>
    <cellStyle name="Migliaia 29 3 2 3" xfId="12110" xr:uid="{00000000-0005-0000-0000-0000E6790000}"/>
    <cellStyle name="Migliaia 29 3 2 3 2" xfId="30295" xr:uid="{00000000-0005-0000-0000-0000E7790000}"/>
    <cellStyle name="Migliaia 29 3 2 4" xfId="19393" xr:uid="{00000000-0005-0000-0000-0000E8790000}"/>
    <cellStyle name="Migliaia 29 3 2 4 2" xfId="37357" xr:uid="{00000000-0005-0000-0000-0000E9790000}"/>
    <cellStyle name="Migliaia 29 3 2 5" xfId="3290" xr:uid="{00000000-0005-0000-0000-0000EA790000}"/>
    <cellStyle name="Migliaia 29 3 2 5 2" xfId="23290" xr:uid="{00000000-0005-0000-0000-0000EB790000}"/>
    <cellStyle name="Migliaia 29 3 2 6" xfId="21501" xr:uid="{00000000-0005-0000-0000-0000EC790000}"/>
    <cellStyle name="Migliaia 29 3 2 7" xfId="38312" xr:uid="{00000000-0005-0000-0000-0000ED790000}"/>
    <cellStyle name="Migliaia 29 3 2 8" xfId="39194" xr:uid="{00000000-0005-0000-0000-0000EE790000}"/>
    <cellStyle name="Migliaia 29 3 2 9" xfId="39654" xr:uid="{00000000-0005-0000-0000-0000EF790000}"/>
    <cellStyle name="Migliaia 29 3 3" xfId="11468" xr:uid="{00000000-0005-0000-0000-0000F0790000}"/>
    <cellStyle name="Migliaia 29 3 3 2" xfId="20528" xr:uid="{00000000-0005-0000-0000-0000F1790000}"/>
    <cellStyle name="Migliaia 29 3 3 2 2" xfId="37845" xr:uid="{00000000-0005-0000-0000-0000F2790000}"/>
    <cellStyle name="Migliaia 29 3 3 2 3" xfId="38800" xr:uid="{00000000-0005-0000-0000-0000F3790000}"/>
    <cellStyle name="Migliaia 29 3 3 3" xfId="19394" xr:uid="{00000000-0005-0000-0000-0000F4790000}"/>
    <cellStyle name="Migliaia 29 3 3 3 2" xfId="37358" xr:uid="{00000000-0005-0000-0000-0000F5790000}"/>
    <cellStyle name="Migliaia 29 3 3 4" xfId="38313" xr:uid="{00000000-0005-0000-0000-0000F6790000}"/>
    <cellStyle name="Migliaia 29 3 4" xfId="12109" xr:uid="{00000000-0005-0000-0000-0000F7790000}"/>
    <cellStyle name="Migliaia 29 3 4 2" xfId="20527" xr:uid="{00000000-0005-0000-0000-0000F8790000}"/>
    <cellStyle name="Migliaia 29 3 4 2 2" xfId="37844" xr:uid="{00000000-0005-0000-0000-0000F9790000}"/>
    <cellStyle name="Migliaia 29 3 4 3" xfId="30294" xr:uid="{00000000-0005-0000-0000-0000FA790000}"/>
    <cellStyle name="Migliaia 29 3 4 4" xfId="38799" xr:uid="{00000000-0005-0000-0000-0000FB790000}"/>
    <cellStyle name="Migliaia 29 3 5" xfId="19392" xr:uid="{00000000-0005-0000-0000-0000FC790000}"/>
    <cellStyle name="Migliaia 29 3 5 2" xfId="37356" xr:uid="{00000000-0005-0000-0000-0000FD790000}"/>
    <cellStyle name="Migliaia 29 3 6" xfId="3289" xr:uid="{00000000-0005-0000-0000-0000FE790000}"/>
    <cellStyle name="Migliaia 29 3 6 2" xfId="23289" xr:uid="{00000000-0005-0000-0000-0000FF790000}"/>
    <cellStyle name="Migliaia 29 3 7" xfId="21500" xr:uid="{00000000-0005-0000-0000-0000007A0000}"/>
    <cellStyle name="Migliaia 29 3 8" xfId="38311" xr:uid="{00000000-0005-0000-0000-0000017A0000}"/>
    <cellStyle name="Migliaia 29 3 9" xfId="39193" xr:uid="{00000000-0005-0000-0000-0000027A0000}"/>
    <cellStyle name="Migliaia 29 4" xfId="572" xr:uid="{00000000-0005-0000-0000-0000037A0000}"/>
    <cellStyle name="Migliaia 29 4 2" xfId="19396" xr:uid="{00000000-0005-0000-0000-0000047A0000}"/>
    <cellStyle name="Migliaia 29 4 2 2" xfId="20530" xr:uid="{00000000-0005-0000-0000-0000057A0000}"/>
    <cellStyle name="Migliaia 29 4 2 2 2" xfId="37847" xr:uid="{00000000-0005-0000-0000-0000067A0000}"/>
    <cellStyle name="Migliaia 29 4 2 2 3" xfId="38802" xr:uid="{00000000-0005-0000-0000-0000077A0000}"/>
    <cellStyle name="Migliaia 29 4 2 3" xfId="37360" xr:uid="{00000000-0005-0000-0000-0000087A0000}"/>
    <cellStyle name="Migliaia 29 4 2 4" xfId="38315" xr:uid="{00000000-0005-0000-0000-0000097A0000}"/>
    <cellStyle name="Migliaia 29 4 3" xfId="20529" xr:uid="{00000000-0005-0000-0000-00000A7A0000}"/>
    <cellStyle name="Migliaia 29 4 3 2" xfId="37846" xr:uid="{00000000-0005-0000-0000-00000B7A0000}"/>
    <cellStyle name="Migliaia 29 4 3 3" xfId="38801" xr:uid="{00000000-0005-0000-0000-00000C7A0000}"/>
    <cellStyle name="Migliaia 29 4 4" xfId="19395" xr:uid="{00000000-0005-0000-0000-00000D7A0000}"/>
    <cellStyle name="Migliaia 29 4 4 2" xfId="37359" xr:uid="{00000000-0005-0000-0000-00000E7A0000}"/>
    <cellStyle name="Migliaia 29 4 5" xfId="11470" xr:uid="{00000000-0005-0000-0000-00000F7A0000}"/>
    <cellStyle name="Migliaia 29 4 6" xfId="21502" xr:uid="{00000000-0005-0000-0000-0000107A0000}"/>
    <cellStyle name="Migliaia 29 4 7" xfId="38314" xr:uid="{00000000-0005-0000-0000-0000117A0000}"/>
    <cellStyle name="Migliaia 29 4 8" xfId="39655" xr:uid="{00000000-0005-0000-0000-0000127A0000}"/>
    <cellStyle name="Migliaia 29 4 9" xfId="40141" xr:uid="{00000000-0005-0000-0000-0000137A0000}"/>
    <cellStyle name="Migliaia 29 5" xfId="573" xr:uid="{00000000-0005-0000-0000-0000147A0000}"/>
    <cellStyle name="Migliaia 29 5 2" xfId="19397" xr:uid="{00000000-0005-0000-0000-0000157A0000}"/>
    <cellStyle name="Migliaia 29 5 2 2" xfId="37361" xr:uid="{00000000-0005-0000-0000-0000167A0000}"/>
    <cellStyle name="Migliaia 29 5 3" xfId="11471" xr:uid="{00000000-0005-0000-0000-0000177A0000}"/>
    <cellStyle name="Migliaia 29 5 4" xfId="21503" xr:uid="{00000000-0005-0000-0000-0000187A0000}"/>
    <cellStyle name="Migliaia 29 5 5" xfId="38316" xr:uid="{00000000-0005-0000-0000-0000197A0000}"/>
    <cellStyle name="Migliaia 29 5 6" xfId="39656" xr:uid="{00000000-0005-0000-0000-00001A7A0000}"/>
    <cellStyle name="Migliaia 29 5 7" xfId="40142" xr:uid="{00000000-0005-0000-0000-00001B7A0000}"/>
    <cellStyle name="Migliaia 29 6" xfId="574" xr:uid="{00000000-0005-0000-0000-00001C7A0000}"/>
    <cellStyle name="Migliaia 29 6 2" xfId="11466" xr:uid="{00000000-0005-0000-0000-00001D7A0000}"/>
    <cellStyle name="Migliaia 29 6 3" xfId="21504" xr:uid="{00000000-0005-0000-0000-00001E7A0000}"/>
    <cellStyle name="Migliaia 29 6 4" xfId="39657" xr:uid="{00000000-0005-0000-0000-00001F7A0000}"/>
    <cellStyle name="Migliaia 29 6 5" xfId="40143" xr:uid="{00000000-0005-0000-0000-0000207A0000}"/>
    <cellStyle name="Migliaia 29 7" xfId="12107" xr:uid="{00000000-0005-0000-0000-0000217A0000}"/>
    <cellStyle name="Migliaia 29 7 2" xfId="30292" xr:uid="{00000000-0005-0000-0000-0000227A0000}"/>
    <cellStyle name="Migliaia 29 8" xfId="19390" xr:uid="{00000000-0005-0000-0000-0000237A0000}"/>
    <cellStyle name="Migliaia 29 8 2" xfId="37354" xr:uid="{00000000-0005-0000-0000-0000247A0000}"/>
    <cellStyle name="Migliaia 29 9" xfId="3287" xr:uid="{00000000-0005-0000-0000-0000257A0000}"/>
    <cellStyle name="Migliaia 29 9 2" xfId="23287" xr:uid="{00000000-0005-0000-0000-0000267A0000}"/>
    <cellStyle name="Migliaia 3" xfId="575" xr:uid="{00000000-0005-0000-0000-0000277A0000}"/>
    <cellStyle name="Migliaia 3 10" xfId="21505" xr:uid="{00000000-0005-0000-0000-0000287A0000}"/>
    <cellStyle name="Migliaia 3 11" xfId="38317" xr:uid="{00000000-0005-0000-0000-0000297A0000}"/>
    <cellStyle name="Migliaia 3 12" xfId="39195" xr:uid="{00000000-0005-0000-0000-00002A7A0000}"/>
    <cellStyle name="Migliaia 3 13" xfId="39658" xr:uid="{00000000-0005-0000-0000-00002B7A0000}"/>
    <cellStyle name="Migliaia 3 14" xfId="40144" xr:uid="{00000000-0005-0000-0000-00002C7A0000}"/>
    <cellStyle name="Migliaia 3 2" xfId="576" xr:uid="{00000000-0005-0000-0000-00002D7A0000}"/>
    <cellStyle name="Migliaia 3 2 10" xfId="39659" xr:uid="{00000000-0005-0000-0000-00002E7A0000}"/>
    <cellStyle name="Migliaia 3 2 11" xfId="40145" xr:uid="{00000000-0005-0000-0000-00002F7A0000}"/>
    <cellStyle name="Migliaia 3 2 2" xfId="3560" xr:uid="{00000000-0005-0000-0000-0000307A0000}"/>
    <cellStyle name="Migliaia 3 2 2 2" xfId="12321" xr:uid="{00000000-0005-0000-0000-0000317A0000}"/>
    <cellStyle name="Migliaia 3 2 2 2 2" xfId="30491" xr:uid="{00000000-0005-0000-0000-0000327A0000}"/>
    <cellStyle name="Migliaia 3 2 2 3" xfId="20531" xr:uid="{00000000-0005-0000-0000-0000337A0000}"/>
    <cellStyle name="Migliaia 3 2 2 3 2" xfId="37848" xr:uid="{00000000-0005-0000-0000-0000347A0000}"/>
    <cellStyle name="Migliaia 3 2 2 4" xfId="23489" xr:uid="{00000000-0005-0000-0000-0000357A0000}"/>
    <cellStyle name="Migliaia 3 2 2 5" xfId="38803" xr:uid="{00000000-0005-0000-0000-0000367A0000}"/>
    <cellStyle name="Migliaia 3 2 2 6" xfId="39405" xr:uid="{00000000-0005-0000-0000-0000377A0000}"/>
    <cellStyle name="Migliaia 3 2 3" xfId="11473" xr:uid="{00000000-0005-0000-0000-0000387A0000}"/>
    <cellStyle name="Migliaia 3 2 4" xfId="12112" xr:uid="{00000000-0005-0000-0000-0000397A0000}"/>
    <cellStyle name="Migliaia 3 2 4 2" xfId="30297" xr:uid="{00000000-0005-0000-0000-00003A7A0000}"/>
    <cellStyle name="Migliaia 3 2 5" xfId="19399" xr:uid="{00000000-0005-0000-0000-00003B7A0000}"/>
    <cellStyle name="Migliaia 3 2 5 2" xfId="37363" xr:uid="{00000000-0005-0000-0000-00003C7A0000}"/>
    <cellStyle name="Migliaia 3 2 6" xfId="3292" xr:uid="{00000000-0005-0000-0000-00003D7A0000}"/>
    <cellStyle name="Migliaia 3 2 6 2" xfId="23292" xr:uid="{00000000-0005-0000-0000-00003E7A0000}"/>
    <cellStyle name="Migliaia 3 2 7" xfId="21506" xr:uid="{00000000-0005-0000-0000-00003F7A0000}"/>
    <cellStyle name="Migliaia 3 2 8" xfId="38318" xr:uid="{00000000-0005-0000-0000-0000407A0000}"/>
    <cellStyle name="Migliaia 3 2 9" xfId="39196" xr:uid="{00000000-0005-0000-0000-0000417A0000}"/>
    <cellStyle name="Migliaia 3 3" xfId="577" xr:uid="{00000000-0005-0000-0000-0000427A0000}"/>
    <cellStyle name="Migliaia 3 3 10" xfId="39660" xr:uid="{00000000-0005-0000-0000-0000437A0000}"/>
    <cellStyle name="Migliaia 3 3 11" xfId="40146" xr:uid="{00000000-0005-0000-0000-0000447A0000}"/>
    <cellStyle name="Migliaia 3 3 2" xfId="578" xr:uid="{00000000-0005-0000-0000-0000457A0000}"/>
    <cellStyle name="Migliaia 3 3 2 10" xfId="40147" xr:uid="{00000000-0005-0000-0000-0000467A0000}"/>
    <cellStyle name="Migliaia 3 3 2 2" xfId="11475" xr:uid="{00000000-0005-0000-0000-0000477A0000}"/>
    <cellStyle name="Migliaia 3 3 2 3" xfId="12114" xr:uid="{00000000-0005-0000-0000-0000487A0000}"/>
    <cellStyle name="Migliaia 3 3 2 3 2" xfId="30299" xr:uid="{00000000-0005-0000-0000-0000497A0000}"/>
    <cellStyle name="Migliaia 3 3 2 4" xfId="19401" xr:uid="{00000000-0005-0000-0000-00004A7A0000}"/>
    <cellStyle name="Migliaia 3 3 2 4 2" xfId="37365" xr:uid="{00000000-0005-0000-0000-00004B7A0000}"/>
    <cellStyle name="Migliaia 3 3 2 5" xfId="3294" xr:uid="{00000000-0005-0000-0000-00004C7A0000}"/>
    <cellStyle name="Migliaia 3 3 2 5 2" xfId="23294" xr:uid="{00000000-0005-0000-0000-00004D7A0000}"/>
    <cellStyle name="Migliaia 3 3 2 6" xfId="21508" xr:uid="{00000000-0005-0000-0000-00004E7A0000}"/>
    <cellStyle name="Migliaia 3 3 2 7" xfId="38320" xr:uid="{00000000-0005-0000-0000-00004F7A0000}"/>
    <cellStyle name="Migliaia 3 3 2 8" xfId="39198" xr:uid="{00000000-0005-0000-0000-0000507A0000}"/>
    <cellStyle name="Migliaia 3 3 2 9" xfId="39661" xr:uid="{00000000-0005-0000-0000-0000517A0000}"/>
    <cellStyle name="Migliaia 3 3 3" xfId="11474" xr:uid="{00000000-0005-0000-0000-0000527A0000}"/>
    <cellStyle name="Migliaia 3 3 3 2" xfId="20533" xr:uid="{00000000-0005-0000-0000-0000537A0000}"/>
    <cellStyle name="Migliaia 3 3 3 2 2" xfId="37850" xr:uid="{00000000-0005-0000-0000-0000547A0000}"/>
    <cellStyle name="Migliaia 3 3 3 2 3" xfId="38805" xr:uid="{00000000-0005-0000-0000-0000557A0000}"/>
    <cellStyle name="Migliaia 3 3 3 3" xfId="19402" xr:uid="{00000000-0005-0000-0000-0000567A0000}"/>
    <cellStyle name="Migliaia 3 3 3 3 2" xfId="37366" xr:uid="{00000000-0005-0000-0000-0000577A0000}"/>
    <cellStyle name="Migliaia 3 3 3 4" xfId="38321" xr:uid="{00000000-0005-0000-0000-0000587A0000}"/>
    <cellStyle name="Migliaia 3 3 4" xfId="12113" xr:uid="{00000000-0005-0000-0000-0000597A0000}"/>
    <cellStyle name="Migliaia 3 3 4 2" xfId="20532" xr:uid="{00000000-0005-0000-0000-00005A7A0000}"/>
    <cellStyle name="Migliaia 3 3 4 2 2" xfId="37849" xr:uid="{00000000-0005-0000-0000-00005B7A0000}"/>
    <cellStyle name="Migliaia 3 3 4 3" xfId="30298" xr:uid="{00000000-0005-0000-0000-00005C7A0000}"/>
    <cellStyle name="Migliaia 3 3 4 4" xfId="38804" xr:uid="{00000000-0005-0000-0000-00005D7A0000}"/>
    <cellStyle name="Migliaia 3 3 5" xfId="19400" xr:uid="{00000000-0005-0000-0000-00005E7A0000}"/>
    <cellStyle name="Migliaia 3 3 5 2" xfId="37364" xr:uid="{00000000-0005-0000-0000-00005F7A0000}"/>
    <cellStyle name="Migliaia 3 3 6" xfId="3293" xr:uid="{00000000-0005-0000-0000-0000607A0000}"/>
    <cellStyle name="Migliaia 3 3 6 2" xfId="23293" xr:uid="{00000000-0005-0000-0000-0000617A0000}"/>
    <cellStyle name="Migliaia 3 3 7" xfId="21507" xr:uid="{00000000-0005-0000-0000-0000627A0000}"/>
    <cellStyle name="Migliaia 3 3 8" xfId="38319" xr:uid="{00000000-0005-0000-0000-0000637A0000}"/>
    <cellStyle name="Migliaia 3 3 9" xfId="39197" xr:uid="{00000000-0005-0000-0000-0000647A0000}"/>
    <cellStyle name="Migliaia 3 4" xfId="579" xr:uid="{00000000-0005-0000-0000-0000657A0000}"/>
    <cellStyle name="Migliaia 3 4 2" xfId="19404" xr:uid="{00000000-0005-0000-0000-0000667A0000}"/>
    <cellStyle name="Migliaia 3 4 2 2" xfId="20535" xr:uid="{00000000-0005-0000-0000-0000677A0000}"/>
    <cellStyle name="Migliaia 3 4 2 2 2" xfId="37852" xr:uid="{00000000-0005-0000-0000-0000687A0000}"/>
    <cellStyle name="Migliaia 3 4 2 2 3" xfId="38807" xr:uid="{00000000-0005-0000-0000-0000697A0000}"/>
    <cellStyle name="Migliaia 3 4 2 3" xfId="37368" xr:uid="{00000000-0005-0000-0000-00006A7A0000}"/>
    <cellStyle name="Migliaia 3 4 2 4" xfId="38323" xr:uid="{00000000-0005-0000-0000-00006B7A0000}"/>
    <cellStyle name="Migliaia 3 4 3" xfId="20534" xr:uid="{00000000-0005-0000-0000-00006C7A0000}"/>
    <cellStyle name="Migliaia 3 4 3 2" xfId="37851" xr:uid="{00000000-0005-0000-0000-00006D7A0000}"/>
    <cellStyle name="Migliaia 3 4 3 3" xfId="38806" xr:uid="{00000000-0005-0000-0000-00006E7A0000}"/>
    <cellStyle name="Migliaia 3 4 4" xfId="19403" xr:uid="{00000000-0005-0000-0000-00006F7A0000}"/>
    <cellStyle name="Migliaia 3 4 4 2" xfId="37367" xr:uid="{00000000-0005-0000-0000-0000707A0000}"/>
    <cellStyle name="Migliaia 3 4 5" xfId="11476" xr:uid="{00000000-0005-0000-0000-0000717A0000}"/>
    <cellStyle name="Migliaia 3 4 6" xfId="21509" xr:uid="{00000000-0005-0000-0000-0000727A0000}"/>
    <cellStyle name="Migliaia 3 4 7" xfId="38322" xr:uid="{00000000-0005-0000-0000-0000737A0000}"/>
    <cellStyle name="Migliaia 3 4 8" xfId="39662" xr:uid="{00000000-0005-0000-0000-0000747A0000}"/>
    <cellStyle name="Migliaia 3 4 9" xfId="40148" xr:uid="{00000000-0005-0000-0000-0000757A0000}"/>
    <cellStyle name="Migliaia 3 5" xfId="580" xr:uid="{00000000-0005-0000-0000-0000767A0000}"/>
    <cellStyle name="Migliaia 3 5 2" xfId="19405" xr:uid="{00000000-0005-0000-0000-0000777A0000}"/>
    <cellStyle name="Migliaia 3 5 2 2" xfId="37369" xr:uid="{00000000-0005-0000-0000-0000787A0000}"/>
    <cellStyle name="Migliaia 3 5 3" xfId="11477" xr:uid="{00000000-0005-0000-0000-0000797A0000}"/>
    <cellStyle name="Migliaia 3 5 4" xfId="21510" xr:uid="{00000000-0005-0000-0000-00007A7A0000}"/>
    <cellStyle name="Migliaia 3 5 5" xfId="38324" xr:uid="{00000000-0005-0000-0000-00007B7A0000}"/>
    <cellStyle name="Migliaia 3 5 6" xfId="39663" xr:uid="{00000000-0005-0000-0000-00007C7A0000}"/>
    <cellStyle name="Migliaia 3 5 7" xfId="40149" xr:uid="{00000000-0005-0000-0000-00007D7A0000}"/>
    <cellStyle name="Migliaia 3 6" xfId="581" xr:uid="{00000000-0005-0000-0000-00007E7A0000}"/>
    <cellStyle name="Migliaia 3 6 2" xfId="11472" xr:uid="{00000000-0005-0000-0000-00007F7A0000}"/>
    <cellStyle name="Migliaia 3 6 3" xfId="21511" xr:uid="{00000000-0005-0000-0000-0000807A0000}"/>
    <cellStyle name="Migliaia 3 6 4" xfId="39664" xr:uid="{00000000-0005-0000-0000-0000817A0000}"/>
    <cellStyle name="Migliaia 3 6 5" xfId="40150" xr:uid="{00000000-0005-0000-0000-0000827A0000}"/>
    <cellStyle name="Migliaia 3 7" xfId="12111" xr:uid="{00000000-0005-0000-0000-0000837A0000}"/>
    <cellStyle name="Migliaia 3 7 2" xfId="30296" xr:uid="{00000000-0005-0000-0000-0000847A0000}"/>
    <cellStyle name="Migliaia 3 8" xfId="19398" xr:uid="{00000000-0005-0000-0000-0000857A0000}"/>
    <cellStyle name="Migliaia 3 8 2" xfId="37362" xr:uid="{00000000-0005-0000-0000-0000867A0000}"/>
    <cellStyle name="Migliaia 3 9" xfId="3291" xr:uid="{00000000-0005-0000-0000-0000877A0000}"/>
    <cellStyle name="Migliaia 3 9 2" xfId="23291" xr:uid="{00000000-0005-0000-0000-0000887A0000}"/>
    <cellStyle name="Migliaia 30" xfId="582" xr:uid="{00000000-0005-0000-0000-0000897A0000}"/>
    <cellStyle name="Migliaia 30 10" xfId="21512" xr:uid="{00000000-0005-0000-0000-00008A7A0000}"/>
    <cellStyle name="Migliaia 30 11" xfId="38325" xr:uid="{00000000-0005-0000-0000-00008B7A0000}"/>
    <cellStyle name="Migliaia 30 12" xfId="39199" xr:uid="{00000000-0005-0000-0000-00008C7A0000}"/>
    <cellStyle name="Migliaia 30 13" xfId="39665" xr:uid="{00000000-0005-0000-0000-00008D7A0000}"/>
    <cellStyle name="Migliaia 30 14" xfId="40151" xr:uid="{00000000-0005-0000-0000-00008E7A0000}"/>
    <cellStyle name="Migliaia 30 2" xfId="583" xr:uid="{00000000-0005-0000-0000-00008F7A0000}"/>
    <cellStyle name="Migliaia 30 2 10" xfId="39666" xr:uid="{00000000-0005-0000-0000-0000907A0000}"/>
    <cellStyle name="Migliaia 30 2 11" xfId="40152" xr:uid="{00000000-0005-0000-0000-0000917A0000}"/>
    <cellStyle name="Migliaia 30 2 2" xfId="3561" xr:uid="{00000000-0005-0000-0000-0000927A0000}"/>
    <cellStyle name="Migliaia 30 2 2 2" xfId="12322" xr:uid="{00000000-0005-0000-0000-0000937A0000}"/>
    <cellStyle name="Migliaia 30 2 2 2 2" xfId="30492" xr:uid="{00000000-0005-0000-0000-0000947A0000}"/>
    <cellStyle name="Migliaia 30 2 2 3" xfId="20536" xr:uid="{00000000-0005-0000-0000-0000957A0000}"/>
    <cellStyle name="Migliaia 30 2 2 3 2" xfId="37853" xr:uid="{00000000-0005-0000-0000-0000967A0000}"/>
    <cellStyle name="Migliaia 30 2 2 4" xfId="23490" xr:uid="{00000000-0005-0000-0000-0000977A0000}"/>
    <cellStyle name="Migliaia 30 2 2 5" xfId="38808" xr:uid="{00000000-0005-0000-0000-0000987A0000}"/>
    <cellStyle name="Migliaia 30 2 2 6" xfId="39406" xr:uid="{00000000-0005-0000-0000-0000997A0000}"/>
    <cellStyle name="Migliaia 30 2 3" xfId="11479" xr:uid="{00000000-0005-0000-0000-00009A7A0000}"/>
    <cellStyle name="Migliaia 30 2 4" xfId="12116" xr:uid="{00000000-0005-0000-0000-00009B7A0000}"/>
    <cellStyle name="Migliaia 30 2 4 2" xfId="30301" xr:uid="{00000000-0005-0000-0000-00009C7A0000}"/>
    <cellStyle name="Migliaia 30 2 5" xfId="19407" xr:uid="{00000000-0005-0000-0000-00009D7A0000}"/>
    <cellStyle name="Migliaia 30 2 5 2" xfId="37371" xr:uid="{00000000-0005-0000-0000-00009E7A0000}"/>
    <cellStyle name="Migliaia 30 2 6" xfId="3296" xr:uid="{00000000-0005-0000-0000-00009F7A0000}"/>
    <cellStyle name="Migliaia 30 2 6 2" xfId="23296" xr:uid="{00000000-0005-0000-0000-0000A07A0000}"/>
    <cellStyle name="Migliaia 30 2 7" xfId="21513" xr:uid="{00000000-0005-0000-0000-0000A17A0000}"/>
    <cellStyle name="Migliaia 30 2 8" xfId="38326" xr:uid="{00000000-0005-0000-0000-0000A27A0000}"/>
    <cellStyle name="Migliaia 30 2 9" xfId="39200" xr:uid="{00000000-0005-0000-0000-0000A37A0000}"/>
    <cellStyle name="Migliaia 30 3" xfId="584" xr:uid="{00000000-0005-0000-0000-0000A47A0000}"/>
    <cellStyle name="Migliaia 30 3 10" xfId="39667" xr:uid="{00000000-0005-0000-0000-0000A57A0000}"/>
    <cellStyle name="Migliaia 30 3 11" xfId="40153" xr:uid="{00000000-0005-0000-0000-0000A67A0000}"/>
    <cellStyle name="Migliaia 30 3 2" xfId="585" xr:uid="{00000000-0005-0000-0000-0000A77A0000}"/>
    <cellStyle name="Migliaia 30 3 2 10" xfId="40154" xr:uid="{00000000-0005-0000-0000-0000A87A0000}"/>
    <cellStyle name="Migliaia 30 3 2 2" xfId="11481" xr:uid="{00000000-0005-0000-0000-0000A97A0000}"/>
    <cellStyle name="Migliaia 30 3 2 3" xfId="12118" xr:uid="{00000000-0005-0000-0000-0000AA7A0000}"/>
    <cellStyle name="Migliaia 30 3 2 3 2" xfId="30303" xr:uid="{00000000-0005-0000-0000-0000AB7A0000}"/>
    <cellStyle name="Migliaia 30 3 2 4" xfId="19409" xr:uid="{00000000-0005-0000-0000-0000AC7A0000}"/>
    <cellStyle name="Migliaia 30 3 2 4 2" xfId="37373" xr:uid="{00000000-0005-0000-0000-0000AD7A0000}"/>
    <cellStyle name="Migliaia 30 3 2 5" xfId="3298" xr:uid="{00000000-0005-0000-0000-0000AE7A0000}"/>
    <cellStyle name="Migliaia 30 3 2 5 2" xfId="23298" xr:uid="{00000000-0005-0000-0000-0000AF7A0000}"/>
    <cellStyle name="Migliaia 30 3 2 6" xfId="21515" xr:uid="{00000000-0005-0000-0000-0000B07A0000}"/>
    <cellStyle name="Migliaia 30 3 2 7" xfId="38328" xr:uid="{00000000-0005-0000-0000-0000B17A0000}"/>
    <cellStyle name="Migliaia 30 3 2 8" xfId="39202" xr:uid="{00000000-0005-0000-0000-0000B27A0000}"/>
    <cellStyle name="Migliaia 30 3 2 9" xfId="39668" xr:uid="{00000000-0005-0000-0000-0000B37A0000}"/>
    <cellStyle name="Migliaia 30 3 3" xfId="11480" xr:uid="{00000000-0005-0000-0000-0000B47A0000}"/>
    <cellStyle name="Migliaia 30 3 3 2" xfId="20538" xr:uid="{00000000-0005-0000-0000-0000B57A0000}"/>
    <cellStyle name="Migliaia 30 3 3 2 2" xfId="37855" xr:uid="{00000000-0005-0000-0000-0000B67A0000}"/>
    <cellStyle name="Migliaia 30 3 3 2 3" xfId="38810" xr:uid="{00000000-0005-0000-0000-0000B77A0000}"/>
    <cellStyle name="Migliaia 30 3 3 3" xfId="19410" xr:uid="{00000000-0005-0000-0000-0000B87A0000}"/>
    <cellStyle name="Migliaia 30 3 3 3 2" xfId="37374" xr:uid="{00000000-0005-0000-0000-0000B97A0000}"/>
    <cellStyle name="Migliaia 30 3 3 4" xfId="38329" xr:uid="{00000000-0005-0000-0000-0000BA7A0000}"/>
    <cellStyle name="Migliaia 30 3 4" xfId="12117" xr:uid="{00000000-0005-0000-0000-0000BB7A0000}"/>
    <cellStyle name="Migliaia 30 3 4 2" xfId="20537" xr:uid="{00000000-0005-0000-0000-0000BC7A0000}"/>
    <cellStyle name="Migliaia 30 3 4 2 2" xfId="37854" xr:uid="{00000000-0005-0000-0000-0000BD7A0000}"/>
    <cellStyle name="Migliaia 30 3 4 3" xfId="30302" xr:uid="{00000000-0005-0000-0000-0000BE7A0000}"/>
    <cellStyle name="Migliaia 30 3 4 4" xfId="38809" xr:uid="{00000000-0005-0000-0000-0000BF7A0000}"/>
    <cellStyle name="Migliaia 30 3 5" xfId="19408" xr:uid="{00000000-0005-0000-0000-0000C07A0000}"/>
    <cellStyle name="Migliaia 30 3 5 2" xfId="37372" xr:uid="{00000000-0005-0000-0000-0000C17A0000}"/>
    <cellStyle name="Migliaia 30 3 6" xfId="3297" xr:uid="{00000000-0005-0000-0000-0000C27A0000}"/>
    <cellStyle name="Migliaia 30 3 6 2" xfId="23297" xr:uid="{00000000-0005-0000-0000-0000C37A0000}"/>
    <cellStyle name="Migliaia 30 3 7" xfId="21514" xr:uid="{00000000-0005-0000-0000-0000C47A0000}"/>
    <cellStyle name="Migliaia 30 3 8" xfId="38327" xr:uid="{00000000-0005-0000-0000-0000C57A0000}"/>
    <cellStyle name="Migliaia 30 3 9" xfId="39201" xr:uid="{00000000-0005-0000-0000-0000C67A0000}"/>
    <cellStyle name="Migliaia 30 4" xfId="586" xr:uid="{00000000-0005-0000-0000-0000C77A0000}"/>
    <cellStyle name="Migliaia 30 4 2" xfId="19412" xr:uid="{00000000-0005-0000-0000-0000C87A0000}"/>
    <cellStyle name="Migliaia 30 4 2 2" xfId="20540" xr:uid="{00000000-0005-0000-0000-0000C97A0000}"/>
    <cellStyle name="Migliaia 30 4 2 2 2" xfId="37857" xr:uid="{00000000-0005-0000-0000-0000CA7A0000}"/>
    <cellStyle name="Migliaia 30 4 2 2 3" xfId="38812" xr:uid="{00000000-0005-0000-0000-0000CB7A0000}"/>
    <cellStyle name="Migliaia 30 4 2 3" xfId="37376" xr:uid="{00000000-0005-0000-0000-0000CC7A0000}"/>
    <cellStyle name="Migliaia 30 4 2 4" xfId="38331" xr:uid="{00000000-0005-0000-0000-0000CD7A0000}"/>
    <cellStyle name="Migliaia 30 4 3" xfId="20539" xr:uid="{00000000-0005-0000-0000-0000CE7A0000}"/>
    <cellStyle name="Migliaia 30 4 3 2" xfId="37856" xr:uid="{00000000-0005-0000-0000-0000CF7A0000}"/>
    <cellStyle name="Migliaia 30 4 3 3" xfId="38811" xr:uid="{00000000-0005-0000-0000-0000D07A0000}"/>
    <cellStyle name="Migliaia 30 4 4" xfId="19411" xr:uid="{00000000-0005-0000-0000-0000D17A0000}"/>
    <cellStyle name="Migliaia 30 4 4 2" xfId="37375" xr:uid="{00000000-0005-0000-0000-0000D27A0000}"/>
    <cellStyle name="Migliaia 30 4 5" xfId="11482" xr:uid="{00000000-0005-0000-0000-0000D37A0000}"/>
    <cellStyle name="Migliaia 30 4 6" xfId="21516" xr:uid="{00000000-0005-0000-0000-0000D47A0000}"/>
    <cellStyle name="Migliaia 30 4 7" xfId="38330" xr:uid="{00000000-0005-0000-0000-0000D57A0000}"/>
    <cellStyle name="Migliaia 30 4 8" xfId="39669" xr:uid="{00000000-0005-0000-0000-0000D67A0000}"/>
    <cellStyle name="Migliaia 30 4 9" xfId="40155" xr:uid="{00000000-0005-0000-0000-0000D77A0000}"/>
    <cellStyle name="Migliaia 30 5" xfId="587" xr:uid="{00000000-0005-0000-0000-0000D87A0000}"/>
    <cellStyle name="Migliaia 30 5 2" xfId="19413" xr:uid="{00000000-0005-0000-0000-0000D97A0000}"/>
    <cellStyle name="Migliaia 30 5 2 2" xfId="37377" xr:uid="{00000000-0005-0000-0000-0000DA7A0000}"/>
    <cellStyle name="Migliaia 30 5 3" xfId="11483" xr:uid="{00000000-0005-0000-0000-0000DB7A0000}"/>
    <cellStyle name="Migliaia 30 5 4" xfId="21517" xr:uid="{00000000-0005-0000-0000-0000DC7A0000}"/>
    <cellStyle name="Migliaia 30 5 5" xfId="38332" xr:uid="{00000000-0005-0000-0000-0000DD7A0000}"/>
    <cellStyle name="Migliaia 30 5 6" xfId="39670" xr:uid="{00000000-0005-0000-0000-0000DE7A0000}"/>
    <cellStyle name="Migliaia 30 5 7" xfId="40156" xr:uid="{00000000-0005-0000-0000-0000DF7A0000}"/>
    <cellStyle name="Migliaia 30 6" xfId="588" xr:uid="{00000000-0005-0000-0000-0000E07A0000}"/>
    <cellStyle name="Migliaia 30 6 2" xfId="11478" xr:uid="{00000000-0005-0000-0000-0000E17A0000}"/>
    <cellStyle name="Migliaia 30 6 3" xfId="21518" xr:uid="{00000000-0005-0000-0000-0000E27A0000}"/>
    <cellStyle name="Migliaia 30 6 4" xfId="39671" xr:uid="{00000000-0005-0000-0000-0000E37A0000}"/>
    <cellStyle name="Migliaia 30 6 5" xfId="40157" xr:uid="{00000000-0005-0000-0000-0000E47A0000}"/>
    <cellStyle name="Migliaia 30 7" xfId="12115" xr:uid="{00000000-0005-0000-0000-0000E57A0000}"/>
    <cellStyle name="Migliaia 30 7 2" xfId="30300" xr:uid="{00000000-0005-0000-0000-0000E67A0000}"/>
    <cellStyle name="Migliaia 30 8" xfId="19406" xr:uid="{00000000-0005-0000-0000-0000E77A0000}"/>
    <cellStyle name="Migliaia 30 8 2" xfId="37370" xr:uid="{00000000-0005-0000-0000-0000E87A0000}"/>
    <cellStyle name="Migliaia 30 9" xfId="3295" xr:uid="{00000000-0005-0000-0000-0000E97A0000}"/>
    <cellStyle name="Migliaia 30 9 2" xfId="23295" xr:uid="{00000000-0005-0000-0000-0000EA7A0000}"/>
    <cellStyle name="Migliaia 31" xfId="589" xr:uid="{00000000-0005-0000-0000-0000EB7A0000}"/>
    <cellStyle name="Migliaia 31 10" xfId="21519" xr:uid="{00000000-0005-0000-0000-0000EC7A0000}"/>
    <cellStyle name="Migliaia 31 11" xfId="38333" xr:uid="{00000000-0005-0000-0000-0000ED7A0000}"/>
    <cellStyle name="Migliaia 31 12" xfId="39203" xr:uid="{00000000-0005-0000-0000-0000EE7A0000}"/>
    <cellStyle name="Migliaia 31 13" xfId="39672" xr:uid="{00000000-0005-0000-0000-0000EF7A0000}"/>
    <cellStyle name="Migliaia 31 14" xfId="40158" xr:uid="{00000000-0005-0000-0000-0000F07A0000}"/>
    <cellStyle name="Migliaia 31 2" xfId="590" xr:uid="{00000000-0005-0000-0000-0000F17A0000}"/>
    <cellStyle name="Migliaia 31 2 10" xfId="39673" xr:uid="{00000000-0005-0000-0000-0000F27A0000}"/>
    <cellStyle name="Migliaia 31 2 11" xfId="40159" xr:uid="{00000000-0005-0000-0000-0000F37A0000}"/>
    <cellStyle name="Migliaia 31 2 2" xfId="3562" xr:uid="{00000000-0005-0000-0000-0000F47A0000}"/>
    <cellStyle name="Migliaia 31 2 2 2" xfId="12323" xr:uid="{00000000-0005-0000-0000-0000F57A0000}"/>
    <cellStyle name="Migliaia 31 2 2 2 2" xfId="30493" xr:uid="{00000000-0005-0000-0000-0000F67A0000}"/>
    <cellStyle name="Migliaia 31 2 2 3" xfId="20541" xr:uid="{00000000-0005-0000-0000-0000F77A0000}"/>
    <cellStyle name="Migliaia 31 2 2 3 2" xfId="37858" xr:uid="{00000000-0005-0000-0000-0000F87A0000}"/>
    <cellStyle name="Migliaia 31 2 2 4" xfId="23491" xr:uid="{00000000-0005-0000-0000-0000F97A0000}"/>
    <cellStyle name="Migliaia 31 2 2 5" xfId="38813" xr:uid="{00000000-0005-0000-0000-0000FA7A0000}"/>
    <cellStyle name="Migliaia 31 2 2 6" xfId="39407" xr:uid="{00000000-0005-0000-0000-0000FB7A0000}"/>
    <cellStyle name="Migliaia 31 2 3" xfId="11485" xr:uid="{00000000-0005-0000-0000-0000FC7A0000}"/>
    <cellStyle name="Migliaia 31 2 4" xfId="12120" xr:uid="{00000000-0005-0000-0000-0000FD7A0000}"/>
    <cellStyle name="Migliaia 31 2 4 2" xfId="30305" xr:uid="{00000000-0005-0000-0000-0000FE7A0000}"/>
    <cellStyle name="Migliaia 31 2 5" xfId="19415" xr:uid="{00000000-0005-0000-0000-0000FF7A0000}"/>
    <cellStyle name="Migliaia 31 2 5 2" xfId="37379" xr:uid="{00000000-0005-0000-0000-0000007B0000}"/>
    <cellStyle name="Migliaia 31 2 6" xfId="3300" xr:uid="{00000000-0005-0000-0000-0000017B0000}"/>
    <cellStyle name="Migliaia 31 2 6 2" xfId="23300" xr:uid="{00000000-0005-0000-0000-0000027B0000}"/>
    <cellStyle name="Migliaia 31 2 7" xfId="21520" xr:uid="{00000000-0005-0000-0000-0000037B0000}"/>
    <cellStyle name="Migliaia 31 2 8" xfId="38334" xr:uid="{00000000-0005-0000-0000-0000047B0000}"/>
    <cellStyle name="Migliaia 31 2 9" xfId="39204" xr:uid="{00000000-0005-0000-0000-0000057B0000}"/>
    <cellStyle name="Migliaia 31 3" xfId="591" xr:uid="{00000000-0005-0000-0000-0000067B0000}"/>
    <cellStyle name="Migliaia 31 3 10" xfId="39674" xr:uid="{00000000-0005-0000-0000-0000077B0000}"/>
    <cellStyle name="Migliaia 31 3 11" xfId="40160" xr:uid="{00000000-0005-0000-0000-0000087B0000}"/>
    <cellStyle name="Migliaia 31 3 2" xfId="592" xr:uid="{00000000-0005-0000-0000-0000097B0000}"/>
    <cellStyle name="Migliaia 31 3 2 10" xfId="40161" xr:uid="{00000000-0005-0000-0000-00000A7B0000}"/>
    <cellStyle name="Migliaia 31 3 2 2" xfId="11487" xr:uid="{00000000-0005-0000-0000-00000B7B0000}"/>
    <cellStyle name="Migliaia 31 3 2 3" xfId="12122" xr:uid="{00000000-0005-0000-0000-00000C7B0000}"/>
    <cellStyle name="Migliaia 31 3 2 3 2" xfId="30307" xr:uid="{00000000-0005-0000-0000-00000D7B0000}"/>
    <cellStyle name="Migliaia 31 3 2 4" xfId="19417" xr:uid="{00000000-0005-0000-0000-00000E7B0000}"/>
    <cellStyle name="Migliaia 31 3 2 4 2" xfId="37381" xr:uid="{00000000-0005-0000-0000-00000F7B0000}"/>
    <cellStyle name="Migliaia 31 3 2 5" xfId="3302" xr:uid="{00000000-0005-0000-0000-0000107B0000}"/>
    <cellStyle name="Migliaia 31 3 2 5 2" xfId="23302" xr:uid="{00000000-0005-0000-0000-0000117B0000}"/>
    <cellStyle name="Migliaia 31 3 2 6" xfId="21522" xr:uid="{00000000-0005-0000-0000-0000127B0000}"/>
    <cellStyle name="Migliaia 31 3 2 7" xfId="38336" xr:uid="{00000000-0005-0000-0000-0000137B0000}"/>
    <cellStyle name="Migliaia 31 3 2 8" xfId="39206" xr:uid="{00000000-0005-0000-0000-0000147B0000}"/>
    <cellStyle name="Migliaia 31 3 2 9" xfId="39675" xr:uid="{00000000-0005-0000-0000-0000157B0000}"/>
    <cellStyle name="Migliaia 31 3 3" xfId="11486" xr:uid="{00000000-0005-0000-0000-0000167B0000}"/>
    <cellStyle name="Migliaia 31 3 3 2" xfId="20543" xr:uid="{00000000-0005-0000-0000-0000177B0000}"/>
    <cellStyle name="Migliaia 31 3 3 2 2" xfId="37860" xr:uid="{00000000-0005-0000-0000-0000187B0000}"/>
    <cellStyle name="Migliaia 31 3 3 2 3" xfId="38815" xr:uid="{00000000-0005-0000-0000-0000197B0000}"/>
    <cellStyle name="Migliaia 31 3 3 3" xfId="19418" xr:uid="{00000000-0005-0000-0000-00001A7B0000}"/>
    <cellStyle name="Migliaia 31 3 3 3 2" xfId="37382" xr:uid="{00000000-0005-0000-0000-00001B7B0000}"/>
    <cellStyle name="Migliaia 31 3 3 4" xfId="38337" xr:uid="{00000000-0005-0000-0000-00001C7B0000}"/>
    <cellStyle name="Migliaia 31 3 4" xfId="12121" xr:uid="{00000000-0005-0000-0000-00001D7B0000}"/>
    <cellStyle name="Migliaia 31 3 4 2" xfId="20542" xr:uid="{00000000-0005-0000-0000-00001E7B0000}"/>
    <cellStyle name="Migliaia 31 3 4 2 2" xfId="37859" xr:uid="{00000000-0005-0000-0000-00001F7B0000}"/>
    <cellStyle name="Migliaia 31 3 4 3" xfId="30306" xr:uid="{00000000-0005-0000-0000-0000207B0000}"/>
    <cellStyle name="Migliaia 31 3 4 4" xfId="38814" xr:uid="{00000000-0005-0000-0000-0000217B0000}"/>
    <cellStyle name="Migliaia 31 3 5" xfId="19416" xr:uid="{00000000-0005-0000-0000-0000227B0000}"/>
    <cellStyle name="Migliaia 31 3 5 2" xfId="37380" xr:uid="{00000000-0005-0000-0000-0000237B0000}"/>
    <cellStyle name="Migliaia 31 3 6" xfId="3301" xr:uid="{00000000-0005-0000-0000-0000247B0000}"/>
    <cellStyle name="Migliaia 31 3 6 2" xfId="23301" xr:uid="{00000000-0005-0000-0000-0000257B0000}"/>
    <cellStyle name="Migliaia 31 3 7" xfId="21521" xr:uid="{00000000-0005-0000-0000-0000267B0000}"/>
    <cellStyle name="Migliaia 31 3 8" xfId="38335" xr:uid="{00000000-0005-0000-0000-0000277B0000}"/>
    <cellStyle name="Migliaia 31 3 9" xfId="39205" xr:uid="{00000000-0005-0000-0000-0000287B0000}"/>
    <cellStyle name="Migliaia 31 4" xfId="593" xr:uid="{00000000-0005-0000-0000-0000297B0000}"/>
    <cellStyle name="Migliaia 31 4 2" xfId="19420" xr:uid="{00000000-0005-0000-0000-00002A7B0000}"/>
    <cellStyle name="Migliaia 31 4 2 2" xfId="20545" xr:uid="{00000000-0005-0000-0000-00002B7B0000}"/>
    <cellStyle name="Migliaia 31 4 2 2 2" xfId="37862" xr:uid="{00000000-0005-0000-0000-00002C7B0000}"/>
    <cellStyle name="Migliaia 31 4 2 2 3" xfId="38817" xr:uid="{00000000-0005-0000-0000-00002D7B0000}"/>
    <cellStyle name="Migliaia 31 4 2 3" xfId="37384" xr:uid="{00000000-0005-0000-0000-00002E7B0000}"/>
    <cellStyle name="Migliaia 31 4 2 4" xfId="38339" xr:uid="{00000000-0005-0000-0000-00002F7B0000}"/>
    <cellStyle name="Migliaia 31 4 3" xfId="20544" xr:uid="{00000000-0005-0000-0000-0000307B0000}"/>
    <cellStyle name="Migliaia 31 4 3 2" xfId="37861" xr:uid="{00000000-0005-0000-0000-0000317B0000}"/>
    <cellStyle name="Migliaia 31 4 3 3" xfId="38816" xr:uid="{00000000-0005-0000-0000-0000327B0000}"/>
    <cellStyle name="Migliaia 31 4 4" xfId="19419" xr:uid="{00000000-0005-0000-0000-0000337B0000}"/>
    <cellStyle name="Migliaia 31 4 4 2" xfId="37383" xr:uid="{00000000-0005-0000-0000-0000347B0000}"/>
    <cellStyle name="Migliaia 31 4 5" xfId="11488" xr:uid="{00000000-0005-0000-0000-0000357B0000}"/>
    <cellStyle name="Migliaia 31 4 6" xfId="21523" xr:uid="{00000000-0005-0000-0000-0000367B0000}"/>
    <cellStyle name="Migliaia 31 4 7" xfId="38338" xr:uid="{00000000-0005-0000-0000-0000377B0000}"/>
    <cellStyle name="Migliaia 31 4 8" xfId="39676" xr:uid="{00000000-0005-0000-0000-0000387B0000}"/>
    <cellStyle name="Migliaia 31 4 9" xfId="40162" xr:uid="{00000000-0005-0000-0000-0000397B0000}"/>
    <cellStyle name="Migliaia 31 5" xfId="594" xr:uid="{00000000-0005-0000-0000-00003A7B0000}"/>
    <cellStyle name="Migliaia 31 5 2" xfId="19421" xr:uid="{00000000-0005-0000-0000-00003B7B0000}"/>
    <cellStyle name="Migliaia 31 5 2 2" xfId="37385" xr:uid="{00000000-0005-0000-0000-00003C7B0000}"/>
    <cellStyle name="Migliaia 31 5 3" xfId="11489" xr:uid="{00000000-0005-0000-0000-00003D7B0000}"/>
    <cellStyle name="Migliaia 31 5 4" xfId="21524" xr:uid="{00000000-0005-0000-0000-00003E7B0000}"/>
    <cellStyle name="Migliaia 31 5 5" xfId="38340" xr:uid="{00000000-0005-0000-0000-00003F7B0000}"/>
    <cellStyle name="Migliaia 31 5 6" xfId="39677" xr:uid="{00000000-0005-0000-0000-0000407B0000}"/>
    <cellStyle name="Migliaia 31 5 7" xfId="40163" xr:uid="{00000000-0005-0000-0000-0000417B0000}"/>
    <cellStyle name="Migliaia 31 6" xfId="595" xr:uid="{00000000-0005-0000-0000-0000427B0000}"/>
    <cellStyle name="Migliaia 31 6 2" xfId="11484" xr:uid="{00000000-0005-0000-0000-0000437B0000}"/>
    <cellStyle name="Migliaia 31 6 3" xfId="21525" xr:uid="{00000000-0005-0000-0000-0000447B0000}"/>
    <cellStyle name="Migliaia 31 6 4" xfId="39678" xr:uid="{00000000-0005-0000-0000-0000457B0000}"/>
    <cellStyle name="Migliaia 31 6 5" xfId="40164" xr:uid="{00000000-0005-0000-0000-0000467B0000}"/>
    <cellStyle name="Migliaia 31 7" xfId="12119" xr:uid="{00000000-0005-0000-0000-0000477B0000}"/>
    <cellStyle name="Migliaia 31 7 2" xfId="30304" xr:uid="{00000000-0005-0000-0000-0000487B0000}"/>
    <cellStyle name="Migliaia 31 8" xfId="19414" xr:uid="{00000000-0005-0000-0000-0000497B0000}"/>
    <cellStyle name="Migliaia 31 8 2" xfId="37378" xr:uid="{00000000-0005-0000-0000-00004A7B0000}"/>
    <cellStyle name="Migliaia 31 9" xfId="3299" xr:uid="{00000000-0005-0000-0000-00004B7B0000}"/>
    <cellStyle name="Migliaia 31 9 2" xfId="23299" xr:uid="{00000000-0005-0000-0000-00004C7B0000}"/>
    <cellStyle name="Migliaia 32" xfId="596" xr:uid="{00000000-0005-0000-0000-00004D7B0000}"/>
    <cellStyle name="Migliaia 32 10" xfId="21526" xr:uid="{00000000-0005-0000-0000-00004E7B0000}"/>
    <cellStyle name="Migliaia 32 11" xfId="38341" xr:uid="{00000000-0005-0000-0000-00004F7B0000}"/>
    <cellStyle name="Migliaia 32 12" xfId="39207" xr:uid="{00000000-0005-0000-0000-0000507B0000}"/>
    <cellStyle name="Migliaia 32 13" xfId="39679" xr:uid="{00000000-0005-0000-0000-0000517B0000}"/>
    <cellStyle name="Migliaia 32 14" xfId="40165" xr:uid="{00000000-0005-0000-0000-0000527B0000}"/>
    <cellStyle name="Migliaia 32 2" xfId="597" xr:uid="{00000000-0005-0000-0000-0000537B0000}"/>
    <cellStyle name="Migliaia 32 2 10" xfId="39680" xr:uid="{00000000-0005-0000-0000-0000547B0000}"/>
    <cellStyle name="Migliaia 32 2 11" xfId="40166" xr:uid="{00000000-0005-0000-0000-0000557B0000}"/>
    <cellStyle name="Migliaia 32 2 2" xfId="3563" xr:uid="{00000000-0005-0000-0000-0000567B0000}"/>
    <cellStyle name="Migliaia 32 2 2 2" xfId="12324" xr:uid="{00000000-0005-0000-0000-0000577B0000}"/>
    <cellStyle name="Migliaia 32 2 2 2 2" xfId="30494" xr:uid="{00000000-0005-0000-0000-0000587B0000}"/>
    <cellStyle name="Migliaia 32 2 2 3" xfId="20546" xr:uid="{00000000-0005-0000-0000-0000597B0000}"/>
    <cellStyle name="Migliaia 32 2 2 3 2" xfId="37863" xr:uid="{00000000-0005-0000-0000-00005A7B0000}"/>
    <cellStyle name="Migliaia 32 2 2 4" xfId="23492" xr:uid="{00000000-0005-0000-0000-00005B7B0000}"/>
    <cellStyle name="Migliaia 32 2 2 5" xfId="38818" xr:uid="{00000000-0005-0000-0000-00005C7B0000}"/>
    <cellStyle name="Migliaia 32 2 2 6" xfId="39408" xr:uid="{00000000-0005-0000-0000-00005D7B0000}"/>
    <cellStyle name="Migliaia 32 2 3" xfId="11491" xr:uid="{00000000-0005-0000-0000-00005E7B0000}"/>
    <cellStyle name="Migliaia 32 2 4" xfId="12124" xr:uid="{00000000-0005-0000-0000-00005F7B0000}"/>
    <cellStyle name="Migliaia 32 2 4 2" xfId="30309" xr:uid="{00000000-0005-0000-0000-0000607B0000}"/>
    <cellStyle name="Migliaia 32 2 5" xfId="19423" xr:uid="{00000000-0005-0000-0000-0000617B0000}"/>
    <cellStyle name="Migliaia 32 2 5 2" xfId="37387" xr:uid="{00000000-0005-0000-0000-0000627B0000}"/>
    <cellStyle name="Migliaia 32 2 6" xfId="3304" xr:uid="{00000000-0005-0000-0000-0000637B0000}"/>
    <cellStyle name="Migliaia 32 2 6 2" xfId="23304" xr:uid="{00000000-0005-0000-0000-0000647B0000}"/>
    <cellStyle name="Migliaia 32 2 7" xfId="21527" xr:uid="{00000000-0005-0000-0000-0000657B0000}"/>
    <cellStyle name="Migliaia 32 2 8" xfId="38342" xr:uid="{00000000-0005-0000-0000-0000667B0000}"/>
    <cellStyle name="Migliaia 32 2 9" xfId="39208" xr:uid="{00000000-0005-0000-0000-0000677B0000}"/>
    <cellStyle name="Migliaia 32 3" xfId="598" xr:uid="{00000000-0005-0000-0000-0000687B0000}"/>
    <cellStyle name="Migliaia 32 3 10" xfId="39681" xr:uid="{00000000-0005-0000-0000-0000697B0000}"/>
    <cellStyle name="Migliaia 32 3 11" xfId="40167" xr:uid="{00000000-0005-0000-0000-00006A7B0000}"/>
    <cellStyle name="Migliaia 32 3 2" xfId="599" xr:uid="{00000000-0005-0000-0000-00006B7B0000}"/>
    <cellStyle name="Migliaia 32 3 2 10" xfId="40168" xr:uid="{00000000-0005-0000-0000-00006C7B0000}"/>
    <cellStyle name="Migliaia 32 3 2 2" xfId="11493" xr:uid="{00000000-0005-0000-0000-00006D7B0000}"/>
    <cellStyle name="Migliaia 32 3 2 3" xfId="12126" xr:uid="{00000000-0005-0000-0000-00006E7B0000}"/>
    <cellStyle name="Migliaia 32 3 2 3 2" xfId="30311" xr:uid="{00000000-0005-0000-0000-00006F7B0000}"/>
    <cellStyle name="Migliaia 32 3 2 4" xfId="19425" xr:uid="{00000000-0005-0000-0000-0000707B0000}"/>
    <cellStyle name="Migliaia 32 3 2 4 2" xfId="37389" xr:uid="{00000000-0005-0000-0000-0000717B0000}"/>
    <cellStyle name="Migliaia 32 3 2 5" xfId="3306" xr:uid="{00000000-0005-0000-0000-0000727B0000}"/>
    <cellStyle name="Migliaia 32 3 2 5 2" xfId="23306" xr:uid="{00000000-0005-0000-0000-0000737B0000}"/>
    <cellStyle name="Migliaia 32 3 2 6" xfId="21529" xr:uid="{00000000-0005-0000-0000-0000747B0000}"/>
    <cellStyle name="Migliaia 32 3 2 7" xfId="38344" xr:uid="{00000000-0005-0000-0000-0000757B0000}"/>
    <cellStyle name="Migliaia 32 3 2 8" xfId="39210" xr:uid="{00000000-0005-0000-0000-0000767B0000}"/>
    <cellStyle name="Migliaia 32 3 2 9" xfId="39682" xr:uid="{00000000-0005-0000-0000-0000777B0000}"/>
    <cellStyle name="Migliaia 32 3 3" xfId="11492" xr:uid="{00000000-0005-0000-0000-0000787B0000}"/>
    <cellStyle name="Migliaia 32 3 3 2" xfId="20548" xr:uid="{00000000-0005-0000-0000-0000797B0000}"/>
    <cellStyle name="Migliaia 32 3 3 2 2" xfId="37865" xr:uid="{00000000-0005-0000-0000-00007A7B0000}"/>
    <cellStyle name="Migliaia 32 3 3 2 3" xfId="38820" xr:uid="{00000000-0005-0000-0000-00007B7B0000}"/>
    <cellStyle name="Migliaia 32 3 3 3" xfId="19426" xr:uid="{00000000-0005-0000-0000-00007C7B0000}"/>
    <cellStyle name="Migliaia 32 3 3 3 2" xfId="37390" xr:uid="{00000000-0005-0000-0000-00007D7B0000}"/>
    <cellStyle name="Migliaia 32 3 3 4" xfId="38345" xr:uid="{00000000-0005-0000-0000-00007E7B0000}"/>
    <cellStyle name="Migliaia 32 3 4" xfId="12125" xr:uid="{00000000-0005-0000-0000-00007F7B0000}"/>
    <cellStyle name="Migliaia 32 3 4 2" xfId="20547" xr:uid="{00000000-0005-0000-0000-0000807B0000}"/>
    <cellStyle name="Migliaia 32 3 4 2 2" xfId="37864" xr:uid="{00000000-0005-0000-0000-0000817B0000}"/>
    <cellStyle name="Migliaia 32 3 4 3" xfId="30310" xr:uid="{00000000-0005-0000-0000-0000827B0000}"/>
    <cellStyle name="Migliaia 32 3 4 4" xfId="38819" xr:uid="{00000000-0005-0000-0000-0000837B0000}"/>
    <cellStyle name="Migliaia 32 3 5" xfId="19424" xr:uid="{00000000-0005-0000-0000-0000847B0000}"/>
    <cellStyle name="Migliaia 32 3 5 2" xfId="37388" xr:uid="{00000000-0005-0000-0000-0000857B0000}"/>
    <cellStyle name="Migliaia 32 3 6" xfId="3305" xr:uid="{00000000-0005-0000-0000-0000867B0000}"/>
    <cellStyle name="Migliaia 32 3 6 2" xfId="23305" xr:uid="{00000000-0005-0000-0000-0000877B0000}"/>
    <cellStyle name="Migliaia 32 3 7" xfId="21528" xr:uid="{00000000-0005-0000-0000-0000887B0000}"/>
    <cellStyle name="Migliaia 32 3 8" xfId="38343" xr:uid="{00000000-0005-0000-0000-0000897B0000}"/>
    <cellStyle name="Migliaia 32 3 9" xfId="39209" xr:uid="{00000000-0005-0000-0000-00008A7B0000}"/>
    <cellStyle name="Migliaia 32 4" xfId="600" xr:uid="{00000000-0005-0000-0000-00008B7B0000}"/>
    <cellStyle name="Migliaia 32 4 2" xfId="19428" xr:uid="{00000000-0005-0000-0000-00008C7B0000}"/>
    <cellStyle name="Migliaia 32 4 2 2" xfId="20550" xr:uid="{00000000-0005-0000-0000-00008D7B0000}"/>
    <cellStyle name="Migliaia 32 4 2 2 2" xfId="37867" xr:uid="{00000000-0005-0000-0000-00008E7B0000}"/>
    <cellStyle name="Migliaia 32 4 2 2 3" xfId="38822" xr:uid="{00000000-0005-0000-0000-00008F7B0000}"/>
    <cellStyle name="Migliaia 32 4 2 3" xfId="37392" xr:uid="{00000000-0005-0000-0000-0000907B0000}"/>
    <cellStyle name="Migliaia 32 4 2 4" xfId="38347" xr:uid="{00000000-0005-0000-0000-0000917B0000}"/>
    <cellStyle name="Migliaia 32 4 3" xfId="20549" xr:uid="{00000000-0005-0000-0000-0000927B0000}"/>
    <cellStyle name="Migliaia 32 4 3 2" xfId="37866" xr:uid="{00000000-0005-0000-0000-0000937B0000}"/>
    <cellStyle name="Migliaia 32 4 3 3" xfId="38821" xr:uid="{00000000-0005-0000-0000-0000947B0000}"/>
    <cellStyle name="Migliaia 32 4 4" xfId="19427" xr:uid="{00000000-0005-0000-0000-0000957B0000}"/>
    <cellStyle name="Migliaia 32 4 4 2" xfId="37391" xr:uid="{00000000-0005-0000-0000-0000967B0000}"/>
    <cellStyle name="Migliaia 32 4 5" xfId="11494" xr:uid="{00000000-0005-0000-0000-0000977B0000}"/>
    <cellStyle name="Migliaia 32 4 6" xfId="21530" xr:uid="{00000000-0005-0000-0000-0000987B0000}"/>
    <cellStyle name="Migliaia 32 4 7" xfId="38346" xr:uid="{00000000-0005-0000-0000-0000997B0000}"/>
    <cellStyle name="Migliaia 32 4 8" xfId="39683" xr:uid="{00000000-0005-0000-0000-00009A7B0000}"/>
    <cellStyle name="Migliaia 32 4 9" xfId="40169" xr:uid="{00000000-0005-0000-0000-00009B7B0000}"/>
    <cellStyle name="Migliaia 32 5" xfId="601" xr:uid="{00000000-0005-0000-0000-00009C7B0000}"/>
    <cellStyle name="Migliaia 32 5 2" xfId="19429" xr:uid="{00000000-0005-0000-0000-00009D7B0000}"/>
    <cellStyle name="Migliaia 32 5 2 2" xfId="37393" xr:uid="{00000000-0005-0000-0000-00009E7B0000}"/>
    <cellStyle name="Migliaia 32 5 3" xfId="11495" xr:uid="{00000000-0005-0000-0000-00009F7B0000}"/>
    <cellStyle name="Migliaia 32 5 4" xfId="21531" xr:uid="{00000000-0005-0000-0000-0000A07B0000}"/>
    <cellStyle name="Migliaia 32 5 5" xfId="38348" xr:uid="{00000000-0005-0000-0000-0000A17B0000}"/>
    <cellStyle name="Migliaia 32 5 6" xfId="39684" xr:uid="{00000000-0005-0000-0000-0000A27B0000}"/>
    <cellStyle name="Migliaia 32 5 7" xfId="40170" xr:uid="{00000000-0005-0000-0000-0000A37B0000}"/>
    <cellStyle name="Migliaia 32 6" xfId="602" xr:uid="{00000000-0005-0000-0000-0000A47B0000}"/>
    <cellStyle name="Migliaia 32 6 2" xfId="11490" xr:uid="{00000000-0005-0000-0000-0000A57B0000}"/>
    <cellStyle name="Migliaia 32 6 3" xfId="21532" xr:uid="{00000000-0005-0000-0000-0000A67B0000}"/>
    <cellStyle name="Migliaia 32 6 4" xfId="39685" xr:uid="{00000000-0005-0000-0000-0000A77B0000}"/>
    <cellStyle name="Migliaia 32 6 5" xfId="40171" xr:uid="{00000000-0005-0000-0000-0000A87B0000}"/>
    <cellStyle name="Migliaia 32 7" xfId="12123" xr:uid="{00000000-0005-0000-0000-0000A97B0000}"/>
    <cellStyle name="Migliaia 32 7 2" xfId="30308" xr:uid="{00000000-0005-0000-0000-0000AA7B0000}"/>
    <cellStyle name="Migliaia 32 8" xfId="19422" xr:uid="{00000000-0005-0000-0000-0000AB7B0000}"/>
    <cellStyle name="Migliaia 32 8 2" xfId="37386" xr:uid="{00000000-0005-0000-0000-0000AC7B0000}"/>
    <cellStyle name="Migliaia 32 9" xfId="3303" xr:uid="{00000000-0005-0000-0000-0000AD7B0000}"/>
    <cellStyle name="Migliaia 32 9 2" xfId="23303" xr:uid="{00000000-0005-0000-0000-0000AE7B0000}"/>
    <cellStyle name="Migliaia 33" xfId="603" xr:uid="{00000000-0005-0000-0000-0000AF7B0000}"/>
    <cellStyle name="Migliaia 33 10" xfId="21533" xr:uid="{00000000-0005-0000-0000-0000B07B0000}"/>
    <cellStyle name="Migliaia 33 11" xfId="38349" xr:uid="{00000000-0005-0000-0000-0000B17B0000}"/>
    <cellStyle name="Migliaia 33 12" xfId="39211" xr:uid="{00000000-0005-0000-0000-0000B27B0000}"/>
    <cellStyle name="Migliaia 33 13" xfId="39686" xr:uid="{00000000-0005-0000-0000-0000B37B0000}"/>
    <cellStyle name="Migliaia 33 14" xfId="40172" xr:uid="{00000000-0005-0000-0000-0000B47B0000}"/>
    <cellStyle name="Migliaia 33 2" xfId="604" xr:uid="{00000000-0005-0000-0000-0000B57B0000}"/>
    <cellStyle name="Migliaia 33 2 10" xfId="39687" xr:uid="{00000000-0005-0000-0000-0000B67B0000}"/>
    <cellStyle name="Migliaia 33 2 11" xfId="40173" xr:uid="{00000000-0005-0000-0000-0000B77B0000}"/>
    <cellStyle name="Migliaia 33 2 2" xfId="3564" xr:uid="{00000000-0005-0000-0000-0000B87B0000}"/>
    <cellStyle name="Migliaia 33 2 2 2" xfId="12325" xr:uid="{00000000-0005-0000-0000-0000B97B0000}"/>
    <cellStyle name="Migliaia 33 2 2 2 2" xfId="30495" xr:uid="{00000000-0005-0000-0000-0000BA7B0000}"/>
    <cellStyle name="Migliaia 33 2 2 3" xfId="20551" xr:uid="{00000000-0005-0000-0000-0000BB7B0000}"/>
    <cellStyle name="Migliaia 33 2 2 3 2" xfId="37868" xr:uid="{00000000-0005-0000-0000-0000BC7B0000}"/>
    <cellStyle name="Migliaia 33 2 2 4" xfId="23493" xr:uid="{00000000-0005-0000-0000-0000BD7B0000}"/>
    <cellStyle name="Migliaia 33 2 2 5" xfId="38823" xr:uid="{00000000-0005-0000-0000-0000BE7B0000}"/>
    <cellStyle name="Migliaia 33 2 2 6" xfId="39409" xr:uid="{00000000-0005-0000-0000-0000BF7B0000}"/>
    <cellStyle name="Migliaia 33 2 3" xfId="11497" xr:uid="{00000000-0005-0000-0000-0000C07B0000}"/>
    <cellStyle name="Migliaia 33 2 4" xfId="12128" xr:uid="{00000000-0005-0000-0000-0000C17B0000}"/>
    <cellStyle name="Migliaia 33 2 4 2" xfId="30313" xr:uid="{00000000-0005-0000-0000-0000C27B0000}"/>
    <cellStyle name="Migliaia 33 2 5" xfId="19431" xr:uid="{00000000-0005-0000-0000-0000C37B0000}"/>
    <cellStyle name="Migliaia 33 2 5 2" xfId="37395" xr:uid="{00000000-0005-0000-0000-0000C47B0000}"/>
    <cellStyle name="Migliaia 33 2 6" xfId="3308" xr:uid="{00000000-0005-0000-0000-0000C57B0000}"/>
    <cellStyle name="Migliaia 33 2 6 2" xfId="23308" xr:uid="{00000000-0005-0000-0000-0000C67B0000}"/>
    <cellStyle name="Migliaia 33 2 7" xfId="21534" xr:uid="{00000000-0005-0000-0000-0000C77B0000}"/>
    <cellStyle name="Migliaia 33 2 8" xfId="38350" xr:uid="{00000000-0005-0000-0000-0000C87B0000}"/>
    <cellStyle name="Migliaia 33 2 9" xfId="39212" xr:uid="{00000000-0005-0000-0000-0000C97B0000}"/>
    <cellStyle name="Migliaia 33 3" xfId="605" xr:uid="{00000000-0005-0000-0000-0000CA7B0000}"/>
    <cellStyle name="Migliaia 33 3 10" xfId="39688" xr:uid="{00000000-0005-0000-0000-0000CB7B0000}"/>
    <cellStyle name="Migliaia 33 3 11" xfId="40174" xr:uid="{00000000-0005-0000-0000-0000CC7B0000}"/>
    <cellStyle name="Migliaia 33 3 2" xfId="606" xr:uid="{00000000-0005-0000-0000-0000CD7B0000}"/>
    <cellStyle name="Migliaia 33 3 2 10" xfId="40175" xr:uid="{00000000-0005-0000-0000-0000CE7B0000}"/>
    <cellStyle name="Migliaia 33 3 2 2" xfId="11499" xr:uid="{00000000-0005-0000-0000-0000CF7B0000}"/>
    <cellStyle name="Migliaia 33 3 2 3" xfId="12130" xr:uid="{00000000-0005-0000-0000-0000D07B0000}"/>
    <cellStyle name="Migliaia 33 3 2 3 2" xfId="30315" xr:uid="{00000000-0005-0000-0000-0000D17B0000}"/>
    <cellStyle name="Migliaia 33 3 2 4" xfId="19433" xr:uid="{00000000-0005-0000-0000-0000D27B0000}"/>
    <cellStyle name="Migliaia 33 3 2 4 2" xfId="37397" xr:uid="{00000000-0005-0000-0000-0000D37B0000}"/>
    <cellStyle name="Migliaia 33 3 2 5" xfId="3310" xr:uid="{00000000-0005-0000-0000-0000D47B0000}"/>
    <cellStyle name="Migliaia 33 3 2 5 2" xfId="23310" xr:uid="{00000000-0005-0000-0000-0000D57B0000}"/>
    <cellStyle name="Migliaia 33 3 2 6" xfId="21536" xr:uid="{00000000-0005-0000-0000-0000D67B0000}"/>
    <cellStyle name="Migliaia 33 3 2 7" xfId="38352" xr:uid="{00000000-0005-0000-0000-0000D77B0000}"/>
    <cellStyle name="Migliaia 33 3 2 8" xfId="39214" xr:uid="{00000000-0005-0000-0000-0000D87B0000}"/>
    <cellStyle name="Migliaia 33 3 2 9" xfId="39689" xr:uid="{00000000-0005-0000-0000-0000D97B0000}"/>
    <cellStyle name="Migliaia 33 3 3" xfId="11498" xr:uid="{00000000-0005-0000-0000-0000DA7B0000}"/>
    <cellStyle name="Migliaia 33 3 3 2" xfId="20553" xr:uid="{00000000-0005-0000-0000-0000DB7B0000}"/>
    <cellStyle name="Migliaia 33 3 3 2 2" xfId="37870" xr:uid="{00000000-0005-0000-0000-0000DC7B0000}"/>
    <cellStyle name="Migliaia 33 3 3 2 3" xfId="38825" xr:uid="{00000000-0005-0000-0000-0000DD7B0000}"/>
    <cellStyle name="Migliaia 33 3 3 3" xfId="19434" xr:uid="{00000000-0005-0000-0000-0000DE7B0000}"/>
    <cellStyle name="Migliaia 33 3 3 3 2" xfId="37398" xr:uid="{00000000-0005-0000-0000-0000DF7B0000}"/>
    <cellStyle name="Migliaia 33 3 3 4" xfId="38353" xr:uid="{00000000-0005-0000-0000-0000E07B0000}"/>
    <cellStyle name="Migliaia 33 3 4" xfId="12129" xr:uid="{00000000-0005-0000-0000-0000E17B0000}"/>
    <cellStyle name="Migliaia 33 3 4 2" xfId="20552" xr:uid="{00000000-0005-0000-0000-0000E27B0000}"/>
    <cellStyle name="Migliaia 33 3 4 2 2" xfId="37869" xr:uid="{00000000-0005-0000-0000-0000E37B0000}"/>
    <cellStyle name="Migliaia 33 3 4 3" xfId="30314" xr:uid="{00000000-0005-0000-0000-0000E47B0000}"/>
    <cellStyle name="Migliaia 33 3 4 4" xfId="38824" xr:uid="{00000000-0005-0000-0000-0000E57B0000}"/>
    <cellStyle name="Migliaia 33 3 5" xfId="19432" xr:uid="{00000000-0005-0000-0000-0000E67B0000}"/>
    <cellStyle name="Migliaia 33 3 5 2" xfId="37396" xr:uid="{00000000-0005-0000-0000-0000E77B0000}"/>
    <cellStyle name="Migliaia 33 3 6" xfId="3309" xr:uid="{00000000-0005-0000-0000-0000E87B0000}"/>
    <cellStyle name="Migliaia 33 3 6 2" xfId="23309" xr:uid="{00000000-0005-0000-0000-0000E97B0000}"/>
    <cellStyle name="Migliaia 33 3 7" xfId="21535" xr:uid="{00000000-0005-0000-0000-0000EA7B0000}"/>
    <cellStyle name="Migliaia 33 3 8" xfId="38351" xr:uid="{00000000-0005-0000-0000-0000EB7B0000}"/>
    <cellStyle name="Migliaia 33 3 9" xfId="39213" xr:uid="{00000000-0005-0000-0000-0000EC7B0000}"/>
    <cellStyle name="Migliaia 33 4" xfId="607" xr:uid="{00000000-0005-0000-0000-0000ED7B0000}"/>
    <cellStyle name="Migliaia 33 4 2" xfId="19436" xr:uid="{00000000-0005-0000-0000-0000EE7B0000}"/>
    <cellStyle name="Migliaia 33 4 2 2" xfId="20555" xr:uid="{00000000-0005-0000-0000-0000EF7B0000}"/>
    <cellStyle name="Migliaia 33 4 2 2 2" xfId="37872" xr:uid="{00000000-0005-0000-0000-0000F07B0000}"/>
    <cellStyle name="Migliaia 33 4 2 2 3" xfId="38827" xr:uid="{00000000-0005-0000-0000-0000F17B0000}"/>
    <cellStyle name="Migliaia 33 4 2 3" xfId="37400" xr:uid="{00000000-0005-0000-0000-0000F27B0000}"/>
    <cellStyle name="Migliaia 33 4 2 4" xfId="38355" xr:uid="{00000000-0005-0000-0000-0000F37B0000}"/>
    <cellStyle name="Migliaia 33 4 3" xfId="20554" xr:uid="{00000000-0005-0000-0000-0000F47B0000}"/>
    <cellStyle name="Migliaia 33 4 3 2" xfId="37871" xr:uid="{00000000-0005-0000-0000-0000F57B0000}"/>
    <cellStyle name="Migliaia 33 4 3 3" xfId="38826" xr:uid="{00000000-0005-0000-0000-0000F67B0000}"/>
    <cellStyle name="Migliaia 33 4 4" xfId="19435" xr:uid="{00000000-0005-0000-0000-0000F77B0000}"/>
    <cellStyle name="Migliaia 33 4 4 2" xfId="37399" xr:uid="{00000000-0005-0000-0000-0000F87B0000}"/>
    <cellStyle name="Migliaia 33 4 5" xfId="11500" xr:uid="{00000000-0005-0000-0000-0000F97B0000}"/>
    <cellStyle name="Migliaia 33 4 6" xfId="21537" xr:uid="{00000000-0005-0000-0000-0000FA7B0000}"/>
    <cellStyle name="Migliaia 33 4 7" xfId="38354" xr:uid="{00000000-0005-0000-0000-0000FB7B0000}"/>
    <cellStyle name="Migliaia 33 4 8" xfId="39690" xr:uid="{00000000-0005-0000-0000-0000FC7B0000}"/>
    <cellStyle name="Migliaia 33 4 9" xfId="40176" xr:uid="{00000000-0005-0000-0000-0000FD7B0000}"/>
    <cellStyle name="Migliaia 33 5" xfId="608" xr:uid="{00000000-0005-0000-0000-0000FE7B0000}"/>
    <cellStyle name="Migliaia 33 5 2" xfId="19437" xr:uid="{00000000-0005-0000-0000-0000FF7B0000}"/>
    <cellStyle name="Migliaia 33 5 2 2" xfId="37401" xr:uid="{00000000-0005-0000-0000-0000007C0000}"/>
    <cellStyle name="Migliaia 33 5 3" xfId="11501" xr:uid="{00000000-0005-0000-0000-0000017C0000}"/>
    <cellStyle name="Migliaia 33 5 4" xfId="21538" xr:uid="{00000000-0005-0000-0000-0000027C0000}"/>
    <cellStyle name="Migliaia 33 5 5" xfId="38356" xr:uid="{00000000-0005-0000-0000-0000037C0000}"/>
    <cellStyle name="Migliaia 33 5 6" xfId="39691" xr:uid="{00000000-0005-0000-0000-0000047C0000}"/>
    <cellStyle name="Migliaia 33 5 7" xfId="40177" xr:uid="{00000000-0005-0000-0000-0000057C0000}"/>
    <cellStyle name="Migliaia 33 6" xfId="609" xr:uid="{00000000-0005-0000-0000-0000067C0000}"/>
    <cellStyle name="Migliaia 33 6 2" xfId="11496" xr:uid="{00000000-0005-0000-0000-0000077C0000}"/>
    <cellStyle name="Migliaia 33 6 3" xfId="21539" xr:uid="{00000000-0005-0000-0000-0000087C0000}"/>
    <cellStyle name="Migliaia 33 6 4" xfId="39692" xr:uid="{00000000-0005-0000-0000-0000097C0000}"/>
    <cellStyle name="Migliaia 33 6 5" xfId="40178" xr:uid="{00000000-0005-0000-0000-00000A7C0000}"/>
    <cellStyle name="Migliaia 33 7" xfId="12127" xr:uid="{00000000-0005-0000-0000-00000B7C0000}"/>
    <cellStyle name="Migliaia 33 7 2" xfId="30312" xr:uid="{00000000-0005-0000-0000-00000C7C0000}"/>
    <cellStyle name="Migliaia 33 8" xfId="19430" xr:uid="{00000000-0005-0000-0000-00000D7C0000}"/>
    <cellStyle name="Migliaia 33 8 2" xfId="37394" xr:uid="{00000000-0005-0000-0000-00000E7C0000}"/>
    <cellStyle name="Migliaia 33 9" xfId="3307" xr:uid="{00000000-0005-0000-0000-00000F7C0000}"/>
    <cellStyle name="Migliaia 33 9 2" xfId="23307" xr:uid="{00000000-0005-0000-0000-0000107C0000}"/>
    <cellStyle name="Migliaia 34" xfId="610" xr:uid="{00000000-0005-0000-0000-0000117C0000}"/>
    <cellStyle name="Migliaia 34 10" xfId="21540" xr:uid="{00000000-0005-0000-0000-0000127C0000}"/>
    <cellStyle name="Migliaia 34 11" xfId="38357" xr:uid="{00000000-0005-0000-0000-0000137C0000}"/>
    <cellStyle name="Migliaia 34 12" xfId="39215" xr:uid="{00000000-0005-0000-0000-0000147C0000}"/>
    <cellStyle name="Migliaia 34 13" xfId="39693" xr:uid="{00000000-0005-0000-0000-0000157C0000}"/>
    <cellStyle name="Migliaia 34 14" xfId="40179" xr:uid="{00000000-0005-0000-0000-0000167C0000}"/>
    <cellStyle name="Migliaia 34 2" xfId="611" xr:uid="{00000000-0005-0000-0000-0000177C0000}"/>
    <cellStyle name="Migliaia 34 2 10" xfId="39694" xr:uid="{00000000-0005-0000-0000-0000187C0000}"/>
    <cellStyle name="Migliaia 34 2 11" xfId="40180" xr:uid="{00000000-0005-0000-0000-0000197C0000}"/>
    <cellStyle name="Migliaia 34 2 2" xfId="3565" xr:uid="{00000000-0005-0000-0000-00001A7C0000}"/>
    <cellStyle name="Migliaia 34 2 2 2" xfId="12326" xr:uid="{00000000-0005-0000-0000-00001B7C0000}"/>
    <cellStyle name="Migliaia 34 2 2 2 2" xfId="30496" xr:uid="{00000000-0005-0000-0000-00001C7C0000}"/>
    <cellStyle name="Migliaia 34 2 2 3" xfId="20556" xr:uid="{00000000-0005-0000-0000-00001D7C0000}"/>
    <cellStyle name="Migliaia 34 2 2 3 2" xfId="37873" xr:uid="{00000000-0005-0000-0000-00001E7C0000}"/>
    <cellStyle name="Migliaia 34 2 2 4" xfId="23494" xr:uid="{00000000-0005-0000-0000-00001F7C0000}"/>
    <cellStyle name="Migliaia 34 2 2 5" xfId="38828" xr:uid="{00000000-0005-0000-0000-0000207C0000}"/>
    <cellStyle name="Migliaia 34 2 2 6" xfId="39410" xr:uid="{00000000-0005-0000-0000-0000217C0000}"/>
    <cellStyle name="Migliaia 34 2 3" xfId="11503" xr:uid="{00000000-0005-0000-0000-0000227C0000}"/>
    <cellStyle name="Migliaia 34 2 4" xfId="12132" xr:uid="{00000000-0005-0000-0000-0000237C0000}"/>
    <cellStyle name="Migliaia 34 2 4 2" xfId="30317" xr:uid="{00000000-0005-0000-0000-0000247C0000}"/>
    <cellStyle name="Migliaia 34 2 5" xfId="19439" xr:uid="{00000000-0005-0000-0000-0000257C0000}"/>
    <cellStyle name="Migliaia 34 2 5 2" xfId="37403" xr:uid="{00000000-0005-0000-0000-0000267C0000}"/>
    <cellStyle name="Migliaia 34 2 6" xfId="3312" xr:uid="{00000000-0005-0000-0000-0000277C0000}"/>
    <cellStyle name="Migliaia 34 2 6 2" xfId="23312" xr:uid="{00000000-0005-0000-0000-0000287C0000}"/>
    <cellStyle name="Migliaia 34 2 7" xfId="21541" xr:uid="{00000000-0005-0000-0000-0000297C0000}"/>
    <cellStyle name="Migliaia 34 2 8" xfId="38358" xr:uid="{00000000-0005-0000-0000-00002A7C0000}"/>
    <cellStyle name="Migliaia 34 2 9" xfId="39216" xr:uid="{00000000-0005-0000-0000-00002B7C0000}"/>
    <cellStyle name="Migliaia 34 3" xfId="612" xr:uid="{00000000-0005-0000-0000-00002C7C0000}"/>
    <cellStyle name="Migliaia 34 3 10" xfId="39695" xr:uid="{00000000-0005-0000-0000-00002D7C0000}"/>
    <cellStyle name="Migliaia 34 3 11" xfId="40181" xr:uid="{00000000-0005-0000-0000-00002E7C0000}"/>
    <cellStyle name="Migliaia 34 3 2" xfId="613" xr:uid="{00000000-0005-0000-0000-00002F7C0000}"/>
    <cellStyle name="Migliaia 34 3 2 10" xfId="40182" xr:uid="{00000000-0005-0000-0000-0000307C0000}"/>
    <cellStyle name="Migliaia 34 3 2 2" xfId="11505" xr:uid="{00000000-0005-0000-0000-0000317C0000}"/>
    <cellStyle name="Migliaia 34 3 2 3" xfId="12134" xr:uid="{00000000-0005-0000-0000-0000327C0000}"/>
    <cellStyle name="Migliaia 34 3 2 3 2" xfId="30319" xr:uid="{00000000-0005-0000-0000-0000337C0000}"/>
    <cellStyle name="Migliaia 34 3 2 4" xfId="19441" xr:uid="{00000000-0005-0000-0000-0000347C0000}"/>
    <cellStyle name="Migliaia 34 3 2 4 2" xfId="37405" xr:uid="{00000000-0005-0000-0000-0000357C0000}"/>
    <cellStyle name="Migliaia 34 3 2 5" xfId="3314" xr:uid="{00000000-0005-0000-0000-0000367C0000}"/>
    <cellStyle name="Migliaia 34 3 2 5 2" xfId="23314" xr:uid="{00000000-0005-0000-0000-0000377C0000}"/>
    <cellStyle name="Migliaia 34 3 2 6" xfId="21543" xr:uid="{00000000-0005-0000-0000-0000387C0000}"/>
    <cellStyle name="Migliaia 34 3 2 7" xfId="38360" xr:uid="{00000000-0005-0000-0000-0000397C0000}"/>
    <cellStyle name="Migliaia 34 3 2 8" xfId="39218" xr:uid="{00000000-0005-0000-0000-00003A7C0000}"/>
    <cellStyle name="Migliaia 34 3 2 9" xfId="39696" xr:uid="{00000000-0005-0000-0000-00003B7C0000}"/>
    <cellStyle name="Migliaia 34 3 3" xfId="11504" xr:uid="{00000000-0005-0000-0000-00003C7C0000}"/>
    <cellStyle name="Migliaia 34 3 3 2" xfId="20558" xr:uid="{00000000-0005-0000-0000-00003D7C0000}"/>
    <cellStyle name="Migliaia 34 3 3 2 2" xfId="37875" xr:uid="{00000000-0005-0000-0000-00003E7C0000}"/>
    <cellStyle name="Migliaia 34 3 3 2 3" xfId="38830" xr:uid="{00000000-0005-0000-0000-00003F7C0000}"/>
    <cellStyle name="Migliaia 34 3 3 3" xfId="19442" xr:uid="{00000000-0005-0000-0000-0000407C0000}"/>
    <cellStyle name="Migliaia 34 3 3 3 2" xfId="37406" xr:uid="{00000000-0005-0000-0000-0000417C0000}"/>
    <cellStyle name="Migliaia 34 3 3 4" xfId="38361" xr:uid="{00000000-0005-0000-0000-0000427C0000}"/>
    <cellStyle name="Migliaia 34 3 4" xfId="12133" xr:uid="{00000000-0005-0000-0000-0000437C0000}"/>
    <cellStyle name="Migliaia 34 3 4 2" xfId="20557" xr:uid="{00000000-0005-0000-0000-0000447C0000}"/>
    <cellStyle name="Migliaia 34 3 4 2 2" xfId="37874" xr:uid="{00000000-0005-0000-0000-0000457C0000}"/>
    <cellStyle name="Migliaia 34 3 4 3" xfId="30318" xr:uid="{00000000-0005-0000-0000-0000467C0000}"/>
    <cellStyle name="Migliaia 34 3 4 4" xfId="38829" xr:uid="{00000000-0005-0000-0000-0000477C0000}"/>
    <cellStyle name="Migliaia 34 3 5" xfId="19440" xr:uid="{00000000-0005-0000-0000-0000487C0000}"/>
    <cellStyle name="Migliaia 34 3 5 2" xfId="37404" xr:uid="{00000000-0005-0000-0000-0000497C0000}"/>
    <cellStyle name="Migliaia 34 3 6" xfId="3313" xr:uid="{00000000-0005-0000-0000-00004A7C0000}"/>
    <cellStyle name="Migliaia 34 3 6 2" xfId="23313" xr:uid="{00000000-0005-0000-0000-00004B7C0000}"/>
    <cellStyle name="Migliaia 34 3 7" xfId="21542" xr:uid="{00000000-0005-0000-0000-00004C7C0000}"/>
    <cellStyle name="Migliaia 34 3 8" xfId="38359" xr:uid="{00000000-0005-0000-0000-00004D7C0000}"/>
    <cellStyle name="Migliaia 34 3 9" xfId="39217" xr:uid="{00000000-0005-0000-0000-00004E7C0000}"/>
    <cellStyle name="Migliaia 34 4" xfId="614" xr:uid="{00000000-0005-0000-0000-00004F7C0000}"/>
    <cellStyle name="Migliaia 34 4 2" xfId="19444" xr:uid="{00000000-0005-0000-0000-0000507C0000}"/>
    <cellStyle name="Migliaia 34 4 2 2" xfId="20560" xr:uid="{00000000-0005-0000-0000-0000517C0000}"/>
    <cellStyle name="Migliaia 34 4 2 2 2" xfId="37877" xr:uid="{00000000-0005-0000-0000-0000527C0000}"/>
    <cellStyle name="Migliaia 34 4 2 2 3" xfId="38832" xr:uid="{00000000-0005-0000-0000-0000537C0000}"/>
    <cellStyle name="Migliaia 34 4 2 3" xfId="37408" xr:uid="{00000000-0005-0000-0000-0000547C0000}"/>
    <cellStyle name="Migliaia 34 4 2 4" xfId="38363" xr:uid="{00000000-0005-0000-0000-0000557C0000}"/>
    <cellStyle name="Migliaia 34 4 3" xfId="20559" xr:uid="{00000000-0005-0000-0000-0000567C0000}"/>
    <cellStyle name="Migliaia 34 4 3 2" xfId="37876" xr:uid="{00000000-0005-0000-0000-0000577C0000}"/>
    <cellStyle name="Migliaia 34 4 3 3" xfId="38831" xr:uid="{00000000-0005-0000-0000-0000587C0000}"/>
    <cellStyle name="Migliaia 34 4 4" xfId="19443" xr:uid="{00000000-0005-0000-0000-0000597C0000}"/>
    <cellStyle name="Migliaia 34 4 4 2" xfId="37407" xr:uid="{00000000-0005-0000-0000-00005A7C0000}"/>
    <cellStyle name="Migliaia 34 4 5" xfId="11506" xr:uid="{00000000-0005-0000-0000-00005B7C0000}"/>
    <cellStyle name="Migliaia 34 4 6" xfId="21544" xr:uid="{00000000-0005-0000-0000-00005C7C0000}"/>
    <cellStyle name="Migliaia 34 4 7" xfId="38362" xr:uid="{00000000-0005-0000-0000-00005D7C0000}"/>
    <cellStyle name="Migliaia 34 4 8" xfId="39697" xr:uid="{00000000-0005-0000-0000-00005E7C0000}"/>
    <cellStyle name="Migliaia 34 4 9" xfId="40183" xr:uid="{00000000-0005-0000-0000-00005F7C0000}"/>
    <cellStyle name="Migliaia 34 5" xfId="615" xr:uid="{00000000-0005-0000-0000-0000607C0000}"/>
    <cellStyle name="Migliaia 34 5 2" xfId="19445" xr:uid="{00000000-0005-0000-0000-0000617C0000}"/>
    <cellStyle name="Migliaia 34 5 2 2" xfId="37409" xr:uid="{00000000-0005-0000-0000-0000627C0000}"/>
    <cellStyle name="Migliaia 34 5 3" xfId="11507" xr:uid="{00000000-0005-0000-0000-0000637C0000}"/>
    <cellStyle name="Migliaia 34 5 4" xfId="21545" xr:uid="{00000000-0005-0000-0000-0000647C0000}"/>
    <cellStyle name="Migliaia 34 5 5" xfId="38364" xr:uid="{00000000-0005-0000-0000-0000657C0000}"/>
    <cellStyle name="Migliaia 34 5 6" xfId="39698" xr:uid="{00000000-0005-0000-0000-0000667C0000}"/>
    <cellStyle name="Migliaia 34 5 7" xfId="40184" xr:uid="{00000000-0005-0000-0000-0000677C0000}"/>
    <cellStyle name="Migliaia 34 6" xfId="616" xr:uid="{00000000-0005-0000-0000-0000687C0000}"/>
    <cellStyle name="Migliaia 34 6 2" xfId="11502" xr:uid="{00000000-0005-0000-0000-0000697C0000}"/>
    <cellStyle name="Migliaia 34 6 3" xfId="21546" xr:uid="{00000000-0005-0000-0000-00006A7C0000}"/>
    <cellStyle name="Migliaia 34 6 4" xfId="39699" xr:uid="{00000000-0005-0000-0000-00006B7C0000}"/>
    <cellStyle name="Migliaia 34 6 5" xfId="40185" xr:uid="{00000000-0005-0000-0000-00006C7C0000}"/>
    <cellStyle name="Migliaia 34 7" xfId="12131" xr:uid="{00000000-0005-0000-0000-00006D7C0000}"/>
    <cellStyle name="Migliaia 34 7 2" xfId="30316" xr:uid="{00000000-0005-0000-0000-00006E7C0000}"/>
    <cellStyle name="Migliaia 34 8" xfId="19438" xr:uid="{00000000-0005-0000-0000-00006F7C0000}"/>
    <cellStyle name="Migliaia 34 8 2" xfId="37402" xr:uid="{00000000-0005-0000-0000-0000707C0000}"/>
    <cellStyle name="Migliaia 34 9" xfId="3311" xr:uid="{00000000-0005-0000-0000-0000717C0000}"/>
    <cellStyle name="Migliaia 34 9 2" xfId="23311" xr:uid="{00000000-0005-0000-0000-0000727C0000}"/>
    <cellStyle name="Migliaia 35" xfId="617" xr:uid="{00000000-0005-0000-0000-0000737C0000}"/>
    <cellStyle name="Migliaia 35 10" xfId="21547" xr:uid="{00000000-0005-0000-0000-0000747C0000}"/>
    <cellStyle name="Migliaia 35 11" xfId="38365" xr:uid="{00000000-0005-0000-0000-0000757C0000}"/>
    <cellStyle name="Migliaia 35 12" xfId="39219" xr:uid="{00000000-0005-0000-0000-0000767C0000}"/>
    <cellStyle name="Migliaia 35 13" xfId="39700" xr:uid="{00000000-0005-0000-0000-0000777C0000}"/>
    <cellStyle name="Migliaia 35 14" xfId="40186" xr:uid="{00000000-0005-0000-0000-0000787C0000}"/>
    <cellStyle name="Migliaia 35 2" xfId="618" xr:uid="{00000000-0005-0000-0000-0000797C0000}"/>
    <cellStyle name="Migliaia 35 2 10" xfId="39701" xr:uid="{00000000-0005-0000-0000-00007A7C0000}"/>
    <cellStyle name="Migliaia 35 2 11" xfId="40187" xr:uid="{00000000-0005-0000-0000-00007B7C0000}"/>
    <cellStyle name="Migliaia 35 2 2" xfId="3566" xr:uid="{00000000-0005-0000-0000-00007C7C0000}"/>
    <cellStyle name="Migliaia 35 2 2 2" xfId="12327" xr:uid="{00000000-0005-0000-0000-00007D7C0000}"/>
    <cellStyle name="Migliaia 35 2 2 2 2" xfId="30497" xr:uid="{00000000-0005-0000-0000-00007E7C0000}"/>
    <cellStyle name="Migliaia 35 2 2 3" xfId="20561" xr:uid="{00000000-0005-0000-0000-00007F7C0000}"/>
    <cellStyle name="Migliaia 35 2 2 3 2" xfId="37878" xr:uid="{00000000-0005-0000-0000-0000807C0000}"/>
    <cellStyle name="Migliaia 35 2 2 4" xfId="23495" xr:uid="{00000000-0005-0000-0000-0000817C0000}"/>
    <cellStyle name="Migliaia 35 2 2 5" xfId="38833" xr:uid="{00000000-0005-0000-0000-0000827C0000}"/>
    <cellStyle name="Migliaia 35 2 2 6" xfId="39411" xr:uid="{00000000-0005-0000-0000-0000837C0000}"/>
    <cellStyle name="Migliaia 35 2 3" xfId="11509" xr:uid="{00000000-0005-0000-0000-0000847C0000}"/>
    <cellStyle name="Migliaia 35 2 4" xfId="12136" xr:uid="{00000000-0005-0000-0000-0000857C0000}"/>
    <cellStyle name="Migliaia 35 2 4 2" xfId="30321" xr:uid="{00000000-0005-0000-0000-0000867C0000}"/>
    <cellStyle name="Migliaia 35 2 5" xfId="19447" xr:uid="{00000000-0005-0000-0000-0000877C0000}"/>
    <cellStyle name="Migliaia 35 2 5 2" xfId="37411" xr:uid="{00000000-0005-0000-0000-0000887C0000}"/>
    <cellStyle name="Migliaia 35 2 6" xfId="3316" xr:uid="{00000000-0005-0000-0000-0000897C0000}"/>
    <cellStyle name="Migliaia 35 2 6 2" xfId="23316" xr:uid="{00000000-0005-0000-0000-00008A7C0000}"/>
    <cellStyle name="Migliaia 35 2 7" xfId="21548" xr:uid="{00000000-0005-0000-0000-00008B7C0000}"/>
    <cellStyle name="Migliaia 35 2 8" xfId="38366" xr:uid="{00000000-0005-0000-0000-00008C7C0000}"/>
    <cellStyle name="Migliaia 35 2 9" xfId="39220" xr:uid="{00000000-0005-0000-0000-00008D7C0000}"/>
    <cellStyle name="Migliaia 35 3" xfId="619" xr:uid="{00000000-0005-0000-0000-00008E7C0000}"/>
    <cellStyle name="Migliaia 35 3 10" xfId="39702" xr:uid="{00000000-0005-0000-0000-00008F7C0000}"/>
    <cellStyle name="Migliaia 35 3 11" xfId="40188" xr:uid="{00000000-0005-0000-0000-0000907C0000}"/>
    <cellStyle name="Migliaia 35 3 2" xfId="620" xr:uid="{00000000-0005-0000-0000-0000917C0000}"/>
    <cellStyle name="Migliaia 35 3 2 10" xfId="40189" xr:uid="{00000000-0005-0000-0000-0000927C0000}"/>
    <cellStyle name="Migliaia 35 3 2 2" xfId="11511" xr:uid="{00000000-0005-0000-0000-0000937C0000}"/>
    <cellStyle name="Migliaia 35 3 2 3" xfId="12138" xr:uid="{00000000-0005-0000-0000-0000947C0000}"/>
    <cellStyle name="Migliaia 35 3 2 3 2" xfId="30323" xr:uid="{00000000-0005-0000-0000-0000957C0000}"/>
    <cellStyle name="Migliaia 35 3 2 4" xfId="19449" xr:uid="{00000000-0005-0000-0000-0000967C0000}"/>
    <cellStyle name="Migliaia 35 3 2 4 2" xfId="37413" xr:uid="{00000000-0005-0000-0000-0000977C0000}"/>
    <cellStyle name="Migliaia 35 3 2 5" xfId="3318" xr:uid="{00000000-0005-0000-0000-0000987C0000}"/>
    <cellStyle name="Migliaia 35 3 2 5 2" xfId="23318" xr:uid="{00000000-0005-0000-0000-0000997C0000}"/>
    <cellStyle name="Migliaia 35 3 2 6" xfId="21550" xr:uid="{00000000-0005-0000-0000-00009A7C0000}"/>
    <cellStyle name="Migliaia 35 3 2 7" xfId="38368" xr:uid="{00000000-0005-0000-0000-00009B7C0000}"/>
    <cellStyle name="Migliaia 35 3 2 8" xfId="39222" xr:uid="{00000000-0005-0000-0000-00009C7C0000}"/>
    <cellStyle name="Migliaia 35 3 2 9" xfId="39703" xr:uid="{00000000-0005-0000-0000-00009D7C0000}"/>
    <cellStyle name="Migliaia 35 3 3" xfId="11510" xr:uid="{00000000-0005-0000-0000-00009E7C0000}"/>
    <cellStyle name="Migliaia 35 3 3 2" xfId="20563" xr:uid="{00000000-0005-0000-0000-00009F7C0000}"/>
    <cellStyle name="Migliaia 35 3 3 2 2" xfId="37880" xr:uid="{00000000-0005-0000-0000-0000A07C0000}"/>
    <cellStyle name="Migliaia 35 3 3 2 3" xfId="38835" xr:uid="{00000000-0005-0000-0000-0000A17C0000}"/>
    <cellStyle name="Migliaia 35 3 3 3" xfId="19450" xr:uid="{00000000-0005-0000-0000-0000A27C0000}"/>
    <cellStyle name="Migliaia 35 3 3 3 2" xfId="37414" xr:uid="{00000000-0005-0000-0000-0000A37C0000}"/>
    <cellStyle name="Migliaia 35 3 3 4" xfId="38369" xr:uid="{00000000-0005-0000-0000-0000A47C0000}"/>
    <cellStyle name="Migliaia 35 3 4" xfId="12137" xr:uid="{00000000-0005-0000-0000-0000A57C0000}"/>
    <cellStyle name="Migliaia 35 3 4 2" xfId="20562" xr:uid="{00000000-0005-0000-0000-0000A67C0000}"/>
    <cellStyle name="Migliaia 35 3 4 2 2" xfId="37879" xr:uid="{00000000-0005-0000-0000-0000A77C0000}"/>
    <cellStyle name="Migliaia 35 3 4 3" xfId="30322" xr:uid="{00000000-0005-0000-0000-0000A87C0000}"/>
    <cellStyle name="Migliaia 35 3 4 4" xfId="38834" xr:uid="{00000000-0005-0000-0000-0000A97C0000}"/>
    <cellStyle name="Migliaia 35 3 5" xfId="19448" xr:uid="{00000000-0005-0000-0000-0000AA7C0000}"/>
    <cellStyle name="Migliaia 35 3 5 2" xfId="37412" xr:uid="{00000000-0005-0000-0000-0000AB7C0000}"/>
    <cellStyle name="Migliaia 35 3 6" xfId="3317" xr:uid="{00000000-0005-0000-0000-0000AC7C0000}"/>
    <cellStyle name="Migliaia 35 3 6 2" xfId="23317" xr:uid="{00000000-0005-0000-0000-0000AD7C0000}"/>
    <cellStyle name="Migliaia 35 3 7" xfId="21549" xr:uid="{00000000-0005-0000-0000-0000AE7C0000}"/>
    <cellStyle name="Migliaia 35 3 8" xfId="38367" xr:uid="{00000000-0005-0000-0000-0000AF7C0000}"/>
    <cellStyle name="Migliaia 35 3 9" xfId="39221" xr:uid="{00000000-0005-0000-0000-0000B07C0000}"/>
    <cellStyle name="Migliaia 35 4" xfId="621" xr:uid="{00000000-0005-0000-0000-0000B17C0000}"/>
    <cellStyle name="Migliaia 35 4 2" xfId="19452" xr:uid="{00000000-0005-0000-0000-0000B27C0000}"/>
    <cellStyle name="Migliaia 35 4 2 2" xfId="20565" xr:uid="{00000000-0005-0000-0000-0000B37C0000}"/>
    <cellStyle name="Migliaia 35 4 2 2 2" xfId="37882" xr:uid="{00000000-0005-0000-0000-0000B47C0000}"/>
    <cellStyle name="Migliaia 35 4 2 2 3" xfId="38837" xr:uid="{00000000-0005-0000-0000-0000B57C0000}"/>
    <cellStyle name="Migliaia 35 4 2 3" xfId="37416" xr:uid="{00000000-0005-0000-0000-0000B67C0000}"/>
    <cellStyle name="Migliaia 35 4 2 4" xfId="38371" xr:uid="{00000000-0005-0000-0000-0000B77C0000}"/>
    <cellStyle name="Migliaia 35 4 3" xfId="20564" xr:uid="{00000000-0005-0000-0000-0000B87C0000}"/>
    <cellStyle name="Migliaia 35 4 3 2" xfId="37881" xr:uid="{00000000-0005-0000-0000-0000B97C0000}"/>
    <cellStyle name="Migliaia 35 4 3 3" xfId="38836" xr:uid="{00000000-0005-0000-0000-0000BA7C0000}"/>
    <cellStyle name="Migliaia 35 4 4" xfId="19451" xr:uid="{00000000-0005-0000-0000-0000BB7C0000}"/>
    <cellStyle name="Migliaia 35 4 4 2" xfId="37415" xr:uid="{00000000-0005-0000-0000-0000BC7C0000}"/>
    <cellStyle name="Migliaia 35 4 5" xfId="11512" xr:uid="{00000000-0005-0000-0000-0000BD7C0000}"/>
    <cellStyle name="Migliaia 35 4 6" xfId="21551" xr:uid="{00000000-0005-0000-0000-0000BE7C0000}"/>
    <cellStyle name="Migliaia 35 4 7" xfId="38370" xr:uid="{00000000-0005-0000-0000-0000BF7C0000}"/>
    <cellStyle name="Migliaia 35 4 8" xfId="39704" xr:uid="{00000000-0005-0000-0000-0000C07C0000}"/>
    <cellStyle name="Migliaia 35 4 9" xfId="40190" xr:uid="{00000000-0005-0000-0000-0000C17C0000}"/>
    <cellStyle name="Migliaia 35 5" xfId="622" xr:uid="{00000000-0005-0000-0000-0000C27C0000}"/>
    <cellStyle name="Migliaia 35 5 2" xfId="19453" xr:uid="{00000000-0005-0000-0000-0000C37C0000}"/>
    <cellStyle name="Migliaia 35 5 2 2" xfId="37417" xr:uid="{00000000-0005-0000-0000-0000C47C0000}"/>
    <cellStyle name="Migliaia 35 5 3" xfId="11513" xr:uid="{00000000-0005-0000-0000-0000C57C0000}"/>
    <cellStyle name="Migliaia 35 5 4" xfId="21552" xr:uid="{00000000-0005-0000-0000-0000C67C0000}"/>
    <cellStyle name="Migliaia 35 5 5" xfId="38372" xr:uid="{00000000-0005-0000-0000-0000C77C0000}"/>
    <cellStyle name="Migliaia 35 5 6" xfId="39705" xr:uid="{00000000-0005-0000-0000-0000C87C0000}"/>
    <cellStyle name="Migliaia 35 5 7" xfId="40191" xr:uid="{00000000-0005-0000-0000-0000C97C0000}"/>
    <cellStyle name="Migliaia 35 6" xfId="623" xr:uid="{00000000-0005-0000-0000-0000CA7C0000}"/>
    <cellStyle name="Migliaia 35 6 2" xfId="11508" xr:uid="{00000000-0005-0000-0000-0000CB7C0000}"/>
    <cellStyle name="Migliaia 35 6 3" xfId="21553" xr:uid="{00000000-0005-0000-0000-0000CC7C0000}"/>
    <cellStyle name="Migliaia 35 6 4" xfId="39706" xr:uid="{00000000-0005-0000-0000-0000CD7C0000}"/>
    <cellStyle name="Migliaia 35 6 5" xfId="40192" xr:uid="{00000000-0005-0000-0000-0000CE7C0000}"/>
    <cellStyle name="Migliaia 35 7" xfId="12135" xr:uid="{00000000-0005-0000-0000-0000CF7C0000}"/>
    <cellStyle name="Migliaia 35 7 2" xfId="30320" xr:uid="{00000000-0005-0000-0000-0000D07C0000}"/>
    <cellStyle name="Migliaia 35 8" xfId="19446" xr:uid="{00000000-0005-0000-0000-0000D17C0000}"/>
    <cellStyle name="Migliaia 35 8 2" xfId="37410" xr:uid="{00000000-0005-0000-0000-0000D27C0000}"/>
    <cellStyle name="Migliaia 35 9" xfId="3315" xr:uid="{00000000-0005-0000-0000-0000D37C0000}"/>
    <cellStyle name="Migliaia 35 9 2" xfId="23315" xr:uid="{00000000-0005-0000-0000-0000D47C0000}"/>
    <cellStyle name="Migliaia 36" xfId="624" xr:uid="{00000000-0005-0000-0000-0000D57C0000}"/>
    <cellStyle name="Migliaia 36 10" xfId="21554" xr:uid="{00000000-0005-0000-0000-0000D67C0000}"/>
    <cellStyle name="Migliaia 36 11" xfId="38373" xr:uid="{00000000-0005-0000-0000-0000D77C0000}"/>
    <cellStyle name="Migliaia 36 12" xfId="39223" xr:uid="{00000000-0005-0000-0000-0000D87C0000}"/>
    <cellStyle name="Migliaia 36 13" xfId="39707" xr:uid="{00000000-0005-0000-0000-0000D97C0000}"/>
    <cellStyle name="Migliaia 36 14" xfId="40193" xr:uid="{00000000-0005-0000-0000-0000DA7C0000}"/>
    <cellStyle name="Migliaia 36 2" xfId="625" xr:uid="{00000000-0005-0000-0000-0000DB7C0000}"/>
    <cellStyle name="Migliaia 36 2 10" xfId="39708" xr:uid="{00000000-0005-0000-0000-0000DC7C0000}"/>
    <cellStyle name="Migliaia 36 2 11" xfId="40194" xr:uid="{00000000-0005-0000-0000-0000DD7C0000}"/>
    <cellStyle name="Migliaia 36 2 2" xfId="3567" xr:uid="{00000000-0005-0000-0000-0000DE7C0000}"/>
    <cellStyle name="Migliaia 36 2 2 2" xfId="12328" xr:uid="{00000000-0005-0000-0000-0000DF7C0000}"/>
    <cellStyle name="Migliaia 36 2 2 2 2" xfId="30498" xr:uid="{00000000-0005-0000-0000-0000E07C0000}"/>
    <cellStyle name="Migliaia 36 2 2 3" xfId="20566" xr:uid="{00000000-0005-0000-0000-0000E17C0000}"/>
    <cellStyle name="Migliaia 36 2 2 3 2" xfId="37883" xr:uid="{00000000-0005-0000-0000-0000E27C0000}"/>
    <cellStyle name="Migliaia 36 2 2 4" xfId="23496" xr:uid="{00000000-0005-0000-0000-0000E37C0000}"/>
    <cellStyle name="Migliaia 36 2 2 5" xfId="38838" xr:uid="{00000000-0005-0000-0000-0000E47C0000}"/>
    <cellStyle name="Migliaia 36 2 2 6" xfId="39412" xr:uid="{00000000-0005-0000-0000-0000E57C0000}"/>
    <cellStyle name="Migliaia 36 2 3" xfId="11515" xr:uid="{00000000-0005-0000-0000-0000E67C0000}"/>
    <cellStyle name="Migliaia 36 2 4" xfId="12140" xr:uid="{00000000-0005-0000-0000-0000E77C0000}"/>
    <cellStyle name="Migliaia 36 2 4 2" xfId="30325" xr:uid="{00000000-0005-0000-0000-0000E87C0000}"/>
    <cellStyle name="Migliaia 36 2 5" xfId="19455" xr:uid="{00000000-0005-0000-0000-0000E97C0000}"/>
    <cellStyle name="Migliaia 36 2 5 2" xfId="37419" xr:uid="{00000000-0005-0000-0000-0000EA7C0000}"/>
    <cellStyle name="Migliaia 36 2 6" xfId="3320" xr:uid="{00000000-0005-0000-0000-0000EB7C0000}"/>
    <cellStyle name="Migliaia 36 2 6 2" xfId="23320" xr:uid="{00000000-0005-0000-0000-0000EC7C0000}"/>
    <cellStyle name="Migliaia 36 2 7" xfId="21555" xr:uid="{00000000-0005-0000-0000-0000ED7C0000}"/>
    <cellStyle name="Migliaia 36 2 8" xfId="38374" xr:uid="{00000000-0005-0000-0000-0000EE7C0000}"/>
    <cellStyle name="Migliaia 36 2 9" xfId="39224" xr:uid="{00000000-0005-0000-0000-0000EF7C0000}"/>
    <cellStyle name="Migliaia 36 3" xfId="626" xr:uid="{00000000-0005-0000-0000-0000F07C0000}"/>
    <cellStyle name="Migliaia 36 3 10" xfId="39709" xr:uid="{00000000-0005-0000-0000-0000F17C0000}"/>
    <cellStyle name="Migliaia 36 3 11" xfId="40195" xr:uid="{00000000-0005-0000-0000-0000F27C0000}"/>
    <cellStyle name="Migliaia 36 3 2" xfId="627" xr:uid="{00000000-0005-0000-0000-0000F37C0000}"/>
    <cellStyle name="Migliaia 36 3 2 10" xfId="40196" xr:uid="{00000000-0005-0000-0000-0000F47C0000}"/>
    <cellStyle name="Migliaia 36 3 2 2" xfId="11517" xr:uid="{00000000-0005-0000-0000-0000F57C0000}"/>
    <cellStyle name="Migliaia 36 3 2 3" xfId="12142" xr:uid="{00000000-0005-0000-0000-0000F67C0000}"/>
    <cellStyle name="Migliaia 36 3 2 3 2" xfId="30327" xr:uid="{00000000-0005-0000-0000-0000F77C0000}"/>
    <cellStyle name="Migliaia 36 3 2 4" xfId="19457" xr:uid="{00000000-0005-0000-0000-0000F87C0000}"/>
    <cellStyle name="Migliaia 36 3 2 4 2" xfId="37421" xr:uid="{00000000-0005-0000-0000-0000F97C0000}"/>
    <cellStyle name="Migliaia 36 3 2 5" xfId="3322" xr:uid="{00000000-0005-0000-0000-0000FA7C0000}"/>
    <cellStyle name="Migliaia 36 3 2 5 2" xfId="23322" xr:uid="{00000000-0005-0000-0000-0000FB7C0000}"/>
    <cellStyle name="Migliaia 36 3 2 6" xfId="21557" xr:uid="{00000000-0005-0000-0000-0000FC7C0000}"/>
    <cellStyle name="Migliaia 36 3 2 7" xfId="38376" xr:uid="{00000000-0005-0000-0000-0000FD7C0000}"/>
    <cellStyle name="Migliaia 36 3 2 8" xfId="39226" xr:uid="{00000000-0005-0000-0000-0000FE7C0000}"/>
    <cellStyle name="Migliaia 36 3 2 9" xfId="39710" xr:uid="{00000000-0005-0000-0000-0000FF7C0000}"/>
    <cellStyle name="Migliaia 36 3 3" xfId="11516" xr:uid="{00000000-0005-0000-0000-0000007D0000}"/>
    <cellStyle name="Migliaia 36 3 3 2" xfId="20568" xr:uid="{00000000-0005-0000-0000-0000017D0000}"/>
    <cellStyle name="Migliaia 36 3 3 2 2" xfId="37885" xr:uid="{00000000-0005-0000-0000-0000027D0000}"/>
    <cellStyle name="Migliaia 36 3 3 2 3" xfId="38840" xr:uid="{00000000-0005-0000-0000-0000037D0000}"/>
    <cellStyle name="Migliaia 36 3 3 3" xfId="19458" xr:uid="{00000000-0005-0000-0000-0000047D0000}"/>
    <cellStyle name="Migliaia 36 3 3 3 2" xfId="37422" xr:uid="{00000000-0005-0000-0000-0000057D0000}"/>
    <cellStyle name="Migliaia 36 3 3 4" xfId="38377" xr:uid="{00000000-0005-0000-0000-0000067D0000}"/>
    <cellStyle name="Migliaia 36 3 4" xfId="12141" xr:uid="{00000000-0005-0000-0000-0000077D0000}"/>
    <cellStyle name="Migliaia 36 3 4 2" xfId="20567" xr:uid="{00000000-0005-0000-0000-0000087D0000}"/>
    <cellStyle name="Migliaia 36 3 4 2 2" xfId="37884" xr:uid="{00000000-0005-0000-0000-0000097D0000}"/>
    <cellStyle name="Migliaia 36 3 4 3" xfId="30326" xr:uid="{00000000-0005-0000-0000-00000A7D0000}"/>
    <cellStyle name="Migliaia 36 3 4 4" xfId="38839" xr:uid="{00000000-0005-0000-0000-00000B7D0000}"/>
    <cellStyle name="Migliaia 36 3 5" xfId="19456" xr:uid="{00000000-0005-0000-0000-00000C7D0000}"/>
    <cellStyle name="Migliaia 36 3 5 2" xfId="37420" xr:uid="{00000000-0005-0000-0000-00000D7D0000}"/>
    <cellStyle name="Migliaia 36 3 6" xfId="3321" xr:uid="{00000000-0005-0000-0000-00000E7D0000}"/>
    <cellStyle name="Migliaia 36 3 6 2" xfId="23321" xr:uid="{00000000-0005-0000-0000-00000F7D0000}"/>
    <cellStyle name="Migliaia 36 3 7" xfId="21556" xr:uid="{00000000-0005-0000-0000-0000107D0000}"/>
    <cellStyle name="Migliaia 36 3 8" xfId="38375" xr:uid="{00000000-0005-0000-0000-0000117D0000}"/>
    <cellStyle name="Migliaia 36 3 9" xfId="39225" xr:uid="{00000000-0005-0000-0000-0000127D0000}"/>
    <cellStyle name="Migliaia 36 4" xfId="628" xr:uid="{00000000-0005-0000-0000-0000137D0000}"/>
    <cellStyle name="Migliaia 36 4 2" xfId="19460" xr:uid="{00000000-0005-0000-0000-0000147D0000}"/>
    <cellStyle name="Migliaia 36 4 2 2" xfId="20570" xr:uid="{00000000-0005-0000-0000-0000157D0000}"/>
    <cellStyle name="Migliaia 36 4 2 2 2" xfId="37887" xr:uid="{00000000-0005-0000-0000-0000167D0000}"/>
    <cellStyle name="Migliaia 36 4 2 2 3" xfId="38842" xr:uid="{00000000-0005-0000-0000-0000177D0000}"/>
    <cellStyle name="Migliaia 36 4 2 3" xfId="37424" xr:uid="{00000000-0005-0000-0000-0000187D0000}"/>
    <cellStyle name="Migliaia 36 4 2 4" xfId="38379" xr:uid="{00000000-0005-0000-0000-0000197D0000}"/>
    <cellStyle name="Migliaia 36 4 3" xfId="20569" xr:uid="{00000000-0005-0000-0000-00001A7D0000}"/>
    <cellStyle name="Migliaia 36 4 3 2" xfId="37886" xr:uid="{00000000-0005-0000-0000-00001B7D0000}"/>
    <cellStyle name="Migliaia 36 4 3 3" xfId="38841" xr:uid="{00000000-0005-0000-0000-00001C7D0000}"/>
    <cellStyle name="Migliaia 36 4 4" xfId="19459" xr:uid="{00000000-0005-0000-0000-00001D7D0000}"/>
    <cellStyle name="Migliaia 36 4 4 2" xfId="37423" xr:uid="{00000000-0005-0000-0000-00001E7D0000}"/>
    <cellStyle name="Migliaia 36 4 5" xfId="11518" xr:uid="{00000000-0005-0000-0000-00001F7D0000}"/>
    <cellStyle name="Migliaia 36 4 6" xfId="21558" xr:uid="{00000000-0005-0000-0000-0000207D0000}"/>
    <cellStyle name="Migliaia 36 4 7" xfId="38378" xr:uid="{00000000-0005-0000-0000-0000217D0000}"/>
    <cellStyle name="Migliaia 36 4 8" xfId="39711" xr:uid="{00000000-0005-0000-0000-0000227D0000}"/>
    <cellStyle name="Migliaia 36 4 9" xfId="40197" xr:uid="{00000000-0005-0000-0000-0000237D0000}"/>
    <cellStyle name="Migliaia 36 5" xfId="629" xr:uid="{00000000-0005-0000-0000-0000247D0000}"/>
    <cellStyle name="Migliaia 36 5 2" xfId="19461" xr:uid="{00000000-0005-0000-0000-0000257D0000}"/>
    <cellStyle name="Migliaia 36 5 2 2" xfId="37425" xr:uid="{00000000-0005-0000-0000-0000267D0000}"/>
    <cellStyle name="Migliaia 36 5 3" xfId="11519" xr:uid="{00000000-0005-0000-0000-0000277D0000}"/>
    <cellStyle name="Migliaia 36 5 4" xfId="21559" xr:uid="{00000000-0005-0000-0000-0000287D0000}"/>
    <cellStyle name="Migliaia 36 5 5" xfId="38380" xr:uid="{00000000-0005-0000-0000-0000297D0000}"/>
    <cellStyle name="Migliaia 36 5 6" xfId="39712" xr:uid="{00000000-0005-0000-0000-00002A7D0000}"/>
    <cellStyle name="Migliaia 36 5 7" xfId="40198" xr:uid="{00000000-0005-0000-0000-00002B7D0000}"/>
    <cellStyle name="Migliaia 36 6" xfId="630" xr:uid="{00000000-0005-0000-0000-00002C7D0000}"/>
    <cellStyle name="Migliaia 36 6 2" xfId="11514" xr:uid="{00000000-0005-0000-0000-00002D7D0000}"/>
    <cellStyle name="Migliaia 36 6 3" xfId="21560" xr:uid="{00000000-0005-0000-0000-00002E7D0000}"/>
    <cellStyle name="Migliaia 36 6 4" xfId="39713" xr:uid="{00000000-0005-0000-0000-00002F7D0000}"/>
    <cellStyle name="Migliaia 36 6 5" xfId="40199" xr:uid="{00000000-0005-0000-0000-0000307D0000}"/>
    <cellStyle name="Migliaia 36 7" xfId="12139" xr:uid="{00000000-0005-0000-0000-0000317D0000}"/>
    <cellStyle name="Migliaia 36 7 2" xfId="30324" xr:uid="{00000000-0005-0000-0000-0000327D0000}"/>
    <cellStyle name="Migliaia 36 8" xfId="19454" xr:uid="{00000000-0005-0000-0000-0000337D0000}"/>
    <cellStyle name="Migliaia 36 8 2" xfId="37418" xr:uid="{00000000-0005-0000-0000-0000347D0000}"/>
    <cellStyle name="Migliaia 36 9" xfId="3319" xr:uid="{00000000-0005-0000-0000-0000357D0000}"/>
    <cellStyle name="Migliaia 36 9 2" xfId="23319" xr:uid="{00000000-0005-0000-0000-0000367D0000}"/>
    <cellStyle name="Migliaia 37" xfId="631" xr:uid="{00000000-0005-0000-0000-0000377D0000}"/>
    <cellStyle name="Migliaia 37 10" xfId="21561" xr:uid="{00000000-0005-0000-0000-0000387D0000}"/>
    <cellStyle name="Migliaia 37 11" xfId="38381" xr:uid="{00000000-0005-0000-0000-0000397D0000}"/>
    <cellStyle name="Migliaia 37 12" xfId="39227" xr:uid="{00000000-0005-0000-0000-00003A7D0000}"/>
    <cellStyle name="Migliaia 37 13" xfId="39714" xr:uid="{00000000-0005-0000-0000-00003B7D0000}"/>
    <cellStyle name="Migliaia 37 14" xfId="40200" xr:uid="{00000000-0005-0000-0000-00003C7D0000}"/>
    <cellStyle name="Migliaia 37 2" xfId="632" xr:uid="{00000000-0005-0000-0000-00003D7D0000}"/>
    <cellStyle name="Migliaia 37 2 10" xfId="39715" xr:uid="{00000000-0005-0000-0000-00003E7D0000}"/>
    <cellStyle name="Migliaia 37 2 11" xfId="40201" xr:uid="{00000000-0005-0000-0000-00003F7D0000}"/>
    <cellStyle name="Migliaia 37 2 2" xfId="3568" xr:uid="{00000000-0005-0000-0000-0000407D0000}"/>
    <cellStyle name="Migliaia 37 2 2 2" xfId="12329" xr:uid="{00000000-0005-0000-0000-0000417D0000}"/>
    <cellStyle name="Migliaia 37 2 2 2 2" xfId="30499" xr:uid="{00000000-0005-0000-0000-0000427D0000}"/>
    <cellStyle name="Migliaia 37 2 2 3" xfId="20571" xr:uid="{00000000-0005-0000-0000-0000437D0000}"/>
    <cellStyle name="Migliaia 37 2 2 3 2" xfId="37888" xr:uid="{00000000-0005-0000-0000-0000447D0000}"/>
    <cellStyle name="Migliaia 37 2 2 4" xfId="23497" xr:uid="{00000000-0005-0000-0000-0000457D0000}"/>
    <cellStyle name="Migliaia 37 2 2 5" xfId="38843" xr:uid="{00000000-0005-0000-0000-0000467D0000}"/>
    <cellStyle name="Migliaia 37 2 2 6" xfId="39413" xr:uid="{00000000-0005-0000-0000-0000477D0000}"/>
    <cellStyle name="Migliaia 37 2 3" xfId="11521" xr:uid="{00000000-0005-0000-0000-0000487D0000}"/>
    <cellStyle name="Migliaia 37 2 4" xfId="12144" xr:uid="{00000000-0005-0000-0000-0000497D0000}"/>
    <cellStyle name="Migliaia 37 2 4 2" xfId="30329" xr:uid="{00000000-0005-0000-0000-00004A7D0000}"/>
    <cellStyle name="Migliaia 37 2 5" xfId="19463" xr:uid="{00000000-0005-0000-0000-00004B7D0000}"/>
    <cellStyle name="Migliaia 37 2 5 2" xfId="37427" xr:uid="{00000000-0005-0000-0000-00004C7D0000}"/>
    <cellStyle name="Migliaia 37 2 6" xfId="3324" xr:uid="{00000000-0005-0000-0000-00004D7D0000}"/>
    <cellStyle name="Migliaia 37 2 6 2" xfId="23324" xr:uid="{00000000-0005-0000-0000-00004E7D0000}"/>
    <cellStyle name="Migliaia 37 2 7" xfId="21562" xr:uid="{00000000-0005-0000-0000-00004F7D0000}"/>
    <cellStyle name="Migliaia 37 2 8" xfId="38382" xr:uid="{00000000-0005-0000-0000-0000507D0000}"/>
    <cellStyle name="Migliaia 37 2 9" xfId="39228" xr:uid="{00000000-0005-0000-0000-0000517D0000}"/>
    <cellStyle name="Migliaia 37 3" xfId="633" xr:uid="{00000000-0005-0000-0000-0000527D0000}"/>
    <cellStyle name="Migliaia 37 3 10" xfId="39716" xr:uid="{00000000-0005-0000-0000-0000537D0000}"/>
    <cellStyle name="Migliaia 37 3 11" xfId="40202" xr:uid="{00000000-0005-0000-0000-0000547D0000}"/>
    <cellStyle name="Migliaia 37 3 2" xfId="634" xr:uid="{00000000-0005-0000-0000-0000557D0000}"/>
    <cellStyle name="Migliaia 37 3 2 10" xfId="40203" xr:uid="{00000000-0005-0000-0000-0000567D0000}"/>
    <cellStyle name="Migliaia 37 3 2 2" xfId="11523" xr:uid="{00000000-0005-0000-0000-0000577D0000}"/>
    <cellStyle name="Migliaia 37 3 2 3" xfId="12146" xr:uid="{00000000-0005-0000-0000-0000587D0000}"/>
    <cellStyle name="Migliaia 37 3 2 3 2" xfId="30331" xr:uid="{00000000-0005-0000-0000-0000597D0000}"/>
    <cellStyle name="Migliaia 37 3 2 4" xfId="19465" xr:uid="{00000000-0005-0000-0000-00005A7D0000}"/>
    <cellStyle name="Migliaia 37 3 2 4 2" xfId="37429" xr:uid="{00000000-0005-0000-0000-00005B7D0000}"/>
    <cellStyle name="Migliaia 37 3 2 5" xfId="3326" xr:uid="{00000000-0005-0000-0000-00005C7D0000}"/>
    <cellStyle name="Migliaia 37 3 2 5 2" xfId="23326" xr:uid="{00000000-0005-0000-0000-00005D7D0000}"/>
    <cellStyle name="Migliaia 37 3 2 6" xfId="21564" xr:uid="{00000000-0005-0000-0000-00005E7D0000}"/>
    <cellStyle name="Migliaia 37 3 2 7" xfId="38384" xr:uid="{00000000-0005-0000-0000-00005F7D0000}"/>
    <cellStyle name="Migliaia 37 3 2 8" xfId="39230" xr:uid="{00000000-0005-0000-0000-0000607D0000}"/>
    <cellStyle name="Migliaia 37 3 2 9" xfId="39717" xr:uid="{00000000-0005-0000-0000-0000617D0000}"/>
    <cellStyle name="Migliaia 37 3 3" xfId="11522" xr:uid="{00000000-0005-0000-0000-0000627D0000}"/>
    <cellStyle name="Migliaia 37 3 3 2" xfId="20573" xr:uid="{00000000-0005-0000-0000-0000637D0000}"/>
    <cellStyle name="Migliaia 37 3 3 2 2" xfId="37890" xr:uid="{00000000-0005-0000-0000-0000647D0000}"/>
    <cellStyle name="Migliaia 37 3 3 2 3" xfId="38845" xr:uid="{00000000-0005-0000-0000-0000657D0000}"/>
    <cellStyle name="Migliaia 37 3 3 3" xfId="19466" xr:uid="{00000000-0005-0000-0000-0000667D0000}"/>
    <cellStyle name="Migliaia 37 3 3 3 2" xfId="37430" xr:uid="{00000000-0005-0000-0000-0000677D0000}"/>
    <cellStyle name="Migliaia 37 3 3 4" xfId="38385" xr:uid="{00000000-0005-0000-0000-0000687D0000}"/>
    <cellStyle name="Migliaia 37 3 4" xfId="12145" xr:uid="{00000000-0005-0000-0000-0000697D0000}"/>
    <cellStyle name="Migliaia 37 3 4 2" xfId="20572" xr:uid="{00000000-0005-0000-0000-00006A7D0000}"/>
    <cellStyle name="Migliaia 37 3 4 2 2" xfId="37889" xr:uid="{00000000-0005-0000-0000-00006B7D0000}"/>
    <cellStyle name="Migliaia 37 3 4 3" xfId="30330" xr:uid="{00000000-0005-0000-0000-00006C7D0000}"/>
    <cellStyle name="Migliaia 37 3 4 4" xfId="38844" xr:uid="{00000000-0005-0000-0000-00006D7D0000}"/>
    <cellStyle name="Migliaia 37 3 5" xfId="19464" xr:uid="{00000000-0005-0000-0000-00006E7D0000}"/>
    <cellStyle name="Migliaia 37 3 5 2" xfId="37428" xr:uid="{00000000-0005-0000-0000-00006F7D0000}"/>
    <cellStyle name="Migliaia 37 3 6" xfId="3325" xr:uid="{00000000-0005-0000-0000-0000707D0000}"/>
    <cellStyle name="Migliaia 37 3 6 2" xfId="23325" xr:uid="{00000000-0005-0000-0000-0000717D0000}"/>
    <cellStyle name="Migliaia 37 3 7" xfId="21563" xr:uid="{00000000-0005-0000-0000-0000727D0000}"/>
    <cellStyle name="Migliaia 37 3 8" xfId="38383" xr:uid="{00000000-0005-0000-0000-0000737D0000}"/>
    <cellStyle name="Migliaia 37 3 9" xfId="39229" xr:uid="{00000000-0005-0000-0000-0000747D0000}"/>
    <cellStyle name="Migliaia 37 4" xfId="635" xr:uid="{00000000-0005-0000-0000-0000757D0000}"/>
    <cellStyle name="Migliaia 37 4 2" xfId="19468" xr:uid="{00000000-0005-0000-0000-0000767D0000}"/>
    <cellStyle name="Migliaia 37 4 2 2" xfId="20575" xr:uid="{00000000-0005-0000-0000-0000777D0000}"/>
    <cellStyle name="Migliaia 37 4 2 2 2" xfId="37892" xr:uid="{00000000-0005-0000-0000-0000787D0000}"/>
    <cellStyle name="Migliaia 37 4 2 2 3" xfId="38847" xr:uid="{00000000-0005-0000-0000-0000797D0000}"/>
    <cellStyle name="Migliaia 37 4 2 3" xfId="37432" xr:uid="{00000000-0005-0000-0000-00007A7D0000}"/>
    <cellStyle name="Migliaia 37 4 2 4" xfId="38387" xr:uid="{00000000-0005-0000-0000-00007B7D0000}"/>
    <cellStyle name="Migliaia 37 4 3" xfId="20574" xr:uid="{00000000-0005-0000-0000-00007C7D0000}"/>
    <cellStyle name="Migliaia 37 4 3 2" xfId="37891" xr:uid="{00000000-0005-0000-0000-00007D7D0000}"/>
    <cellStyle name="Migliaia 37 4 3 3" xfId="38846" xr:uid="{00000000-0005-0000-0000-00007E7D0000}"/>
    <cellStyle name="Migliaia 37 4 4" xfId="19467" xr:uid="{00000000-0005-0000-0000-00007F7D0000}"/>
    <cellStyle name="Migliaia 37 4 4 2" xfId="37431" xr:uid="{00000000-0005-0000-0000-0000807D0000}"/>
    <cellStyle name="Migliaia 37 4 5" xfId="11524" xr:uid="{00000000-0005-0000-0000-0000817D0000}"/>
    <cellStyle name="Migliaia 37 4 6" xfId="21565" xr:uid="{00000000-0005-0000-0000-0000827D0000}"/>
    <cellStyle name="Migliaia 37 4 7" xfId="38386" xr:uid="{00000000-0005-0000-0000-0000837D0000}"/>
    <cellStyle name="Migliaia 37 4 8" xfId="39718" xr:uid="{00000000-0005-0000-0000-0000847D0000}"/>
    <cellStyle name="Migliaia 37 4 9" xfId="40204" xr:uid="{00000000-0005-0000-0000-0000857D0000}"/>
    <cellStyle name="Migliaia 37 5" xfId="636" xr:uid="{00000000-0005-0000-0000-0000867D0000}"/>
    <cellStyle name="Migliaia 37 5 2" xfId="19469" xr:uid="{00000000-0005-0000-0000-0000877D0000}"/>
    <cellStyle name="Migliaia 37 5 2 2" xfId="37433" xr:uid="{00000000-0005-0000-0000-0000887D0000}"/>
    <cellStyle name="Migliaia 37 5 3" xfId="11525" xr:uid="{00000000-0005-0000-0000-0000897D0000}"/>
    <cellStyle name="Migliaia 37 5 4" xfId="21566" xr:uid="{00000000-0005-0000-0000-00008A7D0000}"/>
    <cellStyle name="Migliaia 37 5 5" xfId="38388" xr:uid="{00000000-0005-0000-0000-00008B7D0000}"/>
    <cellStyle name="Migliaia 37 5 6" xfId="39719" xr:uid="{00000000-0005-0000-0000-00008C7D0000}"/>
    <cellStyle name="Migliaia 37 5 7" xfId="40205" xr:uid="{00000000-0005-0000-0000-00008D7D0000}"/>
    <cellStyle name="Migliaia 37 6" xfId="637" xr:uid="{00000000-0005-0000-0000-00008E7D0000}"/>
    <cellStyle name="Migliaia 37 6 2" xfId="11520" xr:uid="{00000000-0005-0000-0000-00008F7D0000}"/>
    <cellStyle name="Migliaia 37 6 3" xfId="21567" xr:uid="{00000000-0005-0000-0000-0000907D0000}"/>
    <cellStyle name="Migliaia 37 6 4" xfId="39720" xr:uid="{00000000-0005-0000-0000-0000917D0000}"/>
    <cellStyle name="Migliaia 37 6 5" xfId="40206" xr:uid="{00000000-0005-0000-0000-0000927D0000}"/>
    <cellStyle name="Migliaia 37 7" xfId="12143" xr:uid="{00000000-0005-0000-0000-0000937D0000}"/>
    <cellStyle name="Migliaia 37 7 2" xfId="30328" xr:uid="{00000000-0005-0000-0000-0000947D0000}"/>
    <cellStyle name="Migliaia 37 8" xfId="19462" xr:uid="{00000000-0005-0000-0000-0000957D0000}"/>
    <cellStyle name="Migliaia 37 8 2" xfId="37426" xr:uid="{00000000-0005-0000-0000-0000967D0000}"/>
    <cellStyle name="Migliaia 37 9" xfId="3323" xr:uid="{00000000-0005-0000-0000-0000977D0000}"/>
    <cellStyle name="Migliaia 37 9 2" xfId="23323" xr:uid="{00000000-0005-0000-0000-0000987D0000}"/>
    <cellStyle name="Migliaia 38" xfId="638" xr:uid="{00000000-0005-0000-0000-0000997D0000}"/>
    <cellStyle name="Migliaia 38 10" xfId="21568" xr:uid="{00000000-0005-0000-0000-00009A7D0000}"/>
    <cellStyle name="Migliaia 38 11" xfId="38389" xr:uid="{00000000-0005-0000-0000-00009B7D0000}"/>
    <cellStyle name="Migliaia 38 12" xfId="39231" xr:uid="{00000000-0005-0000-0000-00009C7D0000}"/>
    <cellStyle name="Migliaia 38 13" xfId="39721" xr:uid="{00000000-0005-0000-0000-00009D7D0000}"/>
    <cellStyle name="Migliaia 38 14" xfId="40207" xr:uid="{00000000-0005-0000-0000-00009E7D0000}"/>
    <cellStyle name="Migliaia 38 2" xfId="639" xr:uid="{00000000-0005-0000-0000-00009F7D0000}"/>
    <cellStyle name="Migliaia 38 2 10" xfId="39722" xr:uid="{00000000-0005-0000-0000-0000A07D0000}"/>
    <cellStyle name="Migliaia 38 2 11" xfId="40208" xr:uid="{00000000-0005-0000-0000-0000A17D0000}"/>
    <cellStyle name="Migliaia 38 2 2" xfId="3569" xr:uid="{00000000-0005-0000-0000-0000A27D0000}"/>
    <cellStyle name="Migliaia 38 2 2 2" xfId="12330" xr:uid="{00000000-0005-0000-0000-0000A37D0000}"/>
    <cellStyle name="Migliaia 38 2 2 2 2" xfId="30500" xr:uid="{00000000-0005-0000-0000-0000A47D0000}"/>
    <cellStyle name="Migliaia 38 2 2 3" xfId="20576" xr:uid="{00000000-0005-0000-0000-0000A57D0000}"/>
    <cellStyle name="Migliaia 38 2 2 3 2" xfId="37893" xr:uid="{00000000-0005-0000-0000-0000A67D0000}"/>
    <cellStyle name="Migliaia 38 2 2 4" xfId="23498" xr:uid="{00000000-0005-0000-0000-0000A77D0000}"/>
    <cellStyle name="Migliaia 38 2 2 5" xfId="38848" xr:uid="{00000000-0005-0000-0000-0000A87D0000}"/>
    <cellStyle name="Migliaia 38 2 2 6" xfId="39414" xr:uid="{00000000-0005-0000-0000-0000A97D0000}"/>
    <cellStyle name="Migliaia 38 2 3" xfId="11527" xr:uid="{00000000-0005-0000-0000-0000AA7D0000}"/>
    <cellStyle name="Migliaia 38 2 4" xfId="12148" xr:uid="{00000000-0005-0000-0000-0000AB7D0000}"/>
    <cellStyle name="Migliaia 38 2 4 2" xfId="30333" xr:uid="{00000000-0005-0000-0000-0000AC7D0000}"/>
    <cellStyle name="Migliaia 38 2 5" xfId="19471" xr:uid="{00000000-0005-0000-0000-0000AD7D0000}"/>
    <cellStyle name="Migliaia 38 2 5 2" xfId="37435" xr:uid="{00000000-0005-0000-0000-0000AE7D0000}"/>
    <cellStyle name="Migliaia 38 2 6" xfId="3328" xr:uid="{00000000-0005-0000-0000-0000AF7D0000}"/>
    <cellStyle name="Migliaia 38 2 6 2" xfId="23328" xr:uid="{00000000-0005-0000-0000-0000B07D0000}"/>
    <cellStyle name="Migliaia 38 2 7" xfId="21569" xr:uid="{00000000-0005-0000-0000-0000B17D0000}"/>
    <cellStyle name="Migliaia 38 2 8" xfId="38390" xr:uid="{00000000-0005-0000-0000-0000B27D0000}"/>
    <cellStyle name="Migliaia 38 2 9" xfId="39232" xr:uid="{00000000-0005-0000-0000-0000B37D0000}"/>
    <cellStyle name="Migliaia 38 3" xfId="640" xr:uid="{00000000-0005-0000-0000-0000B47D0000}"/>
    <cellStyle name="Migliaia 38 3 10" xfId="39723" xr:uid="{00000000-0005-0000-0000-0000B57D0000}"/>
    <cellStyle name="Migliaia 38 3 11" xfId="40209" xr:uid="{00000000-0005-0000-0000-0000B67D0000}"/>
    <cellStyle name="Migliaia 38 3 2" xfId="641" xr:uid="{00000000-0005-0000-0000-0000B77D0000}"/>
    <cellStyle name="Migliaia 38 3 2 10" xfId="40210" xr:uid="{00000000-0005-0000-0000-0000B87D0000}"/>
    <cellStyle name="Migliaia 38 3 2 2" xfId="11529" xr:uid="{00000000-0005-0000-0000-0000B97D0000}"/>
    <cellStyle name="Migliaia 38 3 2 3" xfId="12150" xr:uid="{00000000-0005-0000-0000-0000BA7D0000}"/>
    <cellStyle name="Migliaia 38 3 2 3 2" xfId="30335" xr:uid="{00000000-0005-0000-0000-0000BB7D0000}"/>
    <cellStyle name="Migliaia 38 3 2 4" xfId="19473" xr:uid="{00000000-0005-0000-0000-0000BC7D0000}"/>
    <cellStyle name="Migliaia 38 3 2 4 2" xfId="37437" xr:uid="{00000000-0005-0000-0000-0000BD7D0000}"/>
    <cellStyle name="Migliaia 38 3 2 5" xfId="3330" xr:uid="{00000000-0005-0000-0000-0000BE7D0000}"/>
    <cellStyle name="Migliaia 38 3 2 5 2" xfId="23330" xr:uid="{00000000-0005-0000-0000-0000BF7D0000}"/>
    <cellStyle name="Migliaia 38 3 2 6" xfId="21571" xr:uid="{00000000-0005-0000-0000-0000C07D0000}"/>
    <cellStyle name="Migliaia 38 3 2 7" xfId="38392" xr:uid="{00000000-0005-0000-0000-0000C17D0000}"/>
    <cellStyle name="Migliaia 38 3 2 8" xfId="39234" xr:uid="{00000000-0005-0000-0000-0000C27D0000}"/>
    <cellStyle name="Migliaia 38 3 2 9" xfId="39724" xr:uid="{00000000-0005-0000-0000-0000C37D0000}"/>
    <cellStyle name="Migliaia 38 3 3" xfId="11528" xr:uid="{00000000-0005-0000-0000-0000C47D0000}"/>
    <cellStyle name="Migliaia 38 3 3 2" xfId="20578" xr:uid="{00000000-0005-0000-0000-0000C57D0000}"/>
    <cellStyle name="Migliaia 38 3 3 2 2" xfId="37895" xr:uid="{00000000-0005-0000-0000-0000C67D0000}"/>
    <cellStyle name="Migliaia 38 3 3 2 3" xfId="38850" xr:uid="{00000000-0005-0000-0000-0000C77D0000}"/>
    <cellStyle name="Migliaia 38 3 3 3" xfId="19474" xr:uid="{00000000-0005-0000-0000-0000C87D0000}"/>
    <cellStyle name="Migliaia 38 3 3 3 2" xfId="37438" xr:uid="{00000000-0005-0000-0000-0000C97D0000}"/>
    <cellStyle name="Migliaia 38 3 3 4" xfId="38393" xr:uid="{00000000-0005-0000-0000-0000CA7D0000}"/>
    <cellStyle name="Migliaia 38 3 4" xfId="12149" xr:uid="{00000000-0005-0000-0000-0000CB7D0000}"/>
    <cellStyle name="Migliaia 38 3 4 2" xfId="20577" xr:uid="{00000000-0005-0000-0000-0000CC7D0000}"/>
    <cellStyle name="Migliaia 38 3 4 2 2" xfId="37894" xr:uid="{00000000-0005-0000-0000-0000CD7D0000}"/>
    <cellStyle name="Migliaia 38 3 4 3" xfId="30334" xr:uid="{00000000-0005-0000-0000-0000CE7D0000}"/>
    <cellStyle name="Migliaia 38 3 4 4" xfId="38849" xr:uid="{00000000-0005-0000-0000-0000CF7D0000}"/>
    <cellStyle name="Migliaia 38 3 5" xfId="19472" xr:uid="{00000000-0005-0000-0000-0000D07D0000}"/>
    <cellStyle name="Migliaia 38 3 5 2" xfId="37436" xr:uid="{00000000-0005-0000-0000-0000D17D0000}"/>
    <cellStyle name="Migliaia 38 3 6" xfId="3329" xr:uid="{00000000-0005-0000-0000-0000D27D0000}"/>
    <cellStyle name="Migliaia 38 3 6 2" xfId="23329" xr:uid="{00000000-0005-0000-0000-0000D37D0000}"/>
    <cellStyle name="Migliaia 38 3 7" xfId="21570" xr:uid="{00000000-0005-0000-0000-0000D47D0000}"/>
    <cellStyle name="Migliaia 38 3 8" xfId="38391" xr:uid="{00000000-0005-0000-0000-0000D57D0000}"/>
    <cellStyle name="Migliaia 38 3 9" xfId="39233" xr:uid="{00000000-0005-0000-0000-0000D67D0000}"/>
    <cellStyle name="Migliaia 38 4" xfId="642" xr:uid="{00000000-0005-0000-0000-0000D77D0000}"/>
    <cellStyle name="Migliaia 38 4 2" xfId="19476" xr:uid="{00000000-0005-0000-0000-0000D87D0000}"/>
    <cellStyle name="Migliaia 38 4 2 2" xfId="20580" xr:uid="{00000000-0005-0000-0000-0000D97D0000}"/>
    <cellStyle name="Migliaia 38 4 2 2 2" xfId="37897" xr:uid="{00000000-0005-0000-0000-0000DA7D0000}"/>
    <cellStyle name="Migliaia 38 4 2 2 3" xfId="38852" xr:uid="{00000000-0005-0000-0000-0000DB7D0000}"/>
    <cellStyle name="Migliaia 38 4 2 3" xfId="37440" xr:uid="{00000000-0005-0000-0000-0000DC7D0000}"/>
    <cellStyle name="Migliaia 38 4 2 4" xfId="38395" xr:uid="{00000000-0005-0000-0000-0000DD7D0000}"/>
    <cellStyle name="Migliaia 38 4 3" xfId="20579" xr:uid="{00000000-0005-0000-0000-0000DE7D0000}"/>
    <cellStyle name="Migliaia 38 4 3 2" xfId="37896" xr:uid="{00000000-0005-0000-0000-0000DF7D0000}"/>
    <cellStyle name="Migliaia 38 4 3 3" xfId="38851" xr:uid="{00000000-0005-0000-0000-0000E07D0000}"/>
    <cellStyle name="Migliaia 38 4 4" xfId="19475" xr:uid="{00000000-0005-0000-0000-0000E17D0000}"/>
    <cellStyle name="Migliaia 38 4 4 2" xfId="37439" xr:uid="{00000000-0005-0000-0000-0000E27D0000}"/>
    <cellStyle name="Migliaia 38 4 5" xfId="11530" xr:uid="{00000000-0005-0000-0000-0000E37D0000}"/>
    <cellStyle name="Migliaia 38 4 6" xfId="21572" xr:uid="{00000000-0005-0000-0000-0000E47D0000}"/>
    <cellStyle name="Migliaia 38 4 7" xfId="38394" xr:uid="{00000000-0005-0000-0000-0000E57D0000}"/>
    <cellStyle name="Migliaia 38 4 8" xfId="39725" xr:uid="{00000000-0005-0000-0000-0000E67D0000}"/>
    <cellStyle name="Migliaia 38 4 9" xfId="40211" xr:uid="{00000000-0005-0000-0000-0000E77D0000}"/>
    <cellStyle name="Migliaia 38 5" xfId="643" xr:uid="{00000000-0005-0000-0000-0000E87D0000}"/>
    <cellStyle name="Migliaia 38 5 2" xfId="19477" xr:uid="{00000000-0005-0000-0000-0000E97D0000}"/>
    <cellStyle name="Migliaia 38 5 2 2" xfId="37441" xr:uid="{00000000-0005-0000-0000-0000EA7D0000}"/>
    <cellStyle name="Migliaia 38 5 3" xfId="11531" xr:uid="{00000000-0005-0000-0000-0000EB7D0000}"/>
    <cellStyle name="Migliaia 38 5 4" xfId="21573" xr:uid="{00000000-0005-0000-0000-0000EC7D0000}"/>
    <cellStyle name="Migliaia 38 5 5" xfId="38396" xr:uid="{00000000-0005-0000-0000-0000ED7D0000}"/>
    <cellStyle name="Migliaia 38 5 6" xfId="39726" xr:uid="{00000000-0005-0000-0000-0000EE7D0000}"/>
    <cellStyle name="Migliaia 38 5 7" xfId="40212" xr:uid="{00000000-0005-0000-0000-0000EF7D0000}"/>
    <cellStyle name="Migliaia 38 6" xfId="644" xr:uid="{00000000-0005-0000-0000-0000F07D0000}"/>
    <cellStyle name="Migliaia 38 6 2" xfId="11526" xr:uid="{00000000-0005-0000-0000-0000F17D0000}"/>
    <cellStyle name="Migliaia 38 6 3" xfId="21574" xr:uid="{00000000-0005-0000-0000-0000F27D0000}"/>
    <cellStyle name="Migliaia 38 6 4" xfId="39727" xr:uid="{00000000-0005-0000-0000-0000F37D0000}"/>
    <cellStyle name="Migliaia 38 6 5" xfId="40213" xr:uid="{00000000-0005-0000-0000-0000F47D0000}"/>
    <cellStyle name="Migliaia 38 7" xfId="12147" xr:uid="{00000000-0005-0000-0000-0000F57D0000}"/>
    <cellStyle name="Migliaia 38 7 2" xfId="30332" xr:uid="{00000000-0005-0000-0000-0000F67D0000}"/>
    <cellStyle name="Migliaia 38 8" xfId="19470" xr:uid="{00000000-0005-0000-0000-0000F77D0000}"/>
    <cellStyle name="Migliaia 38 8 2" xfId="37434" xr:uid="{00000000-0005-0000-0000-0000F87D0000}"/>
    <cellStyle name="Migliaia 38 9" xfId="3327" xr:uid="{00000000-0005-0000-0000-0000F97D0000}"/>
    <cellStyle name="Migliaia 38 9 2" xfId="23327" xr:uid="{00000000-0005-0000-0000-0000FA7D0000}"/>
    <cellStyle name="Migliaia 39" xfId="645" xr:uid="{00000000-0005-0000-0000-0000FB7D0000}"/>
    <cellStyle name="Migliaia 39 10" xfId="21575" xr:uid="{00000000-0005-0000-0000-0000FC7D0000}"/>
    <cellStyle name="Migliaia 39 11" xfId="38397" xr:uid="{00000000-0005-0000-0000-0000FD7D0000}"/>
    <cellStyle name="Migliaia 39 12" xfId="39235" xr:uid="{00000000-0005-0000-0000-0000FE7D0000}"/>
    <cellStyle name="Migliaia 39 13" xfId="39728" xr:uid="{00000000-0005-0000-0000-0000FF7D0000}"/>
    <cellStyle name="Migliaia 39 14" xfId="40214" xr:uid="{00000000-0005-0000-0000-0000007E0000}"/>
    <cellStyle name="Migliaia 39 2" xfId="646" xr:uid="{00000000-0005-0000-0000-0000017E0000}"/>
    <cellStyle name="Migliaia 39 2 10" xfId="39729" xr:uid="{00000000-0005-0000-0000-0000027E0000}"/>
    <cellStyle name="Migliaia 39 2 11" xfId="40215" xr:uid="{00000000-0005-0000-0000-0000037E0000}"/>
    <cellStyle name="Migliaia 39 2 2" xfId="3570" xr:uid="{00000000-0005-0000-0000-0000047E0000}"/>
    <cellStyle name="Migliaia 39 2 2 2" xfId="12331" xr:uid="{00000000-0005-0000-0000-0000057E0000}"/>
    <cellStyle name="Migliaia 39 2 2 2 2" xfId="30501" xr:uid="{00000000-0005-0000-0000-0000067E0000}"/>
    <cellStyle name="Migliaia 39 2 2 3" xfId="20581" xr:uid="{00000000-0005-0000-0000-0000077E0000}"/>
    <cellStyle name="Migliaia 39 2 2 3 2" xfId="37898" xr:uid="{00000000-0005-0000-0000-0000087E0000}"/>
    <cellStyle name="Migliaia 39 2 2 4" xfId="23499" xr:uid="{00000000-0005-0000-0000-0000097E0000}"/>
    <cellStyle name="Migliaia 39 2 2 5" xfId="38853" xr:uid="{00000000-0005-0000-0000-00000A7E0000}"/>
    <cellStyle name="Migliaia 39 2 2 6" xfId="39415" xr:uid="{00000000-0005-0000-0000-00000B7E0000}"/>
    <cellStyle name="Migliaia 39 2 3" xfId="11533" xr:uid="{00000000-0005-0000-0000-00000C7E0000}"/>
    <cellStyle name="Migliaia 39 2 4" xfId="12152" xr:uid="{00000000-0005-0000-0000-00000D7E0000}"/>
    <cellStyle name="Migliaia 39 2 4 2" xfId="30337" xr:uid="{00000000-0005-0000-0000-00000E7E0000}"/>
    <cellStyle name="Migliaia 39 2 5" xfId="19479" xr:uid="{00000000-0005-0000-0000-00000F7E0000}"/>
    <cellStyle name="Migliaia 39 2 5 2" xfId="37443" xr:uid="{00000000-0005-0000-0000-0000107E0000}"/>
    <cellStyle name="Migliaia 39 2 6" xfId="3332" xr:uid="{00000000-0005-0000-0000-0000117E0000}"/>
    <cellStyle name="Migliaia 39 2 6 2" xfId="23332" xr:uid="{00000000-0005-0000-0000-0000127E0000}"/>
    <cellStyle name="Migliaia 39 2 7" xfId="21576" xr:uid="{00000000-0005-0000-0000-0000137E0000}"/>
    <cellStyle name="Migliaia 39 2 8" xfId="38398" xr:uid="{00000000-0005-0000-0000-0000147E0000}"/>
    <cellStyle name="Migliaia 39 2 9" xfId="39236" xr:uid="{00000000-0005-0000-0000-0000157E0000}"/>
    <cellStyle name="Migliaia 39 3" xfId="647" xr:uid="{00000000-0005-0000-0000-0000167E0000}"/>
    <cellStyle name="Migliaia 39 3 10" xfId="39730" xr:uid="{00000000-0005-0000-0000-0000177E0000}"/>
    <cellStyle name="Migliaia 39 3 11" xfId="40216" xr:uid="{00000000-0005-0000-0000-0000187E0000}"/>
    <cellStyle name="Migliaia 39 3 2" xfId="648" xr:uid="{00000000-0005-0000-0000-0000197E0000}"/>
    <cellStyle name="Migliaia 39 3 2 10" xfId="40217" xr:uid="{00000000-0005-0000-0000-00001A7E0000}"/>
    <cellStyle name="Migliaia 39 3 2 2" xfId="11535" xr:uid="{00000000-0005-0000-0000-00001B7E0000}"/>
    <cellStyle name="Migliaia 39 3 2 3" xfId="12154" xr:uid="{00000000-0005-0000-0000-00001C7E0000}"/>
    <cellStyle name="Migliaia 39 3 2 3 2" xfId="30339" xr:uid="{00000000-0005-0000-0000-00001D7E0000}"/>
    <cellStyle name="Migliaia 39 3 2 4" xfId="19481" xr:uid="{00000000-0005-0000-0000-00001E7E0000}"/>
    <cellStyle name="Migliaia 39 3 2 4 2" xfId="37445" xr:uid="{00000000-0005-0000-0000-00001F7E0000}"/>
    <cellStyle name="Migliaia 39 3 2 5" xfId="3334" xr:uid="{00000000-0005-0000-0000-0000207E0000}"/>
    <cellStyle name="Migliaia 39 3 2 5 2" xfId="23334" xr:uid="{00000000-0005-0000-0000-0000217E0000}"/>
    <cellStyle name="Migliaia 39 3 2 6" xfId="21578" xr:uid="{00000000-0005-0000-0000-0000227E0000}"/>
    <cellStyle name="Migliaia 39 3 2 7" xfId="38400" xr:uid="{00000000-0005-0000-0000-0000237E0000}"/>
    <cellStyle name="Migliaia 39 3 2 8" xfId="39238" xr:uid="{00000000-0005-0000-0000-0000247E0000}"/>
    <cellStyle name="Migliaia 39 3 2 9" xfId="39731" xr:uid="{00000000-0005-0000-0000-0000257E0000}"/>
    <cellStyle name="Migliaia 39 3 3" xfId="11534" xr:uid="{00000000-0005-0000-0000-0000267E0000}"/>
    <cellStyle name="Migliaia 39 3 3 2" xfId="20583" xr:uid="{00000000-0005-0000-0000-0000277E0000}"/>
    <cellStyle name="Migliaia 39 3 3 2 2" xfId="37900" xr:uid="{00000000-0005-0000-0000-0000287E0000}"/>
    <cellStyle name="Migliaia 39 3 3 2 3" xfId="38855" xr:uid="{00000000-0005-0000-0000-0000297E0000}"/>
    <cellStyle name="Migliaia 39 3 3 3" xfId="19482" xr:uid="{00000000-0005-0000-0000-00002A7E0000}"/>
    <cellStyle name="Migliaia 39 3 3 3 2" xfId="37446" xr:uid="{00000000-0005-0000-0000-00002B7E0000}"/>
    <cellStyle name="Migliaia 39 3 3 4" xfId="38401" xr:uid="{00000000-0005-0000-0000-00002C7E0000}"/>
    <cellStyle name="Migliaia 39 3 4" xfId="12153" xr:uid="{00000000-0005-0000-0000-00002D7E0000}"/>
    <cellStyle name="Migliaia 39 3 4 2" xfId="20582" xr:uid="{00000000-0005-0000-0000-00002E7E0000}"/>
    <cellStyle name="Migliaia 39 3 4 2 2" xfId="37899" xr:uid="{00000000-0005-0000-0000-00002F7E0000}"/>
    <cellStyle name="Migliaia 39 3 4 3" xfId="30338" xr:uid="{00000000-0005-0000-0000-0000307E0000}"/>
    <cellStyle name="Migliaia 39 3 4 4" xfId="38854" xr:uid="{00000000-0005-0000-0000-0000317E0000}"/>
    <cellStyle name="Migliaia 39 3 5" xfId="19480" xr:uid="{00000000-0005-0000-0000-0000327E0000}"/>
    <cellStyle name="Migliaia 39 3 5 2" xfId="37444" xr:uid="{00000000-0005-0000-0000-0000337E0000}"/>
    <cellStyle name="Migliaia 39 3 6" xfId="3333" xr:uid="{00000000-0005-0000-0000-0000347E0000}"/>
    <cellStyle name="Migliaia 39 3 6 2" xfId="23333" xr:uid="{00000000-0005-0000-0000-0000357E0000}"/>
    <cellStyle name="Migliaia 39 3 7" xfId="21577" xr:uid="{00000000-0005-0000-0000-0000367E0000}"/>
    <cellStyle name="Migliaia 39 3 8" xfId="38399" xr:uid="{00000000-0005-0000-0000-0000377E0000}"/>
    <cellStyle name="Migliaia 39 3 9" xfId="39237" xr:uid="{00000000-0005-0000-0000-0000387E0000}"/>
    <cellStyle name="Migliaia 39 4" xfId="649" xr:uid="{00000000-0005-0000-0000-0000397E0000}"/>
    <cellStyle name="Migliaia 39 4 2" xfId="19484" xr:uid="{00000000-0005-0000-0000-00003A7E0000}"/>
    <cellStyle name="Migliaia 39 4 2 2" xfId="20585" xr:uid="{00000000-0005-0000-0000-00003B7E0000}"/>
    <cellStyle name="Migliaia 39 4 2 2 2" xfId="37902" xr:uid="{00000000-0005-0000-0000-00003C7E0000}"/>
    <cellStyle name="Migliaia 39 4 2 2 3" xfId="38857" xr:uid="{00000000-0005-0000-0000-00003D7E0000}"/>
    <cellStyle name="Migliaia 39 4 2 3" xfId="37448" xr:uid="{00000000-0005-0000-0000-00003E7E0000}"/>
    <cellStyle name="Migliaia 39 4 2 4" xfId="38403" xr:uid="{00000000-0005-0000-0000-00003F7E0000}"/>
    <cellStyle name="Migliaia 39 4 3" xfId="20584" xr:uid="{00000000-0005-0000-0000-0000407E0000}"/>
    <cellStyle name="Migliaia 39 4 3 2" xfId="37901" xr:uid="{00000000-0005-0000-0000-0000417E0000}"/>
    <cellStyle name="Migliaia 39 4 3 3" xfId="38856" xr:uid="{00000000-0005-0000-0000-0000427E0000}"/>
    <cellStyle name="Migliaia 39 4 4" xfId="19483" xr:uid="{00000000-0005-0000-0000-0000437E0000}"/>
    <cellStyle name="Migliaia 39 4 4 2" xfId="37447" xr:uid="{00000000-0005-0000-0000-0000447E0000}"/>
    <cellStyle name="Migliaia 39 4 5" xfId="11536" xr:uid="{00000000-0005-0000-0000-0000457E0000}"/>
    <cellStyle name="Migliaia 39 4 6" xfId="21579" xr:uid="{00000000-0005-0000-0000-0000467E0000}"/>
    <cellStyle name="Migliaia 39 4 7" xfId="38402" xr:uid="{00000000-0005-0000-0000-0000477E0000}"/>
    <cellStyle name="Migliaia 39 4 8" xfId="39732" xr:uid="{00000000-0005-0000-0000-0000487E0000}"/>
    <cellStyle name="Migliaia 39 4 9" xfId="40218" xr:uid="{00000000-0005-0000-0000-0000497E0000}"/>
    <cellStyle name="Migliaia 39 5" xfId="650" xr:uid="{00000000-0005-0000-0000-00004A7E0000}"/>
    <cellStyle name="Migliaia 39 5 2" xfId="19485" xr:uid="{00000000-0005-0000-0000-00004B7E0000}"/>
    <cellStyle name="Migliaia 39 5 2 2" xfId="37449" xr:uid="{00000000-0005-0000-0000-00004C7E0000}"/>
    <cellStyle name="Migliaia 39 5 3" xfId="11537" xr:uid="{00000000-0005-0000-0000-00004D7E0000}"/>
    <cellStyle name="Migliaia 39 5 4" xfId="21580" xr:uid="{00000000-0005-0000-0000-00004E7E0000}"/>
    <cellStyle name="Migliaia 39 5 5" xfId="38404" xr:uid="{00000000-0005-0000-0000-00004F7E0000}"/>
    <cellStyle name="Migliaia 39 5 6" xfId="39733" xr:uid="{00000000-0005-0000-0000-0000507E0000}"/>
    <cellStyle name="Migliaia 39 5 7" xfId="40219" xr:uid="{00000000-0005-0000-0000-0000517E0000}"/>
    <cellStyle name="Migliaia 39 6" xfId="651" xr:uid="{00000000-0005-0000-0000-0000527E0000}"/>
    <cellStyle name="Migliaia 39 6 2" xfId="11532" xr:uid="{00000000-0005-0000-0000-0000537E0000}"/>
    <cellStyle name="Migliaia 39 6 3" xfId="21581" xr:uid="{00000000-0005-0000-0000-0000547E0000}"/>
    <cellStyle name="Migliaia 39 6 4" xfId="39734" xr:uid="{00000000-0005-0000-0000-0000557E0000}"/>
    <cellStyle name="Migliaia 39 6 5" xfId="40220" xr:uid="{00000000-0005-0000-0000-0000567E0000}"/>
    <cellStyle name="Migliaia 39 7" xfId="12151" xr:uid="{00000000-0005-0000-0000-0000577E0000}"/>
    <cellStyle name="Migliaia 39 7 2" xfId="30336" xr:uid="{00000000-0005-0000-0000-0000587E0000}"/>
    <cellStyle name="Migliaia 39 8" xfId="19478" xr:uid="{00000000-0005-0000-0000-0000597E0000}"/>
    <cellStyle name="Migliaia 39 8 2" xfId="37442" xr:uid="{00000000-0005-0000-0000-00005A7E0000}"/>
    <cellStyle name="Migliaia 39 9" xfId="3331" xr:uid="{00000000-0005-0000-0000-00005B7E0000}"/>
    <cellStyle name="Migliaia 39 9 2" xfId="23331" xr:uid="{00000000-0005-0000-0000-00005C7E0000}"/>
    <cellStyle name="Migliaia 4" xfId="652" xr:uid="{00000000-0005-0000-0000-00005D7E0000}"/>
    <cellStyle name="Migliaia 4 10" xfId="21582" xr:uid="{00000000-0005-0000-0000-00005E7E0000}"/>
    <cellStyle name="Migliaia 4 11" xfId="38405" xr:uid="{00000000-0005-0000-0000-00005F7E0000}"/>
    <cellStyle name="Migliaia 4 12" xfId="39239" xr:uid="{00000000-0005-0000-0000-0000607E0000}"/>
    <cellStyle name="Migliaia 4 13" xfId="39735" xr:uid="{00000000-0005-0000-0000-0000617E0000}"/>
    <cellStyle name="Migliaia 4 14" xfId="40221" xr:uid="{00000000-0005-0000-0000-0000627E0000}"/>
    <cellStyle name="Migliaia 4 2" xfId="653" xr:uid="{00000000-0005-0000-0000-0000637E0000}"/>
    <cellStyle name="Migliaia 4 2 10" xfId="39736" xr:uid="{00000000-0005-0000-0000-0000647E0000}"/>
    <cellStyle name="Migliaia 4 2 11" xfId="40222" xr:uid="{00000000-0005-0000-0000-0000657E0000}"/>
    <cellStyle name="Migliaia 4 2 2" xfId="3571" xr:uid="{00000000-0005-0000-0000-0000667E0000}"/>
    <cellStyle name="Migliaia 4 2 2 2" xfId="12332" xr:uid="{00000000-0005-0000-0000-0000677E0000}"/>
    <cellStyle name="Migliaia 4 2 2 2 2" xfId="30502" xr:uid="{00000000-0005-0000-0000-0000687E0000}"/>
    <cellStyle name="Migliaia 4 2 2 3" xfId="20586" xr:uid="{00000000-0005-0000-0000-0000697E0000}"/>
    <cellStyle name="Migliaia 4 2 2 3 2" xfId="37903" xr:uid="{00000000-0005-0000-0000-00006A7E0000}"/>
    <cellStyle name="Migliaia 4 2 2 4" xfId="23500" xr:uid="{00000000-0005-0000-0000-00006B7E0000}"/>
    <cellStyle name="Migliaia 4 2 2 5" xfId="38858" xr:uid="{00000000-0005-0000-0000-00006C7E0000}"/>
    <cellStyle name="Migliaia 4 2 2 6" xfId="39416" xr:uid="{00000000-0005-0000-0000-00006D7E0000}"/>
    <cellStyle name="Migliaia 4 2 3" xfId="11539" xr:uid="{00000000-0005-0000-0000-00006E7E0000}"/>
    <cellStyle name="Migliaia 4 2 4" xfId="12156" xr:uid="{00000000-0005-0000-0000-00006F7E0000}"/>
    <cellStyle name="Migliaia 4 2 4 2" xfId="30341" xr:uid="{00000000-0005-0000-0000-0000707E0000}"/>
    <cellStyle name="Migliaia 4 2 5" xfId="19487" xr:uid="{00000000-0005-0000-0000-0000717E0000}"/>
    <cellStyle name="Migliaia 4 2 5 2" xfId="37451" xr:uid="{00000000-0005-0000-0000-0000727E0000}"/>
    <cellStyle name="Migliaia 4 2 6" xfId="3336" xr:uid="{00000000-0005-0000-0000-0000737E0000}"/>
    <cellStyle name="Migliaia 4 2 6 2" xfId="23336" xr:uid="{00000000-0005-0000-0000-0000747E0000}"/>
    <cellStyle name="Migliaia 4 2 7" xfId="21583" xr:uid="{00000000-0005-0000-0000-0000757E0000}"/>
    <cellStyle name="Migliaia 4 2 8" xfId="38406" xr:uid="{00000000-0005-0000-0000-0000767E0000}"/>
    <cellStyle name="Migliaia 4 2 9" xfId="39240" xr:uid="{00000000-0005-0000-0000-0000777E0000}"/>
    <cellStyle name="Migliaia 4 3" xfId="654" xr:uid="{00000000-0005-0000-0000-0000787E0000}"/>
    <cellStyle name="Migliaia 4 3 10" xfId="39737" xr:uid="{00000000-0005-0000-0000-0000797E0000}"/>
    <cellStyle name="Migliaia 4 3 11" xfId="40223" xr:uid="{00000000-0005-0000-0000-00007A7E0000}"/>
    <cellStyle name="Migliaia 4 3 2" xfId="655" xr:uid="{00000000-0005-0000-0000-00007B7E0000}"/>
    <cellStyle name="Migliaia 4 3 2 10" xfId="40224" xr:uid="{00000000-0005-0000-0000-00007C7E0000}"/>
    <cellStyle name="Migliaia 4 3 2 2" xfId="11541" xr:uid="{00000000-0005-0000-0000-00007D7E0000}"/>
    <cellStyle name="Migliaia 4 3 2 3" xfId="12158" xr:uid="{00000000-0005-0000-0000-00007E7E0000}"/>
    <cellStyle name="Migliaia 4 3 2 3 2" xfId="30343" xr:uid="{00000000-0005-0000-0000-00007F7E0000}"/>
    <cellStyle name="Migliaia 4 3 2 4" xfId="19489" xr:uid="{00000000-0005-0000-0000-0000807E0000}"/>
    <cellStyle name="Migliaia 4 3 2 4 2" xfId="37453" xr:uid="{00000000-0005-0000-0000-0000817E0000}"/>
    <cellStyle name="Migliaia 4 3 2 5" xfId="3338" xr:uid="{00000000-0005-0000-0000-0000827E0000}"/>
    <cellStyle name="Migliaia 4 3 2 5 2" xfId="23338" xr:uid="{00000000-0005-0000-0000-0000837E0000}"/>
    <cellStyle name="Migliaia 4 3 2 6" xfId="21585" xr:uid="{00000000-0005-0000-0000-0000847E0000}"/>
    <cellStyle name="Migliaia 4 3 2 7" xfId="38408" xr:uid="{00000000-0005-0000-0000-0000857E0000}"/>
    <cellStyle name="Migliaia 4 3 2 8" xfId="39242" xr:uid="{00000000-0005-0000-0000-0000867E0000}"/>
    <cellStyle name="Migliaia 4 3 2 9" xfId="39738" xr:uid="{00000000-0005-0000-0000-0000877E0000}"/>
    <cellStyle name="Migliaia 4 3 3" xfId="11540" xr:uid="{00000000-0005-0000-0000-0000887E0000}"/>
    <cellStyle name="Migliaia 4 3 3 2" xfId="20588" xr:uid="{00000000-0005-0000-0000-0000897E0000}"/>
    <cellStyle name="Migliaia 4 3 3 2 2" xfId="37905" xr:uid="{00000000-0005-0000-0000-00008A7E0000}"/>
    <cellStyle name="Migliaia 4 3 3 2 3" xfId="38860" xr:uid="{00000000-0005-0000-0000-00008B7E0000}"/>
    <cellStyle name="Migliaia 4 3 3 3" xfId="19490" xr:uid="{00000000-0005-0000-0000-00008C7E0000}"/>
    <cellStyle name="Migliaia 4 3 3 3 2" xfId="37454" xr:uid="{00000000-0005-0000-0000-00008D7E0000}"/>
    <cellStyle name="Migliaia 4 3 3 4" xfId="38409" xr:uid="{00000000-0005-0000-0000-00008E7E0000}"/>
    <cellStyle name="Migliaia 4 3 4" xfId="12157" xr:uid="{00000000-0005-0000-0000-00008F7E0000}"/>
    <cellStyle name="Migliaia 4 3 4 2" xfId="20587" xr:uid="{00000000-0005-0000-0000-0000907E0000}"/>
    <cellStyle name="Migliaia 4 3 4 2 2" xfId="37904" xr:uid="{00000000-0005-0000-0000-0000917E0000}"/>
    <cellStyle name="Migliaia 4 3 4 3" xfId="30342" xr:uid="{00000000-0005-0000-0000-0000927E0000}"/>
    <cellStyle name="Migliaia 4 3 4 4" xfId="38859" xr:uid="{00000000-0005-0000-0000-0000937E0000}"/>
    <cellStyle name="Migliaia 4 3 5" xfId="19488" xr:uid="{00000000-0005-0000-0000-0000947E0000}"/>
    <cellStyle name="Migliaia 4 3 5 2" xfId="37452" xr:uid="{00000000-0005-0000-0000-0000957E0000}"/>
    <cellStyle name="Migliaia 4 3 6" xfId="3337" xr:uid="{00000000-0005-0000-0000-0000967E0000}"/>
    <cellStyle name="Migliaia 4 3 6 2" xfId="23337" xr:uid="{00000000-0005-0000-0000-0000977E0000}"/>
    <cellStyle name="Migliaia 4 3 7" xfId="21584" xr:uid="{00000000-0005-0000-0000-0000987E0000}"/>
    <cellStyle name="Migliaia 4 3 8" xfId="38407" xr:uid="{00000000-0005-0000-0000-0000997E0000}"/>
    <cellStyle name="Migliaia 4 3 9" xfId="39241" xr:uid="{00000000-0005-0000-0000-00009A7E0000}"/>
    <cellStyle name="Migliaia 4 4" xfId="656" xr:uid="{00000000-0005-0000-0000-00009B7E0000}"/>
    <cellStyle name="Migliaia 4 4 2" xfId="19492" xr:uid="{00000000-0005-0000-0000-00009C7E0000}"/>
    <cellStyle name="Migliaia 4 4 2 2" xfId="20590" xr:uid="{00000000-0005-0000-0000-00009D7E0000}"/>
    <cellStyle name="Migliaia 4 4 2 2 2" xfId="37907" xr:uid="{00000000-0005-0000-0000-00009E7E0000}"/>
    <cellStyle name="Migliaia 4 4 2 2 3" xfId="38862" xr:uid="{00000000-0005-0000-0000-00009F7E0000}"/>
    <cellStyle name="Migliaia 4 4 2 3" xfId="37456" xr:uid="{00000000-0005-0000-0000-0000A07E0000}"/>
    <cellStyle name="Migliaia 4 4 2 4" xfId="38411" xr:uid="{00000000-0005-0000-0000-0000A17E0000}"/>
    <cellStyle name="Migliaia 4 4 3" xfId="20589" xr:uid="{00000000-0005-0000-0000-0000A27E0000}"/>
    <cellStyle name="Migliaia 4 4 3 2" xfId="37906" xr:uid="{00000000-0005-0000-0000-0000A37E0000}"/>
    <cellStyle name="Migliaia 4 4 3 3" xfId="38861" xr:uid="{00000000-0005-0000-0000-0000A47E0000}"/>
    <cellStyle name="Migliaia 4 4 4" xfId="19491" xr:uid="{00000000-0005-0000-0000-0000A57E0000}"/>
    <cellStyle name="Migliaia 4 4 4 2" xfId="37455" xr:uid="{00000000-0005-0000-0000-0000A67E0000}"/>
    <cellStyle name="Migliaia 4 4 5" xfId="11542" xr:uid="{00000000-0005-0000-0000-0000A77E0000}"/>
    <cellStyle name="Migliaia 4 4 6" xfId="21586" xr:uid="{00000000-0005-0000-0000-0000A87E0000}"/>
    <cellStyle name="Migliaia 4 4 7" xfId="38410" xr:uid="{00000000-0005-0000-0000-0000A97E0000}"/>
    <cellStyle name="Migliaia 4 4 8" xfId="39739" xr:uid="{00000000-0005-0000-0000-0000AA7E0000}"/>
    <cellStyle name="Migliaia 4 4 9" xfId="40225" xr:uid="{00000000-0005-0000-0000-0000AB7E0000}"/>
    <cellStyle name="Migliaia 4 5" xfId="657" xr:uid="{00000000-0005-0000-0000-0000AC7E0000}"/>
    <cellStyle name="Migliaia 4 5 2" xfId="19493" xr:uid="{00000000-0005-0000-0000-0000AD7E0000}"/>
    <cellStyle name="Migliaia 4 5 2 2" xfId="37457" xr:uid="{00000000-0005-0000-0000-0000AE7E0000}"/>
    <cellStyle name="Migliaia 4 5 3" xfId="11543" xr:uid="{00000000-0005-0000-0000-0000AF7E0000}"/>
    <cellStyle name="Migliaia 4 5 4" xfId="21587" xr:uid="{00000000-0005-0000-0000-0000B07E0000}"/>
    <cellStyle name="Migliaia 4 5 5" xfId="38412" xr:uid="{00000000-0005-0000-0000-0000B17E0000}"/>
    <cellStyle name="Migliaia 4 5 6" xfId="39740" xr:uid="{00000000-0005-0000-0000-0000B27E0000}"/>
    <cellStyle name="Migliaia 4 5 7" xfId="40226" xr:uid="{00000000-0005-0000-0000-0000B37E0000}"/>
    <cellStyle name="Migliaia 4 6" xfId="658" xr:uid="{00000000-0005-0000-0000-0000B47E0000}"/>
    <cellStyle name="Migliaia 4 6 2" xfId="11538" xr:uid="{00000000-0005-0000-0000-0000B57E0000}"/>
    <cellStyle name="Migliaia 4 6 3" xfId="21588" xr:uid="{00000000-0005-0000-0000-0000B67E0000}"/>
    <cellStyle name="Migliaia 4 6 4" xfId="39741" xr:uid="{00000000-0005-0000-0000-0000B77E0000}"/>
    <cellStyle name="Migliaia 4 6 5" xfId="40227" xr:uid="{00000000-0005-0000-0000-0000B87E0000}"/>
    <cellStyle name="Migliaia 4 7" xfId="12155" xr:uid="{00000000-0005-0000-0000-0000B97E0000}"/>
    <cellStyle name="Migliaia 4 7 2" xfId="30340" xr:uid="{00000000-0005-0000-0000-0000BA7E0000}"/>
    <cellStyle name="Migliaia 4 8" xfId="19486" xr:uid="{00000000-0005-0000-0000-0000BB7E0000}"/>
    <cellStyle name="Migliaia 4 8 2" xfId="37450" xr:uid="{00000000-0005-0000-0000-0000BC7E0000}"/>
    <cellStyle name="Migliaia 4 9" xfId="3335" xr:uid="{00000000-0005-0000-0000-0000BD7E0000}"/>
    <cellStyle name="Migliaia 4 9 2" xfId="23335" xr:uid="{00000000-0005-0000-0000-0000BE7E0000}"/>
    <cellStyle name="Migliaia 40" xfId="659" xr:uid="{00000000-0005-0000-0000-0000BF7E0000}"/>
    <cellStyle name="Migliaia 40 10" xfId="21589" xr:uid="{00000000-0005-0000-0000-0000C07E0000}"/>
    <cellStyle name="Migliaia 40 11" xfId="38413" xr:uid="{00000000-0005-0000-0000-0000C17E0000}"/>
    <cellStyle name="Migliaia 40 12" xfId="39243" xr:uid="{00000000-0005-0000-0000-0000C27E0000}"/>
    <cellStyle name="Migliaia 40 13" xfId="39742" xr:uid="{00000000-0005-0000-0000-0000C37E0000}"/>
    <cellStyle name="Migliaia 40 14" xfId="40228" xr:uid="{00000000-0005-0000-0000-0000C47E0000}"/>
    <cellStyle name="Migliaia 40 2" xfId="660" xr:uid="{00000000-0005-0000-0000-0000C57E0000}"/>
    <cellStyle name="Migliaia 40 2 10" xfId="39743" xr:uid="{00000000-0005-0000-0000-0000C67E0000}"/>
    <cellStyle name="Migliaia 40 2 11" xfId="40229" xr:uid="{00000000-0005-0000-0000-0000C77E0000}"/>
    <cellStyle name="Migliaia 40 2 2" xfId="3572" xr:uid="{00000000-0005-0000-0000-0000C87E0000}"/>
    <cellStyle name="Migliaia 40 2 2 2" xfId="12333" xr:uid="{00000000-0005-0000-0000-0000C97E0000}"/>
    <cellStyle name="Migliaia 40 2 2 2 2" xfId="30503" xr:uid="{00000000-0005-0000-0000-0000CA7E0000}"/>
    <cellStyle name="Migliaia 40 2 2 3" xfId="20591" xr:uid="{00000000-0005-0000-0000-0000CB7E0000}"/>
    <cellStyle name="Migliaia 40 2 2 3 2" xfId="37908" xr:uid="{00000000-0005-0000-0000-0000CC7E0000}"/>
    <cellStyle name="Migliaia 40 2 2 4" xfId="23501" xr:uid="{00000000-0005-0000-0000-0000CD7E0000}"/>
    <cellStyle name="Migliaia 40 2 2 5" xfId="38863" xr:uid="{00000000-0005-0000-0000-0000CE7E0000}"/>
    <cellStyle name="Migliaia 40 2 2 6" xfId="39417" xr:uid="{00000000-0005-0000-0000-0000CF7E0000}"/>
    <cellStyle name="Migliaia 40 2 3" xfId="11545" xr:uid="{00000000-0005-0000-0000-0000D07E0000}"/>
    <cellStyle name="Migliaia 40 2 4" xfId="12160" xr:uid="{00000000-0005-0000-0000-0000D17E0000}"/>
    <cellStyle name="Migliaia 40 2 4 2" xfId="30345" xr:uid="{00000000-0005-0000-0000-0000D27E0000}"/>
    <cellStyle name="Migliaia 40 2 5" xfId="19495" xr:uid="{00000000-0005-0000-0000-0000D37E0000}"/>
    <cellStyle name="Migliaia 40 2 5 2" xfId="37459" xr:uid="{00000000-0005-0000-0000-0000D47E0000}"/>
    <cellStyle name="Migliaia 40 2 6" xfId="3340" xr:uid="{00000000-0005-0000-0000-0000D57E0000}"/>
    <cellStyle name="Migliaia 40 2 6 2" xfId="23340" xr:uid="{00000000-0005-0000-0000-0000D67E0000}"/>
    <cellStyle name="Migliaia 40 2 7" xfId="21590" xr:uid="{00000000-0005-0000-0000-0000D77E0000}"/>
    <cellStyle name="Migliaia 40 2 8" xfId="38414" xr:uid="{00000000-0005-0000-0000-0000D87E0000}"/>
    <cellStyle name="Migliaia 40 2 9" xfId="39244" xr:uid="{00000000-0005-0000-0000-0000D97E0000}"/>
    <cellStyle name="Migliaia 40 3" xfId="661" xr:uid="{00000000-0005-0000-0000-0000DA7E0000}"/>
    <cellStyle name="Migliaia 40 3 10" xfId="39744" xr:uid="{00000000-0005-0000-0000-0000DB7E0000}"/>
    <cellStyle name="Migliaia 40 3 11" xfId="40230" xr:uid="{00000000-0005-0000-0000-0000DC7E0000}"/>
    <cellStyle name="Migliaia 40 3 2" xfId="662" xr:uid="{00000000-0005-0000-0000-0000DD7E0000}"/>
    <cellStyle name="Migliaia 40 3 2 10" xfId="40231" xr:uid="{00000000-0005-0000-0000-0000DE7E0000}"/>
    <cellStyle name="Migliaia 40 3 2 2" xfId="11547" xr:uid="{00000000-0005-0000-0000-0000DF7E0000}"/>
    <cellStyle name="Migliaia 40 3 2 3" xfId="12162" xr:uid="{00000000-0005-0000-0000-0000E07E0000}"/>
    <cellStyle name="Migliaia 40 3 2 3 2" xfId="30347" xr:uid="{00000000-0005-0000-0000-0000E17E0000}"/>
    <cellStyle name="Migliaia 40 3 2 4" xfId="19497" xr:uid="{00000000-0005-0000-0000-0000E27E0000}"/>
    <cellStyle name="Migliaia 40 3 2 4 2" xfId="37461" xr:uid="{00000000-0005-0000-0000-0000E37E0000}"/>
    <cellStyle name="Migliaia 40 3 2 5" xfId="3342" xr:uid="{00000000-0005-0000-0000-0000E47E0000}"/>
    <cellStyle name="Migliaia 40 3 2 5 2" xfId="23342" xr:uid="{00000000-0005-0000-0000-0000E57E0000}"/>
    <cellStyle name="Migliaia 40 3 2 6" xfId="21592" xr:uid="{00000000-0005-0000-0000-0000E67E0000}"/>
    <cellStyle name="Migliaia 40 3 2 7" xfId="38416" xr:uid="{00000000-0005-0000-0000-0000E77E0000}"/>
    <cellStyle name="Migliaia 40 3 2 8" xfId="39246" xr:uid="{00000000-0005-0000-0000-0000E87E0000}"/>
    <cellStyle name="Migliaia 40 3 2 9" xfId="39745" xr:uid="{00000000-0005-0000-0000-0000E97E0000}"/>
    <cellStyle name="Migliaia 40 3 3" xfId="11546" xr:uid="{00000000-0005-0000-0000-0000EA7E0000}"/>
    <cellStyle name="Migliaia 40 3 3 2" xfId="20593" xr:uid="{00000000-0005-0000-0000-0000EB7E0000}"/>
    <cellStyle name="Migliaia 40 3 3 2 2" xfId="37910" xr:uid="{00000000-0005-0000-0000-0000EC7E0000}"/>
    <cellStyle name="Migliaia 40 3 3 2 3" xfId="38865" xr:uid="{00000000-0005-0000-0000-0000ED7E0000}"/>
    <cellStyle name="Migliaia 40 3 3 3" xfId="19498" xr:uid="{00000000-0005-0000-0000-0000EE7E0000}"/>
    <cellStyle name="Migliaia 40 3 3 3 2" xfId="37462" xr:uid="{00000000-0005-0000-0000-0000EF7E0000}"/>
    <cellStyle name="Migliaia 40 3 3 4" xfId="38417" xr:uid="{00000000-0005-0000-0000-0000F07E0000}"/>
    <cellStyle name="Migliaia 40 3 4" xfId="12161" xr:uid="{00000000-0005-0000-0000-0000F17E0000}"/>
    <cellStyle name="Migliaia 40 3 4 2" xfId="20592" xr:uid="{00000000-0005-0000-0000-0000F27E0000}"/>
    <cellStyle name="Migliaia 40 3 4 2 2" xfId="37909" xr:uid="{00000000-0005-0000-0000-0000F37E0000}"/>
    <cellStyle name="Migliaia 40 3 4 3" xfId="30346" xr:uid="{00000000-0005-0000-0000-0000F47E0000}"/>
    <cellStyle name="Migliaia 40 3 4 4" xfId="38864" xr:uid="{00000000-0005-0000-0000-0000F57E0000}"/>
    <cellStyle name="Migliaia 40 3 5" xfId="19496" xr:uid="{00000000-0005-0000-0000-0000F67E0000}"/>
    <cellStyle name="Migliaia 40 3 5 2" xfId="37460" xr:uid="{00000000-0005-0000-0000-0000F77E0000}"/>
    <cellStyle name="Migliaia 40 3 6" xfId="3341" xr:uid="{00000000-0005-0000-0000-0000F87E0000}"/>
    <cellStyle name="Migliaia 40 3 6 2" xfId="23341" xr:uid="{00000000-0005-0000-0000-0000F97E0000}"/>
    <cellStyle name="Migliaia 40 3 7" xfId="21591" xr:uid="{00000000-0005-0000-0000-0000FA7E0000}"/>
    <cellStyle name="Migliaia 40 3 8" xfId="38415" xr:uid="{00000000-0005-0000-0000-0000FB7E0000}"/>
    <cellStyle name="Migliaia 40 3 9" xfId="39245" xr:uid="{00000000-0005-0000-0000-0000FC7E0000}"/>
    <cellStyle name="Migliaia 40 4" xfId="663" xr:uid="{00000000-0005-0000-0000-0000FD7E0000}"/>
    <cellStyle name="Migliaia 40 4 2" xfId="19500" xr:uid="{00000000-0005-0000-0000-0000FE7E0000}"/>
    <cellStyle name="Migliaia 40 4 2 2" xfId="20595" xr:uid="{00000000-0005-0000-0000-0000FF7E0000}"/>
    <cellStyle name="Migliaia 40 4 2 2 2" xfId="37912" xr:uid="{00000000-0005-0000-0000-0000007F0000}"/>
    <cellStyle name="Migliaia 40 4 2 2 3" xfId="38867" xr:uid="{00000000-0005-0000-0000-0000017F0000}"/>
    <cellStyle name="Migliaia 40 4 2 3" xfId="37464" xr:uid="{00000000-0005-0000-0000-0000027F0000}"/>
    <cellStyle name="Migliaia 40 4 2 4" xfId="38419" xr:uid="{00000000-0005-0000-0000-0000037F0000}"/>
    <cellStyle name="Migliaia 40 4 3" xfId="20594" xr:uid="{00000000-0005-0000-0000-0000047F0000}"/>
    <cellStyle name="Migliaia 40 4 3 2" xfId="37911" xr:uid="{00000000-0005-0000-0000-0000057F0000}"/>
    <cellStyle name="Migliaia 40 4 3 3" xfId="38866" xr:uid="{00000000-0005-0000-0000-0000067F0000}"/>
    <cellStyle name="Migliaia 40 4 4" xfId="19499" xr:uid="{00000000-0005-0000-0000-0000077F0000}"/>
    <cellStyle name="Migliaia 40 4 4 2" xfId="37463" xr:uid="{00000000-0005-0000-0000-0000087F0000}"/>
    <cellStyle name="Migliaia 40 4 5" xfId="11548" xr:uid="{00000000-0005-0000-0000-0000097F0000}"/>
    <cellStyle name="Migliaia 40 4 6" xfId="21593" xr:uid="{00000000-0005-0000-0000-00000A7F0000}"/>
    <cellStyle name="Migliaia 40 4 7" xfId="38418" xr:uid="{00000000-0005-0000-0000-00000B7F0000}"/>
    <cellStyle name="Migliaia 40 4 8" xfId="39746" xr:uid="{00000000-0005-0000-0000-00000C7F0000}"/>
    <cellStyle name="Migliaia 40 4 9" xfId="40232" xr:uid="{00000000-0005-0000-0000-00000D7F0000}"/>
    <cellStyle name="Migliaia 40 5" xfId="664" xr:uid="{00000000-0005-0000-0000-00000E7F0000}"/>
    <cellStyle name="Migliaia 40 5 2" xfId="19501" xr:uid="{00000000-0005-0000-0000-00000F7F0000}"/>
    <cellStyle name="Migliaia 40 5 2 2" xfId="37465" xr:uid="{00000000-0005-0000-0000-0000107F0000}"/>
    <cellStyle name="Migliaia 40 5 3" xfId="11549" xr:uid="{00000000-0005-0000-0000-0000117F0000}"/>
    <cellStyle name="Migliaia 40 5 4" xfId="21594" xr:uid="{00000000-0005-0000-0000-0000127F0000}"/>
    <cellStyle name="Migliaia 40 5 5" xfId="38420" xr:uid="{00000000-0005-0000-0000-0000137F0000}"/>
    <cellStyle name="Migliaia 40 5 6" xfId="39747" xr:uid="{00000000-0005-0000-0000-0000147F0000}"/>
    <cellStyle name="Migliaia 40 5 7" xfId="40233" xr:uid="{00000000-0005-0000-0000-0000157F0000}"/>
    <cellStyle name="Migliaia 40 6" xfId="665" xr:uid="{00000000-0005-0000-0000-0000167F0000}"/>
    <cellStyle name="Migliaia 40 6 2" xfId="11544" xr:uid="{00000000-0005-0000-0000-0000177F0000}"/>
    <cellStyle name="Migliaia 40 6 3" xfId="21595" xr:uid="{00000000-0005-0000-0000-0000187F0000}"/>
    <cellStyle name="Migliaia 40 6 4" xfId="39748" xr:uid="{00000000-0005-0000-0000-0000197F0000}"/>
    <cellStyle name="Migliaia 40 6 5" xfId="40234" xr:uid="{00000000-0005-0000-0000-00001A7F0000}"/>
    <cellStyle name="Migliaia 40 7" xfId="12159" xr:uid="{00000000-0005-0000-0000-00001B7F0000}"/>
    <cellStyle name="Migliaia 40 7 2" xfId="30344" xr:uid="{00000000-0005-0000-0000-00001C7F0000}"/>
    <cellStyle name="Migliaia 40 8" xfId="19494" xr:uid="{00000000-0005-0000-0000-00001D7F0000}"/>
    <cellStyle name="Migliaia 40 8 2" xfId="37458" xr:uid="{00000000-0005-0000-0000-00001E7F0000}"/>
    <cellStyle name="Migliaia 40 9" xfId="3339" xr:uid="{00000000-0005-0000-0000-00001F7F0000}"/>
    <cellStyle name="Migliaia 40 9 2" xfId="23339" xr:uid="{00000000-0005-0000-0000-0000207F0000}"/>
    <cellStyle name="Migliaia 41" xfId="666" xr:uid="{00000000-0005-0000-0000-0000217F0000}"/>
    <cellStyle name="Migliaia 41 10" xfId="21596" xr:uid="{00000000-0005-0000-0000-0000227F0000}"/>
    <cellStyle name="Migliaia 41 11" xfId="38421" xr:uid="{00000000-0005-0000-0000-0000237F0000}"/>
    <cellStyle name="Migliaia 41 12" xfId="39247" xr:uid="{00000000-0005-0000-0000-0000247F0000}"/>
    <cellStyle name="Migliaia 41 13" xfId="39749" xr:uid="{00000000-0005-0000-0000-0000257F0000}"/>
    <cellStyle name="Migliaia 41 14" xfId="40235" xr:uid="{00000000-0005-0000-0000-0000267F0000}"/>
    <cellStyle name="Migliaia 41 2" xfId="667" xr:uid="{00000000-0005-0000-0000-0000277F0000}"/>
    <cellStyle name="Migliaia 41 2 10" xfId="39750" xr:uid="{00000000-0005-0000-0000-0000287F0000}"/>
    <cellStyle name="Migliaia 41 2 11" xfId="40236" xr:uid="{00000000-0005-0000-0000-0000297F0000}"/>
    <cellStyle name="Migliaia 41 2 2" xfId="3573" xr:uid="{00000000-0005-0000-0000-00002A7F0000}"/>
    <cellStyle name="Migliaia 41 2 2 2" xfId="12334" xr:uid="{00000000-0005-0000-0000-00002B7F0000}"/>
    <cellStyle name="Migliaia 41 2 2 2 2" xfId="30504" xr:uid="{00000000-0005-0000-0000-00002C7F0000}"/>
    <cellStyle name="Migliaia 41 2 2 3" xfId="20596" xr:uid="{00000000-0005-0000-0000-00002D7F0000}"/>
    <cellStyle name="Migliaia 41 2 2 3 2" xfId="37913" xr:uid="{00000000-0005-0000-0000-00002E7F0000}"/>
    <cellStyle name="Migliaia 41 2 2 4" xfId="23502" xr:uid="{00000000-0005-0000-0000-00002F7F0000}"/>
    <cellStyle name="Migliaia 41 2 2 5" xfId="38868" xr:uid="{00000000-0005-0000-0000-0000307F0000}"/>
    <cellStyle name="Migliaia 41 2 2 6" xfId="39418" xr:uid="{00000000-0005-0000-0000-0000317F0000}"/>
    <cellStyle name="Migliaia 41 2 3" xfId="11551" xr:uid="{00000000-0005-0000-0000-0000327F0000}"/>
    <cellStyle name="Migliaia 41 2 4" xfId="12164" xr:uid="{00000000-0005-0000-0000-0000337F0000}"/>
    <cellStyle name="Migliaia 41 2 4 2" xfId="30349" xr:uid="{00000000-0005-0000-0000-0000347F0000}"/>
    <cellStyle name="Migliaia 41 2 5" xfId="19503" xr:uid="{00000000-0005-0000-0000-0000357F0000}"/>
    <cellStyle name="Migliaia 41 2 5 2" xfId="37467" xr:uid="{00000000-0005-0000-0000-0000367F0000}"/>
    <cellStyle name="Migliaia 41 2 6" xfId="3344" xr:uid="{00000000-0005-0000-0000-0000377F0000}"/>
    <cellStyle name="Migliaia 41 2 6 2" xfId="23344" xr:uid="{00000000-0005-0000-0000-0000387F0000}"/>
    <cellStyle name="Migliaia 41 2 7" xfId="21597" xr:uid="{00000000-0005-0000-0000-0000397F0000}"/>
    <cellStyle name="Migliaia 41 2 8" xfId="38422" xr:uid="{00000000-0005-0000-0000-00003A7F0000}"/>
    <cellStyle name="Migliaia 41 2 9" xfId="39248" xr:uid="{00000000-0005-0000-0000-00003B7F0000}"/>
    <cellStyle name="Migliaia 41 3" xfId="668" xr:uid="{00000000-0005-0000-0000-00003C7F0000}"/>
    <cellStyle name="Migliaia 41 3 10" xfId="39751" xr:uid="{00000000-0005-0000-0000-00003D7F0000}"/>
    <cellStyle name="Migliaia 41 3 11" xfId="40237" xr:uid="{00000000-0005-0000-0000-00003E7F0000}"/>
    <cellStyle name="Migliaia 41 3 2" xfId="669" xr:uid="{00000000-0005-0000-0000-00003F7F0000}"/>
    <cellStyle name="Migliaia 41 3 2 10" xfId="40238" xr:uid="{00000000-0005-0000-0000-0000407F0000}"/>
    <cellStyle name="Migliaia 41 3 2 2" xfId="11553" xr:uid="{00000000-0005-0000-0000-0000417F0000}"/>
    <cellStyle name="Migliaia 41 3 2 3" xfId="12166" xr:uid="{00000000-0005-0000-0000-0000427F0000}"/>
    <cellStyle name="Migliaia 41 3 2 3 2" xfId="30351" xr:uid="{00000000-0005-0000-0000-0000437F0000}"/>
    <cellStyle name="Migliaia 41 3 2 4" xfId="19505" xr:uid="{00000000-0005-0000-0000-0000447F0000}"/>
    <cellStyle name="Migliaia 41 3 2 4 2" xfId="37469" xr:uid="{00000000-0005-0000-0000-0000457F0000}"/>
    <cellStyle name="Migliaia 41 3 2 5" xfId="3346" xr:uid="{00000000-0005-0000-0000-0000467F0000}"/>
    <cellStyle name="Migliaia 41 3 2 5 2" xfId="23346" xr:uid="{00000000-0005-0000-0000-0000477F0000}"/>
    <cellStyle name="Migliaia 41 3 2 6" xfId="21599" xr:uid="{00000000-0005-0000-0000-0000487F0000}"/>
    <cellStyle name="Migliaia 41 3 2 7" xfId="38424" xr:uid="{00000000-0005-0000-0000-0000497F0000}"/>
    <cellStyle name="Migliaia 41 3 2 8" xfId="39250" xr:uid="{00000000-0005-0000-0000-00004A7F0000}"/>
    <cellStyle name="Migliaia 41 3 2 9" xfId="39752" xr:uid="{00000000-0005-0000-0000-00004B7F0000}"/>
    <cellStyle name="Migliaia 41 3 3" xfId="11552" xr:uid="{00000000-0005-0000-0000-00004C7F0000}"/>
    <cellStyle name="Migliaia 41 3 3 2" xfId="20598" xr:uid="{00000000-0005-0000-0000-00004D7F0000}"/>
    <cellStyle name="Migliaia 41 3 3 2 2" xfId="37915" xr:uid="{00000000-0005-0000-0000-00004E7F0000}"/>
    <cellStyle name="Migliaia 41 3 3 2 3" xfId="38870" xr:uid="{00000000-0005-0000-0000-00004F7F0000}"/>
    <cellStyle name="Migliaia 41 3 3 3" xfId="19506" xr:uid="{00000000-0005-0000-0000-0000507F0000}"/>
    <cellStyle name="Migliaia 41 3 3 3 2" xfId="37470" xr:uid="{00000000-0005-0000-0000-0000517F0000}"/>
    <cellStyle name="Migliaia 41 3 3 4" xfId="38425" xr:uid="{00000000-0005-0000-0000-0000527F0000}"/>
    <cellStyle name="Migliaia 41 3 4" xfId="12165" xr:uid="{00000000-0005-0000-0000-0000537F0000}"/>
    <cellStyle name="Migliaia 41 3 4 2" xfId="20597" xr:uid="{00000000-0005-0000-0000-0000547F0000}"/>
    <cellStyle name="Migliaia 41 3 4 2 2" xfId="37914" xr:uid="{00000000-0005-0000-0000-0000557F0000}"/>
    <cellStyle name="Migliaia 41 3 4 3" xfId="30350" xr:uid="{00000000-0005-0000-0000-0000567F0000}"/>
    <cellStyle name="Migliaia 41 3 4 4" xfId="38869" xr:uid="{00000000-0005-0000-0000-0000577F0000}"/>
    <cellStyle name="Migliaia 41 3 5" xfId="19504" xr:uid="{00000000-0005-0000-0000-0000587F0000}"/>
    <cellStyle name="Migliaia 41 3 5 2" xfId="37468" xr:uid="{00000000-0005-0000-0000-0000597F0000}"/>
    <cellStyle name="Migliaia 41 3 6" xfId="3345" xr:uid="{00000000-0005-0000-0000-00005A7F0000}"/>
    <cellStyle name="Migliaia 41 3 6 2" xfId="23345" xr:uid="{00000000-0005-0000-0000-00005B7F0000}"/>
    <cellStyle name="Migliaia 41 3 7" xfId="21598" xr:uid="{00000000-0005-0000-0000-00005C7F0000}"/>
    <cellStyle name="Migliaia 41 3 8" xfId="38423" xr:uid="{00000000-0005-0000-0000-00005D7F0000}"/>
    <cellStyle name="Migliaia 41 3 9" xfId="39249" xr:uid="{00000000-0005-0000-0000-00005E7F0000}"/>
    <cellStyle name="Migliaia 41 4" xfId="670" xr:uid="{00000000-0005-0000-0000-00005F7F0000}"/>
    <cellStyle name="Migliaia 41 4 2" xfId="19508" xr:uid="{00000000-0005-0000-0000-0000607F0000}"/>
    <cellStyle name="Migliaia 41 4 2 2" xfId="20600" xr:uid="{00000000-0005-0000-0000-0000617F0000}"/>
    <cellStyle name="Migliaia 41 4 2 2 2" xfId="37917" xr:uid="{00000000-0005-0000-0000-0000627F0000}"/>
    <cellStyle name="Migliaia 41 4 2 2 3" xfId="38872" xr:uid="{00000000-0005-0000-0000-0000637F0000}"/>
    <cellStyle name="Migliaia 41 4 2 3" xfId="37472" xr:uid="{00000000-0005-0000-0000-0000647F0000}"/>
    <cellStyle name="Migliaia 41 4 2 4" xfId="38427" xr:uid="{00000000-0005-0000-0000-0000657F0000}"/>
    <cellStyle name="Migliaia 41 4 3" xfId="20599" xr:uid="{00000000-0005-0000-0000-0000667F0000}"/>
    <cellStyle name="Migliaia 41 4 3 2" xfId="37916" xr:uid="{00000000-0005-0000-0000-0000677F0000}"/>
    <cellStyle name="Migliaia 41 4 3 3" xfId="38871" xr:uid="{00000000-0005-0000-0000-0000687F0000}"/>
    <cellStyle name="Migliaia 41 4 4" xfId="19507" xr:uid="{00000000-0005-0000-0000-0000697F0000}"/>
    <cellStyle name="Migliaia 41 4 4 2" xfId="37471" xr:uid="{00000000-0005-0000-0000-00006A7F0000}"/>
    <cellStyle name="Migliaia 41 4 5" xfId="11554" xr:uid="{00000000-0005-0000-0000-00006B7F0000}"/>
    <cellStyle name="Migliaia 41 4 6" xfId="21600" xr:uid="{00000000-0005-0000-0000-00006C7F0000}"/>
    <cellStyle name="Migliaia 41 4 7" xfId="38426" xr:uid="{00000000-0005-0000-0000-00006D7F0000}"/>
    <cellStyle name="Migliaia 41 4 8" xfId="39753" xr:uid="{00000000-0005-0000-0000-00006E7F0000}"/>
    <cellStyle name="Migliaia 41 4 9" xfId="40239" xr:uid="{00000000-0005-0000-0000-00006F7F0000}"/>
    <cellStyle name="Migliaia 41 5" xfId="671" xr:uid="{00000000-0005-0000-0000-0000707F0000}"/>
    <cellStyle name="Migliaia 41 5 2" xfId="19509" xr:uid="{00000000-0005-0000-0000-0000717F0000}"/>
    <cellStyle name="Migliaia 41 5 2 2" xfId="37473" xr:uid="{00000000-0005-0000-0000-0000727F0000}"/>
    <cellStyle name="Migliaia 41 5 3" xfId="11555" xr:uid="{00000000-0005-0000-0000-0000737F0000}"/>
    <cellStyle name="Migliaia 41 5 4" xfId="21601" xr:uid="{00000000-0005-0000-0000-0000747F0000}"/>
    <cellStyle name="Migliaia 41 5 5" xfId="38428" xr:uid="{00000000-0005-0000-0000-0000757F0000}"/>
    <cellStyle name="Migliaia 41 5 6" xfId="39754" xr:uid="{00000000-0005-0000-0000-0000767F0000}"/>
    <cellStyle name="Migliaia 41 5 7" xfId="40240" xr:uid="{00000000-0005-0000-0000-0000777F0000}"/>
    <cellStyle name="Migliaia 41 6" xfId="672" xr:uid="{00000000-0005-0000-0000-0000787F0000}"/>
    <cellStyle name="Migliaia 41 6 2" xfId="11550" xr:uid="{00000000-0005-0000-0000-0000797F0000}"/>
    <cellStyle name="Migliaia 41 6 3" xfId="21602" xr:uid="{00000000-0005-0000-0000-00007A7F0000}"/>
    <cellStyle name="Migliaia 41 6 4" xfId="39755" xr:uid="{00000000-0005-0000-0000-00007B7F0000}"/>
    <cellStyle name="Migliaia 41 6 5" xfId="40241" xr:uid="{00000000-0005-0000-0000-00007C7F0000}"/>
    <cellStyle name="Migliaia 41 7" xfId="12163" xr:uid="{00000000-0005-0000-0000-00007D7F0000}"/>
    <cellStyle name="Migliaia 41 7 2" xfId="30348" xr:uid="{00000000-0005-0000-0000-00007E7F0000}"/>
    <cellStyle name="Migliaia 41 8" xfId="19502" xr:uid="{00000000-0005-0000-0000-00007F7F0000}"/>
    <cellStyle name="Migliaia 41 8 2" xfId="37466" xr:uid="{00000000-0005-0000-0000-0000807F0000}"/>
    <cellStyle name="Migliaia 41 9" xfId="3343" xr:uid="{00000000-0005-0000-0000-0000817F0000}"/>
    <cellStyle name="Migliaia 41 9 2" xfId="23343" xr:uid="{00000000-0005-0000-0000-0000827F0000}"/>
    <cellStyle name="Migliaia 42" xfId="673" xr:uid="{00000000-0005-0000-0000-0000837F0000}"/>
    <cellStyle name="Migliaia 42 10" xfId="21603" xr:uid="{00000000-0005-0000-0000-0000847F0000}"/>
    <cellStyle name="Migliaia 42 11" xfId="38429" xr:uid="{00000000-0005-0000-0000-0000857F0000}"/>
    <cellStyle name="Migliaia 42 12" xfId="39251" xr:uid="{00000000-0005-0000-0000-0000867F0000}"/>
    <cellStyle name="Migliaia 42 13" xfId="39756" xr:uid="{00000000-0005-0000-0000-0000877F0000}"/>
    <cellStyle name="Migliaia 42 14" xfId="40242" xr:uid="{00000000-0005-0000-0000-0000887F0000}"/>
    <cellStyle name="Migliaia 42 2" xfId="674" xr:uid="{00000000-0005-0000-0000-0000897F0000}"/>
    <cellStyle name="Migliaia 42 2 10" xfId="39757" xr:uid="{00000000-0005-0000-0000-00008A7F0000}"/>
    <cellStyle name="Migliaia 42 2 11" xfId="40243" xr:uid="{00000000-0005-0000-0000-00008B7F0000}"/>
    <cellStyle name="Migliaia 42 2 2" xfId="3574" xr:uid="{00000000-0005-0000-0000-00008C7F0000}"/>
    <cellStyle name="Migliaia 42 2 2 2" xfId="12335" xr:uid="{00000000-0005-0000-0000-00008D7F0000}"/>
    <cellStyle name="Migliaia 42 2 2 2 2" xfId="30505" xr:uid="{00000000-0005-0000-0000-00008E7F0000}"/>
    <cellStyle name="Migliaia 42 2 2 3" xfId="20601" xr:uid="{00000000-0005-0000-0000-00008F7F0000}"/>
    <cellStyle name="Migliaia 42 2 2 3 2" xfId="37918" xr:uid="{00000000-0005-0000-0000-0000907F0000}"/>
    <cellStyle name="Migliaia 42 2 2 4" xfId="23503" xr:uid="{00000000-0005-0000-0000-0000917F0000}"/>
    <cellStyle name="Migliaia 42 2 2 5" xfId="38873" xr:uid="{00000000-0005-0000-0000-0000927F0000}"/>
    <cellStyle name="Migliaia 42 2 2 6" xfId="39419" xr:uid="{00000000-0005-0000-0000-0000937F0000}"/>
    <cellStyle name="Migliaia 42 2 3" xfId="11557" xr:uid="{00000000-0005-0000-0000-0000947F0000}"/>
    <cellStyle name="Migliaia 42 2 4" xfId="12168" xr:uid="{00000000-0005-0000-0000-0000957F0000}"/>
    <cellStyle name="Migliaia 42 2 4 2" xfId="30353" xr:uid="{00000000-0005-0000-0000-0000967F0000}"/>
    <cellStyle name="Migliaia 42 2 5" xfId="19511" xr:uid="{00000000-0005-0000-0000-0000977F0000}"/>
    <cellStyle name="Migliaia 42 2 5 2" xfId="37475" xr:uid="{00000000-0005-0000-0000-0000987F0000}"/>
    <cellStyle name="Migliaia 42 2 6" xfId="3348" xr:uid="{00000000-0005-0000-0000-0000997F0000}"/>
    <cellStyle name="Migliaia 42 2 6 2" xfId="23348" xr:uid="{00000000-0005-0000-0000-00009A7F0000}"/>
    <cellStyle name="Migliaia 42 2 7" xfId="21604" xr:uid="{00000000-0005-0000-0000-00009B7F0000}"/>
    <cellStyle name="Migliaia 42 2 8" xfId="38430" xr:uid="{00000000-0005-0000-0000-00009C7F0000}"/>
    <cellStyle name="Migliaia 42 2 9" xfId="39252" xr:uid="{00000000-0005-0000-0000-00009D7F0000}"/>
    <cellStyle name="Migliaia 42 3" xfId="675" xr:uid="{00000000-0005-0000-0000-00009E7F0000}"/>
    <cellStyle name="Migliaia 42 3 10" xfId="39758" xr:uid="{00000000-0005-0000-0000-00009F7F0000}"/>
    <cellStyle name="Migliaia 42 3 11" xfId="40244" xr:uid="{00000000-0005-0000-0000-0000A07F0000}"/>
    <cellStyle name="Migliaia 42 3 2" xfId="676" xr:uid="{00000000-0005-0000-0000-0000A17F0000}"/>
    <cellStyle name="Migliaia 42 3 2 10" xfId="40245" xr:uid="{00000000-0005-0000-0000-0000A27F0000}"/>
    <cellStyle name="Migliaia 42 3 2 2" xfId="11559" xr:uid="{00000000-0005-0000-0000-0000A37F0000}"/>
    <cellStyle name="Migliaia 42 3 2 3" xfId="12170" xr:uid="{00000000-0005-0000-0000-0000A47F0000}"/>
    <cellStyle name="Migliaia 42 3 2 3 2" xfId="30355" xr:uid="{00000000-0005-0000-0000-0000A57F0000}"/>
    <cellStyle name="Migliaia 42 3 2 4" xfId="19513" xr:uid="{00000000-0005-0000-0000-0000A67F0000}"/>
    <cellStyle name="Migliaia 42 3 2 4 2" xfId="37477" xr:uid="{00000000-0005-0000-0000-0000A77F0000}"/>
    <cellStyle name="Migliaia 42 3 2 5" xfId="3350" xr:uid="{00000000-0005-0000-0000-0000A87F0000}"/>
    <cellStyle name="Migliaia 42 3 2 5 2" xfId="23350" xr:uid="{00000000-0005-0000-0000-0000A97F0000}"/>
    <cellStyle name="Migliaia 42 3 2 6" xfId="21606" xr:uid="{00000000-0005-0000-0000-0000AA7F0000}"/>
    <cellStyle name="Migliaia 42 3 2 7" xfId="38432" xr:uid="{00000000-0005-0000-0000-0000AB7F0000}"/>
    <cellStyle name="Migliaia 42 3 2 8" xfId="39254" xr:uid="{00000000-0005-0000-0000-0000AC7F0000}"/>
    <cellStyle name="Migliaia 42 3 2 9" xfId="39759" xr:uid="{00000000-0005-0000-0000-0000AD7F0000}"/>
    <cellStyle name="Migliaia 42 3 3" xfId="11558" xr:uid="{00000000-0005-0000-0000-0000AE7F0000}"/>
    <cellStyle name="Migliaia 42 3 3 2" xfId="20603" xr:uid="{00000000-0005-0000-0000-0000AF7F0000}"/>
    <cellStyle name="Migliaia 42 3 3 2 2" xfId="37920" xr:uid="{00000000-0005-0000-0000-0000B07F0000}"/>
    <cellStyle name="Migliaia 42 3 3 2 3" xfId="38875" xr:uid="{00000000-0005-0000-0000-0000B17F0000}"/>
    <cellStyle name="Migliaia 42 3 3 3" xfId="19514" xr:uid="{00000000-0005-0000-0000-0000B27F0000}"/>
    <cellStyle name="Migliaia 42 3 3 3 2" xfId="37478" xr:uid="{00000000-0005-0000-0000-0000B37F0000}"/>
    <cellStyle name="Migliaia 42 3 3 4" xfId="38433" xr:uid="{00000000-0005-0000-0000-0000B47F0000}"/>
    <cellStyle name="Migliaia 42 3 4" xfId="12169" xr:uid="{00000000-0005-0000-0000-0000B57F0000}"/>
    <cellStyle name="Migliaia 42 3 4 2" xfId="20602" xr:uid="{00000000-0005-0000-0000-0000B67F0000}"/>
    <cellStyle name="Migliaia 42 3 4 2 2" xfId="37919" xr:uid="{00000000-0005-0000-0000-0000B77F0000}"/>
    <cellStyle name="Migliaia 42 3 4 3" xfId="30354" xr:uid="{00000000-0005-0000-0000-0000B87F0000}"/>
    <cellStyle name="Migliaia 42 3 4 4" xfId="38874" xr:uid="{00000000-0005-0000-0000-0000B97F0000}"/>
    <cellStyle name="Migliaia 42 3 5" xfId="19512" xr:uid="{00000000-0005-0000-0000-0000BA7F0000}"/>
    <cellStyle name="Migliaia 42 3 5 2" xfId="37476" xr:uid="{00000000-0005-0000-0000-0000BB7F0000}"/>
    <cellStyle name="Migliaia 42 3 6" xfId="3349" xr:uid="{00000000-0005-0000-0000-0000BC7F0000}"/>
    <cellStyle name="Migliaia 42 3 6 2" xfId="23349" xr:uid="{00000000-0005-0000-0000-0000BD7F0000}"/>
    <cellStyle name="Migliaia 42 3 7" xfId="21605" xr:uid="{00000000-0005-0000-0000-0000BE7F0000}"/>
    <cellStyle name="Migliaia 42 3 8" xfId="38431" xr:uid="{00000000-0005-0000-0000-0000BF7F0000}"/>
    <cellStyle name="Migliaia 42 3 9" xfId="39253" xr:uid="{00000000-0005-0000-0000-0000C07F0000}"/>
    <cellStyle name="Migliaia 42 4" xfId="677" xr:uid="{00000000-0005-0000-0000-0000C17F0000}"/>
    <cellStyle name="Migliaia 42 4 2" xfId="19516" xr:uid="{00000000-0005-0000-0000-0000C27F0000}"/>
    <cellStyle name="Migliaia 42 4 2 2" xfId="20605" xr:uid="{00000000-0005-0000-0000-0000C37F0000}"/>
    <cellStyle name="Migliaia 42 4 2 2 2" xfId="37922" xr:uid="{00000000-0005-0000-0000-0000C47F0000}"/>
    <cellStyle name="Migliaia 42 4 2 2 3" xfId="38877" xr:uid="{00000000-0005-0000-0000-0000C57F0000}"/>
    <cellStyle name="Migliaia 42 4 2 3" xfId="37480" xr:uid="{00000000-0005-0000-0000-0000C67F0000}"/>
    <cellStyle name="Migliaia 42 4 2 4" xfId="38435" xr:uid="{00000000-0005-0000-0000-0000C77F0000}"/>
    <cellStyle name="Migliaia 42 4 3" xfId="20604" xr:uid="{00000000-0005-0000-0000-0000C87F0000}"/>
    <cellStyle name="Migliaia 42 4 3 2" xfId="37921" xr:uid="{00000000-0005-0000-0000-0000C97F0000}"/>
    <cellStyle name="Migliaia 42 4 3 3" xfId="38876" xr:uid="{00000000-0005-0000-0000-0000CA7F0000}"/>
    <cellStyle name="Migliaia 42 4 4" xfId="19515" xr:uid="{00000000-0005-0000-0000-0000CB7F0000}"/>
    <cellStyle name="Migliaia 42 4 4 2" xfId="37479" xr:uid="{00000000-0005-0000-0000-0000CC7F0000}"/>
    <cellStyle name="Migliaia 42 4 5" xfId="11560" xr:uid="{00000000-0005-0000-0000-0000CD7F0000}"/>
    <cellStyle name="Migliaia 42 4 6" xfId="21607" xr:uid="{00000000-0005-0000-0000-0000CE7F0000}"/>
    <cellStyle name="Migliaia 42 4 7" xfId="38434" xr:uid="{00000000-0005-0000-0000-0000CF7F0000}"/>
    <cellStyle name="Migliaia 42 4 8" xfId="39760" xr:uid="{00000000-0005-0000-0000-0000D07F0000}"/>
    <cellStyle name="Migliaia 42 4 9" xfId="40246" xr:uid="{00000000-0005-0000-0000-0000D17F0000}"/>
    <cellStyle name="Migliaia 42 5" xfId="678" xr:uid="{00000000-0005-0000-0000-0000D27F0000}"/>
    <cellStyle name="Migliaia 42 5 2" xfId="19517" xr:uid="{00000000-0005-0000-0000-0000D37F0000}"/>
    <cellStyle name="Migliaia 42 5 2 2" xfId="37481" xr:uid="{00000000-0005-0000-0000-0000D47F0000}"/>
    <cellStyle name="Migliaia 42 5 3" xfId="11561" xr:uid="{00000000-0005-0000-0000-0000D57F0000}"/>
    <cellStyle name="Migliaia 42 5 4" xfId="21608" xr:uid="{00000000-0005-0000-0000-0000D67F0000}"/>
    <cellStyle name="Migliaia 42 5 5" xfId="38436" xr:uid="{00000000-0005-0000-0000-0000D77F0000}"/>
    <cellStyle name="Migliaia 42 5 6" xfId="39761" xr:uid="{00000000-0005-0000-0000-0000D87F0000}"/>
    <cellStyle name="Migliaia 42 5 7" xfId="40247" xr:uid="{00000000-0005-0000-0000-0000D97F0000}"/>
    <cellStyle name="Migliaia 42 6" xfId="679" xr:uid="{00000000-0005-0000-0000-0000DA7F0000}"/>
    <cellStyle name="Migliaia 42 6 2" xfId="11556" xr:uid="{00000000-0005-0000-0000-0000DB7F0000}"/>
    <cellStyle name="Migliaia 42 6 3" xfId="21609" xr:uid="{00000000-0005-0000-0000-0000DC7F0000}"/>
    <cellStyle name="Migliaia 42 6 4" xfId="39762" xr:uid="{00000000-0005-0000-0000-0000DD7F0000}"/>
    <cellStyle name="Migliaia 42 6 5" xfId="40248" xr:uid="{00000000-0005-0000-0000-0000DE7F0000}"/>
    <cellStyle name="Migliaia 42 7" xfId="12167" xr:uid="{00000000-0005-0000-0000-0000DF7F0000}"/>
    <cellStyle name="Migliaia 42 7 2" xfId="30352" xr:uid="{00000000-0005-0000-0000-0000E07F0000}"/>
    <cellStyle name="Migliaia 42 8" xfId="19510" xr:uid="{00000000-0005-0000-0000-0000E17F0000}"/>
    <cellStyle name="Migliaia 42 8 2" xfId="37474" xr:uid="{00000000-0005-0000-0000-0000E27F0000}"/>
    <cellStyle name="Migliaia 42 9" xfId="3347" xr:uid="{00000000-0005-0000-0000-0000E37F0000}"/>
    <cellStyle name="Migliaia 42 9 2" xfId="23347" xr:uid="{00000000-0005-0000-0000-0000E47F0000}"/>
    <cellStyle name="Migliaia 43" xfId="680" xr:uid="{00000000-0005-0000-0000-0000E57F0000}"/>
    <cellStyle name="Migliaia 43 10" xfId="21610" xr:uid="{00000000-0005-0000-0000-0000E67F0000}"/>
    <cellStyle name="Migliaia 43 11" xfId="38437" xr:uid="{00000000-0005-0000-0000-0000E77F0000}"/>
    <cellStyle name="Migliaia 43 12" xfId="39255" xr:uid="{00000000-0005-0000-0000-0000E87F0000}"/>
    <cellStyle name="Migliaia 43 13" xfId="39763" xr:uid="{00000000-0005-0000-0000-0000E97F0000}"/>
    <cellStyle name="Migliaia 43 14" xfId="40249" xr:uid="{00000000-0005-0000-0000-0000EA7F0000}"/>
    <cellStyle name="Migliaia 43 2" xfId="681" xr:uid="{00000000-0005-0000-0000-0000EB7F0000}"/>
    <cellStyle name="Migliaia 43 2 10" xfId="39764" xr:uid="{00000000-0005-0000-0000-0000EC7F0000}"/>
    <cellStyle name="Migliaia 43 2 11" xfId="40250" xr:uid="{00000000-0005-0000-0000-0000ED7F0000}"/>
    <cellStyle name="Migliaia 43 2 2" xfId="3575" xr:uid="{00000000-0005-0000-0000-0000EE7F0000}"/>
    <cellStyle name="Migliaia 43 2 2 2" xfId="12336" xr:uid="{00000000-0005-0000-0000-0000EF7F0000}"/>
    <cellStyle name="Migliaia 43 2 2 2 2" xfId="30506" xr:uid="{00000000-0005-0000-0000-0000F07F0000}"/>
    <cellStyle name="Migliaia 43 2 2 3" xfId="20606" xr:uid="{00000000-0005-0000-0000-0000F17F0000}"/>
    <cellStyle name="Migliaia 43 2 2 3 2" xfId="37923" xr:uid="{00000000-0005-0000-0000-0000F27F0000}"/>
    <cellStyle name="Migliaia 43 2 2 4" xfId="23504" xr:uid="{00000000-0005-0000-0000-0000F37F0000}"/>
    <cellStyle name="Migliaia 43 2 2 5" xfId="38878" xr:uid="{00000000-0005-0000-0000-0000F47F0000}"/>
    <cellStyle name="Migliaia 43 2 2 6" xfId="39420" xr:uid="{00000000-0005-0000-0000-0000F57F0000}"/>
    <cellStyle name="Migliaia 43 2 3" xfId="11563" xr:uid="{00000000-0005-0000-0000-0000F67F0000}"/>
    <cellStyle name="Migliaia 43 2 4" xfId="12172" xr:uid="{00000000-0005-0000-0000-0000F77F0000}"/>
    <cellStyle name="Migliaia 43 2 4 2" xfId="30357" xr:uid="{00000000-0005-0000-0000-0000F87F0000}"/>
    <cellStyle name="Migliaia 43 2 5" xfId="19519" xr:uid="{00000000-0005-0000-0000-0000F97F0000}"/>
    <cellStyle name="Migliaia 43 2 5 2" xfId="37483" xr:uid="{00000000-0005-0000-0000-0000FA7F0000}"/>
    <cellStyle name="Migliaia 43 2 6" xfId="3352" xr:uid="{00000000-0005-0000-0000-0000FB7F0000}"/>
    <cellStyle name="Migliaia 43 2 6 2" xfId="23352" xr:uid="{00000000-0005-0000-0000-0000FC7F0000}"/>
    <cellStyle name="Migliaia 43 2 7" xfId="21611" xr:uid="{00000000-0005-0000-0000-0000FD7F0000}"/>
    <cellStyle name="Migliaia 43 2 8" xfId="38438" xr:uid="{00000000-0005-0000-0000-0000FE7F0000}"/>
    <cellStyle name="Migliaia 43 2 9" xfId="39256" xr:uid="{00000000-0005-0000-0000-0000FF7F0000}"/>
    <cellStyle name="Migliaia 43 3" xfId="682" xr:uid="{00000000-0005-0000-0000-000000800000}"/>
    <cellStyle name="Migliaia 43 3 10" xfId="39765" xr:uid="{00000000-0005-0000-0000-000001800000}"/>
    <cellStyle name="Migliaia 43 3 11" xfId="40251" xr:uid="{00000000-0005-0000-0000-000002800000}"/>
    <cellStyle name="Migliaia 43 3 2" xfId="683" xr:uid="{00000000-0005-0000-0000-000003800000}"/>
    <cellStyle name="Migliaia 43 3 2 10" xfId="40252" xr:uid="{00000000-0005-0000-0000-000004800000}"/>
    <cellStyle name="Migliaia 43 3 2 2" xfId="11565" xr:uid="{00000000-0005-0000-0000-000005800000}"/>
    <cellStyle name="Migliaia 43 3 2 3" xfId="12174" xr:uid="{00000000-0005-0000-0000-000006800000}"/>
    <cellStyle name="Migliaia 43 3 2 3 2" xfId="30359" xr:uid="{00000000-0005-0000-0000-000007800000}"/>
    <cellStyle name="Migliaia 43 3 2 4" xfId="19521" xr:uid="{00000000-0005-0000-0000-000008800000}"/>
    <cellStyle name="Migliaia 43 3 2 4 2" xfId="37485" xr:uid="{00000000-0005-0000-0000-000009800000}"/>
    <cellStyle name="Migliaia 43 3 2 5" xfId="3354" xr:uid="{00000000-0005-0000-0000-00000A800000}"/>
    <cellStyle name="Migliaia 43 3 2 5 2" xfId="23354" xr:uid="{00000000-0005-0000-0000-00000B800000}"/>
    <cellStyle name="Migliaia 43 3 2 6" xfId="21613" xr:uid="{00000000-0005-0000-0000-00000C800000}"/>
    <cellStyle name="Migliaia 43 3 2 7" xfId="38440" xr:uid="{00000000-0005-0000-0000-00000D800000}"/>
    <cellStyle name="Migliaia 43 3 2 8" xfId="39258" xr:uid="{00000000-0005-0000-0000-00000E800000}"/>
    <cellStyle name="Migliaia 43 3 2 9" xfId="39766" xr:uid="{00000000-0005-0000-0000-00000F800000}"/>
    <cellStyle name="Migliaia 43 3 3" xfId="11564" xr:uid="{00000000-0005-0000-0000-000010800000}"/>
    <cellStyle name="Migliaia 43 3 3 2" xfId="20608" xr:uid="{00000000-0005-0000-0000-000011800000}"/>
    <cellStyle name="Migliaia 43 3 3 2 2" xfId="37925" xr:uid="{00000000-0005-0000-0000-000012800000}"/>
    <cellStyle name="Migliaia 43 3 3 2 3" xfId="38880" xr:uid="{00000000-0005-0000-0000-000013800000}"/>
    <cellStyle name="Migliaia 43 3 3 3" xfId="19522" xr:uid="{00000000-0005-0000-0000-000014800000}"/>
    <cellStyle name="Migliaia 43 3 3 3 2" xfId="37486" xr:uid="{00000000-0005-0000-0000-000015800000}"/>
    <cellStyle name="Migliaia 43 3 3 4" xfId="38441" xr:uid="{00000000-0005-0000-0000-000016800000}"/>
    <cellStyle name="Migliaia 43 3 4" xfId="12173" xr:uid="{00000000-0005-0000-0000-000017800000}"/>
    <cellStyle name="Migliaia 43 3 4 2" xfId="20607" xr:uid="{00000000-0005-0000-0000-000018800000}"/>
    <cellStyle name="Migliaia 43 3 4 2 2" xfId="37924" xr:uid="{00000000-0005-0000-0000-000019800000}"/>
    <cellStyle name="Migliaia 43 3 4 3" xfId="30358" xr:uid="{00000000-0005-0000-0000-00001A800000}"/>
    <cellStyle name="Migliaia 43 3 4 4" xfId="38879" xr:uid="{00000000-0005-0000-0000-00001B800000}"/>
    <cellStyle name="Migliaia 43 3 5" xfId="19520" xr:uid="{00000000-0005-0000-0000-00001C800000}"/>
    <cellStyle name="Migliaia 43 3 5 2" xfId="37484" xr:uid="{00000000-0005-0000-0000-00001D800000}"/>
    <cellStyle name="Migliaia 43 3 6" xfId="3353" xr:uid="{00000000-0005-0000-0000-00001E800000}"/>
    <cellStyle name="Migliaia 43 3 6 2" xfId="23353" xr:uid="{00000000-0005-0000-0000-00001F800000}"/>
    <cellStyle name="Migliaia 43 3 7" xfId="21612" xr:uid="{00000000-0005-0000-0000-000020800000}"/>
    <cellStyle name="Migliaia 43 3 8" xfId="38439" xr:uid="{00000000-0005-0000-0000-000021800000}"/>
    <cellStyle name="Migliaia 43 3 9" xfId="39257" xr:uid="{00000000-0005-0000-0000-000022800000}"/>
    <cellStyle name="Migliaia 43 4" xfId="684" xr:uid="{00000000-0005-0000-0000-000023800000}"/>
    <cellStyle name="Migliaia 43 4 2" xfId="19524" xr:uid="{00000000-0005-0000-0000-000024800000}"/>
    <cellStyle name="Migliaia 43 4 2 2" xfId="20610" xr:uid="{00000000-0005-0000-0000-000025800000}"/>
    <cellStyle name="Migliaia 43 4 2 2 2" xfId="37927" xr:uid="{00000000-0005-0000-0000-000026800000}"/>
    <cellStyle name="Migliaia 43 4 2 2 3" xfId="38882" xr:uid="{00000000-0005-0000-0000-000027800000}"/>
    <cellStyle name="Migliaia 43 4 2 3" xfId="37488" xr:uid="{00000000-0005-0000-0000-000028800000}"/>
    <cellStyle name="Migliaia 43 4 2 4" xfId="38443" xr:uid="{00000000-0005-0000-0000-000029800000}"/>
    <cellStyle name="Migliaia 43 4 3" xfId="20609" xr:uid="{00000000-0005-0000-0000-00002A800000}"/>
    <cellStyle name="Migliaia 43 4 3 2" xfId="37926" xr:uid="{00000000-0005-0000-0000-00002B800000}"/>
    <cellStyle name="Migliaia 43 4 3 3" xfId="38881" xr:uid="{00000000-0005-0000-0000-00002C800000}"/>
    <cellStyle name="Migliaia 43 4 4" xfId="19523" xr:uid="{00000000-0005-0000-0000-00002D800000}"/>
    <cellStyle name="Migliaia 43 4 4 2" xfId="37487" xr:uid="{00000000-0005-0000-0000-00002E800000}"/>
    <cellStyle name="Migliaia 43 4 5" xfId="11566" xr:uid="{00000000-0005-0000-0000-00002F800000}"/>
    <cellStyle name="Migliaia 43 4 6" xfId="21614" xr:uid="{00000000-0005-0000-0000-000030800000}"/>
    <cellStyle name="Migliaia 43 4 7" xfId="38442" xr:uid="{00000000-0005-0000-0000-000031800000}"/>
    <cellStyle name="Migliaia 43 4 8" xfId="39767" xr:uid="{00000000-0005-0000-0000-000032800000}"/>
    <cellStyle name="Migliaia 43 4 9" xfId="40253" xr:uid="{00000000-0005-0000-0000-000033800000}"/>
    <cellStyle name="Migliaia 43 5" xfId="685" xr:uid="{00000000-0005-0000-0000-000034800000}"/>
    <cellStyle name="Migliaia 43 5 2" xfId="19525" xr:uid="{00000000-0005-0000-0000-000035800000}"/>
    <cellStyle name="Migliaia 43 5 2 2" xfId="37489" xr:uid="{00000000-0005-0000-0000-000036800000}"/>
    <cellStyle name="Migliaia 43 5 3" xfId="11567" xr:uid="{00000000-0005-0000-0000-000037800000}"/>
    <cellStyle name="Migliaia 43 5 4" xfId="21615" xr:uid="{00000000-0005-0000-0000-000038800000}"/>
    <cellStyle name="Migliaia 43 5 5" xfId="38444" xr:uid="{00000000-0005-0000-0000-000039800000}"/>
    <cellStyle name="Migliaia 43 5 6" xfId="39768" xr:uid="{00000000-0005-0000-0000-00003A800000}"/>
    <cellStyle name="Migliaia 43 5 7" xfId="40254" xr:uid="{00000000-0005-0000-0000-00003B800000}"/>
    <cellStyle name="Migliaia 43 6" xfId="686" xr:uid="{00000000-0005-0000-0000-00003C800000}"/>
    <cellStyle name="Migliaia 43 6 2" xfId="11562" xr:uid="{00000000-0005-0000-0000-00003D800000}"/>
    <cellStyle name="Migliaia 43 6 3" xfId="21616" xr:uid="{00000000-0005-0000-0000-00003E800000}"/>
    <cellStyle name="Migliaia 43 6 4" xfId="39769" xr:uid="{00000000-0005-0000-0000-00003F800000}"/>
    <cellStyle name="Migliaia 43 6 5" xfId="40255" xr:uid="{00000000-0005-0000-0000-000040800000}"/>
    <cellStyle name="Migliaia 43 7" xfId="12171" xr:uid="{00000000-0005-0000-0000-000041800000}"/>
    <cellStyle name="Migliaia 43 7 2" xfId="30356" xr:uid="{00000000-0005-0000-0000-000042800000}"/>
    <cellStyle name="Migliaia 43 8" xfId="19518" xr:uid="{00000000-0005-0000-0000-000043800000}"/>
    <cellStyle name="Migliaia 43 8 2" xfId="37482" xr:uid="{00000000-0005-0000-0000-000044800000}"/>
    <cellStyle name="Migliaia 43 9" xfId="3351" xr:uid="{00000000-0005-0000-0000-000045800000}"/>
    <cellStyle name="Migliaia 43 9 2" xfId="23351" xr:uid="{00000000-0005-0000-0000-000046800000}"/>
    <cellStyle name="Migliaia 44" xfId="687" xr:uid="{00000000-0005-0000-0000-000047800000}"/>
    <cellStyle name="Migliaia 44 10" xfId="21617" xr:uid="{00000000-0005-0000-0000-000048800000}"/>
    <cellStyle name="Migliaia 44 11" xfId="38445" xr:uid="{00000000-0005-0000-0000-000049800000}"/>
    <cellStyle name="Migliaia 44 12" xfId="39259" xr:uid="{00000000-0005-0000-0000-00004A800000}"/>
    <cellStyle name="Migliaia 44 13" xfId="39770" xr:uid="{00000000-0005-0000-0000-00004B800000}"/>
    <cellStyle name="Migliaia 44 14" xfId="40256" xr:uid="{00000000-0005-0000-0000-00004C800000}"/>
    <cellStyle name="Migliaia 44 2" xfId="688" xr:uid="{00000000-0005-0000-0000-00004D800000}"/>
    <cellStyle name="Migliaia 44 2 10" xfId="39771" xr:uid="{00000000-0005-0000-0000-00004E800000}"/>
    <cellStyle name="Migliaia 44 2 11" xfId="40257" xr:uid="{00000000-0005-0000-0000-00004F800000}"/>
    <cellStyle name="Migliaia 44 2 2" xfId="3576" xr:uid="{00000000-0005-0000-0000-000050800000}"/>
    <cellStyle name="Migliaia 44 2 2 2" xfId="12337" xr:uid="{00000000-0005-0000-0000-000051800000}"/>
    <cellStyle name="Migliaia 44 2 2 2 2" xfId="30507" xr:uid="{00000000-0005-0000-0000-000052800000}"/>
    <cellStyle name="Migliaia 44 2 2 3" xfId="20611" xr:uid="{00000000-0005-0000-0000-000053800000}"/>
    <cellStyle name="Migliaia 44 2 2 3 2" xfId="37928" xr:uid="{00000000-0005-0000-0000-000054800000}"/>
    <cellStyle name="Migliaia 44 2 2 4" xfId="23505" xr:uid="{00000000-0005-0000-0000-000055800000}"/>
    <cellStyle name="Migliaia 44 2 2 5" xfId="38883" xr:uid="{00000000-0005-0000-0000-000056800000}"/>
    <cellStyle name="Migliaia 44 2 2 6" xfId="39421" xr:uid="{00000000-0005-0000-0000-000057800000}"/>
    <cellStyle name="Migliaia 44 2 3" xfId="11569" xr:uid="{00000000-0005-0000-0000-000058800000}"/>
    <cellStyle name="Migliaia 44 2 4" xfId="12176" xr:uid="{00000000-0005-0000-0000-000059800000}"/>
    <cellStyle name="Migliaia 44 2 4 2" xfId="30361" xr:uid="{00000000-0005-0000-0000-00005A800000}"/>
    <cellStyle name="Migliaia 44 2 5" xfId="19527" xr:uid="{00000000-0005-0000-0000-00005B800000}"/>
    <cellStyle name="Migliaia 44 2 5 2" xfId="37491" xr:uid="{00000000-0005-0000-0000-00005C800000}"/>
    <cellStyle name="Migliaia 44 2 6" xfId="3356" xr:uid="{00000000-0005-0000-0000-00005D800000}"/>
    <cellStyle name="Migliaia 44 2 6 2" xfId="23356" xr:uid="{00000000-0005-0000-0000-00005E800000}"/>
    <cellStyle name="Migliaia 44 2 7" xfId="21618" xr:uid="{00000000-0005-0000-0000-00005F800000}"/>
    <cellStyle name="Migliaia 44 2 8" xfId="38446" xr:uid="{00000000-0005-0000-0000-000060800000}"/>
    <cellStyle name="Migliaia 44 2 9" xfId="39260" xr:uid="{00000000-0005-0000-0000-000061800000}"/>
    <cellStyle name="Migliaia 44 3" xfId="689" xr:uid="{00000000-0005-0000-0000-000062800000}"/>
    <cellStyle name="Migliaia 44 3 10" xfId="39772" xr:uid="{00000000-0005-0000-0000-000063800000}"/>
    <cellStyle name="Migliaia 44 3 11" xfId="40258" xr:uid="{00000000-0005-0000-0000-000064800000}"/>
    <cellStyle name="Migliaia 44 3 2" xfId="690" xr:uid="{00000000-0005-0000-0000-000065800000}"/>
    <cellStyle name="Migliaia 44 3 2 10" xfId="40259" xr:uid="{00000000-0005-0000-0000-000066800000}"/>
    <cellStyle name="Migliaia 44 3 2 2" xfId="11571" xr:uid="{00000000-0005-0000-0000-000067800000}"/>
    <cellStyle name="Migliaia 44 3 2 3" xfId="12178" xr:uid="{00000000-0005-0000-0000-000068800000}"/>
    <cellStyle name="Migliaia 44 3 2 3 2" xfId="30363" xr:uid="{00000000-0005-0000-0000-000069800000}"/>
    <cellStyle name="Migliaia 44 3 2 4" xfId="19529" xr:uid="{00000000-0005-0000-0000-00006A800000}"/>
    <cellStyle name="Migliaia 44 3 2 4 2" xfId="37493" xr:uid="{00000000-0005-0000-0000-00006B800000}"/>
    <cellStyle name="Migliaia 44 3 2 5" xfId="3358" xr:uid="{00000000-0005-0000-0000-00006C800000}"/>
    <cellStyle name="Migliaia 44 3 2 5 2" xfId="23358" xr:uid="{00000000-0005-0000-0000-00006D800000}"/>
    <cellStyle name="Migliaia 44 3 2 6" xfId="21620" xr:uid="{00000000-0005-0000-0000-00006E800000}"/>
    <cellStyle name="Migliaia 44 3 2 7" xfId="38448" xr:uid="{00000000-0005-0000-0000-00006F800000}"/>
    <cellStyle name="Migliaia 44 3 2 8" xfId="39262" xr:uid="{00000000-0005-0000-0000-000070800000}"/>
    <cellStyle name="Migliaia 44 3 2 9" xfId="39773" xr:uid="{00000000-0005-0000-0000-000071800000}"/>
    <cellStyle name="Migliaia 44 3 3" xfId="11570" xr:uid="{00000000-0005-0000-0000-000072800000}"/>
    <cellStyle name="Migliaia 44 3 3 2" xfId="20613" xr:uid="{00000000-0005-0000-0000-000073800000}"/>
    <cellStyle name="Migliaia 44 3 3 2 2" xfId="37930" xr:uid="{00000000-0005-0000-0000-000074800000}"/>
    <cellStyle name="Migliaia 44 3 3 2 3" xfId="38885" xr:uid="{00000000-0005-0000-0000-000075800000}"/>
    <cellStyle name="Migliaia 44 3 3 3" xfId="19530" xr:uid="{00000000-0005-0000-0000-000076800000}"/>
    <cellStyle name="Migliaia 44 3 3 3 2" xfId="37494" xr:uid="{00000000-0005-0000-0000-000077800000}"/>
    <cellStyle name="Migliaia 44 3 3 4" xfId="38449" xr:uid="{00000000-0005-0000-0000-000078800000}"/>
    <cellStyle name="Migliaia 44 3 4" xfId="12177" xr:uid="{00000000-0005-0000-0000-000079800000}"/>
    <cellStyle name="Migliaia 44 3 4 2" xfId="20612" xr:uid="{00000000-0005-0000-0000-00007A800000}"/>
    <cellStyle name="Migliaia 44 3 4 2 2" xfId="37929" xr:uid="{00000000-0005-0000-0000-00007B800000}"/>
    <cellStyle name="Migliaia 44 3 4 3" xfId="30362" xr:uid="{00000000-0005-0000-0000-00007C800000}"/>
    <cellStyle name="Migliaia 44 3 4 4" xfId="38884" xr:uid="{00000000-0005-0000-0000-00007D800000}"/>
    <cellStyle name="Migliaia 44 3 5" xfId="19528" xr:uid="{00000000-0005-0000-0000-00007E800000}"/>
    <cellStyle name="Migliaia 44 3 5 2" xfId="37492" xr:uid="{00000000-0005-0000-0000-00007F800000}"/>
    <cellStyle name="Migliaia 44 3 6" xfId="3357" xr:uid="{00000000-0005-0000-0000-000080800000}"/>
    <cellStyle name="Migliaia 44 3 6 2" xfId="23357" xr:uid="{00000000-0005-0000-0000-000081800000}"/>
    <cellStyle name="Migliaia 44 3 7" xfId="21619" xr:uid="{00000000-0005-0000-0000-000082800000}"/>
    <cellStyle name="Migliaia 44 3 8" xfId="38447" xr:uid="{00000000-0005-0000-0000-000083800000}"/>
    <cellStyle name="Migliaia 44 3 9" xfId="39261" xr:uid="{00000000-0005-0000-0000-000084800000}"/>
    <cellStyle name="Migliaia 44 4" xfId="691" xr:uid="{00000000-0005-0000-0000-000085800000}"/>
    <cellStyle name="Migliaia 44 4 2" xfId="19532" xr:uid="{00000000-0005-0000-0000-000086800000}"/>
    <cellStyle name="Migliaia 44 4 2 2" xfId="20615" xr:uid="{00000000-0005-0000-0000-000087800000}"/>
    <cellStyle name="Migliaia 44 4 2 2 2" xfId="37932" xr:uid="{00000000-0005-0000-0000-000088800000}"/>
    <cellStyle name="Migliaia 44 4 2 2 3" xfId="38887" xr:uid="{00000000-0005-0000-0000-000089800000}"/>
    <cellStyle name="Migliaia 44 4 2 3" xfId="37496" xr:uid="{00000000-0005-0000-0000-00008A800000}"/>
    <cellStyle name="Migliaia 44 4 2 4" xfId="38451" xr:uid="{00000000-0005-0000-0000-00008B800000}"/>
    <cellStyle name="Migliaia 44 4 3" xfId="20614" xr:uid="{00000000-0005-0000-0000-00008C800000}"/>
    <cellStyle name="Migliaia 44 4 3 2" xfId="37931" xr:uid="{00000000-0005-0000-0000-00008D800000}"/>
    <cellStyle name="Migliaia 44 4 3 3" xfId="38886" xr:uid="{00000000-0005-0000-0000-00008E800000}"/>
    <cellStyle name="Migliaia 44 4 4" xfId="19531" xr:uid="{00000000-0005-0000-0000-00008F800000}"/>
    <cellStyle name="Migliaia 44 4 4 2" xfId="37495" xr:uid="{00000000-0005-0000-0000-000090800000}"/>
    <cellStyle name="Migliaia 44 4 5" xfId="11572" xr:uid="{00000000-0005-0000-0000-000091800000}"/>
    <cellStyle name="Migliaia 44 4 6" xfId="21621" xr:uid="{00000000-0005-0000-0000-000092800000}"/>
    <cellStyle name="Migliaia 44 4 7" xfId="38450" xr:uid="{00000000-0005-0000-0000-000093800000}"/>
    <cellStyle name="Migliaia 44 4 8" xfId="39774" xr:uid="{00000000-0005-0000-0000-000094800000}"/>
    <cellStyle name="Migliaia 44 4 9" xfId="40260" xr:uid="{00000000-0005-0000-0000-000095800000}"/>
    <cellStyle name="Migliaia 44 5" xfId="692" xr:uid="{00000000-0005-0000-0000-000096800000}"/>
    <cellStyle name="Migliaia 44 5 2" xfId="19533" xr:uid="{00000000-0005-0000-0000-000097800000}"/>
    <cellStyle name="Migliaia 44 5 2 2" xfId="37497" xr:uid="{00000000-0005-0000-0000-000098800000}"/>
    <cellStyle name="Migliaia 44 5 3" xfId="11573" xr:uid="{00000000-0005-0000-0000-000099800000}"/>
    <cellStyle name="Migliaia 44 5 4" xfId="21622" xr:uid="{00000000-0005-0000-0000-00009A800000}"/>
    <cellStyle name="Migliaia 44 5 5" xfId="38452" xr:uid="{00000000-0005-0000-0000-00009B800000}"/>
    <cellStyle name="Migliaia 44 5 6" xfId="39775" xr:uid="{00000000-0005-0000-0000-00009C800000}"/>
    <cellStyle name="Migliaia 44 5 7" xfId="40261" xr:uid="{00000000-0005-0000-0000-00009D800000}"/>
    <cellStyle name="Migliaia 44 6" xfId="693" xr:uid="{00000000-0005-0000-0000-00009E800000}"/>
    <cellStyle name="Migliaia 44 6 2" xfId="11568" xr:uid="{00000000-0005-0000-0000-00009F800000}"/>
    <cellStyle name="Migliaia 44 6 3" xfId="21623" xr:uid="{00000000-0005-0000-0000-0000A0800000}"/>
    <cellStyle name="Migliaia 44 6 4" xfId="39776" xr:uid="{00000000-0005-0000-0000-0000A1800000}"/>
    <cellStyle name="Migliaia 44 6 5" xfId="40262" xr:uid="{00000000-0005-0000-0000-0000A2800000}"/>
    <cellStyle name="Migliaia 44 7" xfId="12175" xr:uid="{00000000-0005-0000-0000-0000A3800000}"/>
    <cellStyle name="Migliaia 44 7 2" xfId="30360" xr:uid="{00000000-0005-0000-0000-0000A4800000}"/>
    <cellStyle name="Migliaia 44 8" xfId="19526" xr:uid="{00000000-0005-0000-0000-0000A5800000}"/>
    <cellStyle name="Migliaia 44 8 2" xfId="37490" xr:uid="{00000000-0005-0000-0000-0000A6800000}"/>
    <cellStyle name="Migliaia 44 9" xfId="3355" xr:uid="{00000000-0005-0000-0000-0000A7800000}"/>
    <cellStyle name="Migliaia 44 9 2" xfId="23355" xr:uid="{00000000-0005-0000-0000-0000A8800000}"/>
    <cellStyle name="Migliaia 45" xfId="694" xr:uid="{00000000-0005-0000-0000-0000A9800000}"/>
    <cellStyle name="Migliaia 45 10" xfId="21624" xr:uid="{00000000-0005-0000-0000-0000AA800000}"/>
    <cellStyle name="Migliaia 45 11" xfId="38453" xr:uid="{00000000-0005-0000-0000-0000AB800000}"/>
    <cellStyle name="Migliaia 45 12" xfId="39263" xr:uid="{00000000-0005-0000-0000-0000AC800000}"/>
    <cellStyle name="Migliaia 45 13" xfId="39777" xr:uid="{00000000-0005-0000-0000-0000AD800000}"/>
    <cellStyle name="Migliaia 45 14" xfId="40263" xr:uid="{00000000-0005-0000-0000-0000AE800000}"/>
    <cellStyle name="Migliaia 45 2" xfId="695" xr:uid="{00000000-0005-0000-0000-0000AF800000}"/>
    <cellStyle name="Migliaia 45 2 10" xfId="39778" xr:uid="{00000000-0005-0000-0000-0000B0800000}"/>
    <cellStyle name="Migliaia 45 2 11" xfId="40264" xr:uid="{00000000-0005-0000-0000-0000B1800000}"/>
    <cellStyle name="Migliaia 45 2 2" xfId="3577" xr:uid="{00000000-0005-0000-0000-0000B2800000}"/>
    <cellStyle name="Migliaia 45 2 2 2" xfId="12338" xr:uid="{00000000-0005-0000-0000-0000B3800000}"/>
    <cellStyle name="Migliaia 45 2 2 2 2" xfId="30508" xr:uid="{00000000-0005-0000-0000-0000B4800000}"/>
    <cellStyle name="Migliaia 45 2 2 3" xfId="20616" xr:uid="{00000000-0005-0000-0000-0000B5800000}"/>
    <cellStyle name="Migliaia 45 2 2 3 2" xfId="37933" xr:uid="{00000000-0005-0000-0000-0000B6800000}"/>
    <cellStyle name="Migliaia 45 2 2 4" xfId="23506" xr:uid="{00000000-0005-0000-0000-0000B7800000}"/>
    <cellStyle name="Migliaia 45 2 2 5" xfId="38888" xr:uid="{00000000-0005-0000-0000-0000B8800000}"/>
    <cellStyle name="Migliaia 45 2 2 6" xfId="39422" xr:uid="{00000000-0005-0000-0000-0000B9800000}"/>
    <cellStyle name="Migliaia 45 2 3" xfId="11575" xr:uid="{00000000-0005-0000-0000-0000BA800000}"/>
    <cellStyle name="Migliaia 45 2 4" xfId="12180" xr:uid="{00000000-0005-0000-0000-0000BB800000}"/>
    <cellStyle name="Migliaia 45 2 4 2" xfId="30365" xr:uid="{00000000-0005-0000-0000-0000BC800000}"/>
    <cellStyle name="Migliaia 45 2 5" xfId="19535" xr:uid="{00000000-0005-0000-0000-0000BD800000}"/>
    <cellStyle name="Migliaia 45 2 5 2" xfId="37499" xr:uid="{00000000-0005-0000-0000-0000BE800000}"/>
    <cellStyle name="Migliaia 45 2 6" xfId="3360" xr:uid="{00000000-0005-0000-0000-0000BF800000}"/>
    <cellStyle name="Migliaia 45 2 6 2" xfId="23360" xr:uid="{00000000-0005-0000-0000-0000C0800000}"/>
    <cellStyle name="Migliaia 45 2 7" xfId="21625" xr:uid="{00000000-0005-0000-0000-0000C1800000}"/>
    <cellStyle name="Migliaia 45 2 8" xfId="38454" xr:uid="{00000000-0005-0000-0000-0000C2800000}"/>
    <cellStyle name="Migliaia 45 2 9" xfId="39264" xr:uid="{00000000-0005-0000-0000-0000C3800000}"/>
    <cellStyle name="Migliaia 45 3" xfId="696" xr:uid="{00000000-0005-0000-0000-0000C4800000}"/>
    <cellStyle name="Migliaia 45 3 10" xfId="39779" xr:uid="{00000000-0005-0000-0000-0000C5800000}"/>
    <cellStyle name="Migliaia 45 3 11" xfId="40265" xr:uid="{00000000-0005-0000-0000-0000C6800000}"/>
    <cellStyle name="Migliaia 45 3 2" xfId="697" xr:uid="{00000000-0005-0000-0000-0000C7800000}"/>
    <cellStyle name="Migliaia 45 3 2 10" xfId="40266" xr:uid="{00000000-0005-0000-0000-0000C8800000}"/>
    <cellStyle name="Migliaia 45 3 2 2" xfId="11577" xr:uid="{00000000-0005-0000-0000-0000C9800000}"/>
    <cellStyle name="Migliaia 45 3 2 3" xfId="12182" xr:uid="{00000000-0005-0000-0000-0000CA800000}"/>
    <cellStyle name="Migliaia 45 3 2 3 2" xfId="30367" xr:uid="{00000000-0005-0000-0000-0000CB800000}"/>
    <cellStyle name="Migliaia 45 3 2 4" xfId="19537" xr:uid="{00000000-0005-0000-0000-0000CC800000}"/>
    <cellStyle name="Migliaia 45 3 2 4 2" xfId="37501" xr:uid="{00000000-0005-0000-0000-0000CD800000}"/>
    <cellStyle name="Migliaia 45 3 2 5" xfId="3362" xr:uid="{00000000-0005-0000-0000-0000CE800000}"/>
    <cellStyle name="Migliaia 45 3 2 5 2" xfId="23362" xr:uid="{00000000-0005-0000-0000-0000CF800000}"/>
    <cellStyle name="Migliaia 45 3 2 6" xfId="21627" xr:uid="{00000000-0005-0000-0000-0000D0800000}"/>
    <cellStyle name="Migliaia 45 3 2 7" xfId="38456" xr:uid="{00000000-0005-0000-0000-0000D1800000}"/>
    <cellStyle name="Migliaia 45 3 2 8" xfId="39266" xr:uid="{00000000-0005-0000-0000-0000D2800000}"/>
    <cellStyle name="Migliaia 45 3 2 9" xfId="39780" xr:uid="{00000000-0005-0000-0000-0000D3800000}"/>
    <cellStyle name="Migliaia 45 3 3" xfId="11576" xr:uid="{00000000-0005-0000-0000-0000D4800000}"/>
    <cellStyle name="Migliaia 45 3 3 2" xfId="20618" xr:uid="{00000000-0005-0000-0000-0000D5800000}"/>
    <cellStyle name="Migliaia 45 3 3 2 2" xfId="37935" xr:uid="{00000000-0005-0000-0000-0000D6800000}"/>
    <cellStyle name="Migliaia 45 3 3 2 3" xfId="38890" xr:uid="{00000000-0005-0000-0000-0000D7800000}"/>
    <cellStyle name="Migliaia 45 3 3 3" xfId="19538" xr:uid="{00000000-0005-0000-0000-0000D8800000}"/>
    <cellStyle name="Migliaia 45 3 3 3 2" xfId="37502" xr:uid="{00000000-0005-0000-0000-0000D9800000}"/>
    <cellStyle name="Migliaia 45 3 3 4" xfId="38457" xr:uid="{00000000-0005-0000-0000-0000DA800000}"/>
    <cellStyle name="Migliaia 45 3 4" xfId="12181" xr:uid="{00000000-0005-0000-0000-0000DB800000}"/>
    <cellStyle name="Migliaia 45 3 4 2" xfId="20617" xr:uid="{00000000-0005-0000-0000-0000DC800000}"/>
    <cellStyle name="Migliaia 45 3 4 2 2" xfId="37934" xr:uid="{00000000-0005-0000-0000-0000DD800000}"/>
    <cellStyle name="Migliaia 45 3 4 3" xfId="30366" xr:uid="{00000000-0005-0000-0000-0000DE800000}"/>
    <cellStyle name="Migliaia 45 3 4 4" xfId="38889" xr:uid="{00000000-0005-0000-0000-0000DF800000}"/>
    <cellStyle name="Migliaia 45 3 5" xfId="19536" xr:uid="{00000000-0005-0000-0000-0000E0800000}"/>
    <cellStyle name="Migliaia 45 3 5 2" xfId="37500" xr:uid="{00000000-0005-0000-0000-0000E1800000}"/>
    <cellStyle name="Migliaia 45 3 6" xfId="3361" xr:uid="{00000000-0005-0000-0000-0000E2800000}"/>
    <cellStyle name="Migliaia 45 3 6 2" xfId="23361" xr:uid="{00000000-0005-0000-0000-0000E3800000}"/>
    <cellStyle name="Migliaia 45 3 7" xfId="21626" xr:uid="{00000000-0005-0000-0000-0000E4800000}"/>
    <cellStyle name="Migliaia 45 3 8" xfId="38455" xr:uid="{00000000-0005-0000-0000-0000E5800000}"/>
    <cellStyle name="Migliaia 45 3 9" xfId="39265" xr:uid="{00000000-0005-0000-0000-0000E6800000}"/>
    <cellStyle name="Migliaia 45 4" xfId="698" xr:uid="{00000000-0005-0000-0000-0000E7800000}"/>
    <cellStyle name="Migliaia 45 4 2" xfId="19540" xr:uid="{00000000-0005-0000-0000-0000E8800000}"/>
    <cellStyle name="Migliaia 45 4 2 2" xfId="20620" xr:uid="{00000000-0005-0000-0000-0000E9800000}"/>
    <cellStyle name="Migliaia 45 4 2 2 2" xfId="37937" xr:uid="{00000000-0005-0000-0000-0000EA800000}"/>
    <cellStyle name="Migliaia 45 4 2 2 3" xfId="38892" xr:uid="{00000000-0005-0000-0000-0000EB800000}"/>
    <cellStyle name="Migliaia 45 4 2 3" xfId="37504" xr:uid="{00000000-0005-0000-0000-0000EC800000}"/>
    <cellStyle name="Migliaia 45 4 2 4" xfId="38459" xr:uid="{00000000-0005-0000-0000-0000ED800000}"/>
    <cellStyle name="Migliaia 45 4 3" xfId="20619" xr:uid="{00000000-0005-0000-0000-0000EE800000}"/>
    <cellStyle name="Migliaia 45 4 3 2" xfId="37936" xr:uid="{00000000-0005-0000-0000-0000EF800000}"/>
    <cellStyle name="Migliaia 45 4 3 3" xfId="38891" xr:uid="{00000000-0005-0000-0000-0000F0800000}"/>
    <cellStyle name="Migliaia 45 4 4" xfId="19539" xr:uid="{00000000-0005-0000-0000-0000F1800000}"/>
    <cellStyle name="Migliaia 45 4 4 2" xfId="37503" xr:uid="{00000000-0005-0000-0000-0000F2800000}"/>
    <cellStyle name="Migliaia 45 4 5" xfId="11578" xr:uid="{00000000-0005-0000-0000-0000F3800000}"/>
    <cellStyle name="Migliaia 45 4 6" xfId="21628" xr:uid="{00000000-0005-0000-0000-0000F4800000}"/>
    <cellStyle name="Migliaia 45 4 7" xfId="38458" xr:uid="{00000000-0005-0000-0000-0000F5800000}"/>
    <cellStyle name="Migliaia 45 4 8" xfId="39781" xr:uid="{00000000-0005-0000-0000-0000F6800000}"/>
    <cellStyle name="Migliaia 45 4 9" xfId="40267" xr:uid="{00000000-0005-0000-0000-0000F7800000}"/>
    <cellStyle name="Migliaia 45 5" xfId="699" xr:uid="{00000000-0005-0000-0000-0000F8800000}"/>
    <cellStyle name="Migliaia 45 5 2" xfId="19541" xr:uid="{00000000-0005-0000-0000-0000F9800000}"/>
    <cellStyle name="Migliaia 45 5 2 2" xfId="37505" xr:uid="{00000000-0005-0000-0000-0000FA800000}"/>
    <cellStyle name="Migliaia 45 5 3" xfId="11579" xr:uid="{00000000-0005-0000-0000-0000FB800000}"/>
    <cellStyle name="Migliaia 45 5 4" xfId="21629" xr:uid="{00000000-0005-0000-0000-0000FC800000}"/>
    <cellStyle name="Migliaia 45 5 5" xfId="38460" xr:uid="{00000000-0005-0000-0000-0000FD800000}"/>
    <cellStyle name="Migliaia 45 5 6" xfId="39782" xr:uid="{00000000-0005-0000-0000-0000FE800000}"/>
    <cellStyle name="Migliaia 45 5 7" xfId="40268" xr:uid="{00000000-0005-0000-0000-0000FF800000}"/>
    <cellStyle name="Migliaia 45 6" xfId="700" xr:uid="{00000000-0005-0000-0000-000000810000}"/>
    <cellStyle name="Migliaia 45 6 2" xfId="11574" xr:uid="{00000000-0005-0000-0000-000001810000}"/>
    <cellStyle name="Migliaia 45 6 3" xfId="21630" xr:uid="{00000000-0005-0000-0000-000002810000}"/>
    <cellStyle name="Migliaia 45 6 4" xfId="39783" xr:uid="{00000000-0005-0000-0000-000003810000}"/>
    <cellStyle name="Migliaia 45 6 5" xfId="40269" xr:uid="{00000000-0005-0000-0000-000004810000}"/>
    <cellStyle name="Migliaia 45 7" xfId="12179" xr:uid="{00000000-0005-0000-0000-000005810000}"/>
    <cellStyle name="Migliaia 45 7 2" xfId="30364" xr:uid="{00000000-0005-0000-0000-000006810000}"/>
    <cellStyle name="Migliaia 45 8" xfId="19534" xr:uid="{00000000-0005-0000-0000-000007810000}"/>
    <cellStyle name="Migliaia 45 8 2" xfId="37498" xr:uid="{00000000-0005-0000-0000-000008810000}"/>
    <cellStyle name="Migliaia 45 9" xfId="3359" xr:uid="{00000000-0005-0000-0000-000009810000}"/>
    <cellStyle name="Migliaia 45 9 2" xfId="23359" xr:uid="{00000000-0005-0000-0000-00000A810000}"/>
    <cellStyle name="Migliaia 46" xfId="701" xr:uid="{00000000-0005-0000-0000-00000B810000}"/>
    <cellStyle name="Migliaia 46 10" xfId="21631" xr:uid="{00000000-0005-0000-0000-00000C810000}"/>
    <cellStyle name="Migliaia 46 11" xfId="38461" xr:uid="{00000000-0005-0000-0000-00000D810000}"/>
    <cellStyle name="Migliaia 46 12" xfId="39267" xr:uid="{00000000-0005-0000-0000-00000E810000}"/>
    <cellStyle name="Migliaia 46 13" xfId="39784" xr:uid="{00000000-0005-0000-0000-00000F810000}"/>
    <cellStyle name="Migliaia 46 14" xfId="40270" xr:uid="{00000000-0005-0000-0000-000010810000}"/>
    <cellStyle name="Migliaia 46 2" xfId="702" xr:uid="{00000000-0005-0000-0000-000011810000}"/>
    <cellStyle name="Migliaia 46 2 10" xfId="39785" xr:uid="{00000000-0005-0000-0000-000012810000}"/>
    <cellStyle name="Migliaia 46 2 11" xfId="40271" xr:uid="{00000000-0005-0000-0000-000013810000}"/>
    <cellStyle name="Migliaia 46 2 2" xfId="3578" xr:uid="{00000000-0005-0000-0000-000014810000}"/>
    <cellStyle name="Migliaia 46 2 2 2" xfId="12339" xr:uid="{00000000-0005-0000-0000-000015810000}"/>
    <cellStyle name="Migliaia 46 2 2 2 2" xfId="30509" xr:uid="{00000000-0005-0000-0000-000016810000}"/>
    <cellStyle name="Migliaia 46 2 2 3" xfId="20621" xr:uid="{00000000-0005-0000-0000-000017810000}"/>
    <cellStyle name="Migliaia 46 2 2 3 2" xfId="37938" xr:uid="{00000000-0005-0000-0000-000018810000}"/>
    <cellStyle name="Migliaia 46 2 2 4" xfId="23507" xr:uid="{00000000-0005-0000-0000-000019810000}"/>
    <cellStyle name="Migliaia 46 2 2 5" xfId="38893" xr:uid="{00000000-0005-0000-0000-00001A810000}"/>
    <cellStyle name="Migliaia 46 2 2 6" xfId="39423" xr:uid="{00000000-0005-0000-0000-00001B810000}"/>
    <cellStyle name="Migliaia 46 2 3" xfId="11581" xr:uid="{00000000-0005-0000-0000-00001C810000}"/>
    <cellStyle name="Migliaia 46 2 4" xfId="12184" xr:uid="{00000000-0005-0000-0000-00001D810000}"/>
    <cellStyle name="Migliaia 46 2 4 2" xfId="30369" xr:uid="{00000000-0005-0000-0000-00001E810000}"/>
    <cellStyle name="Migliaia 46 2 5" xfId="19543" xr:uid="{00000000-0005-0000-0000-00001F810000}"/>
    <cellStyle name="Migliaia 46 2 5 2" xfId="37507" xr:uid="{00000000-0005-0000-0000-000020810000}"/>
    <cellStyle name="Migliaia 46 2 6" xfId="3364" xr:uid="{00000000-0005-0000-0000-000021810000}"/>
    <cellStyle name="Migliaia 46 2 6 2" xfId="23364" xr:uid="{00000000-0005-0000-0000-000022810000}"/>
    <cellStyle name="Migliaia 46 2 7" xfId="21632" xr:uid="{00000000-0005-0000-0000-000023810000}"/>
    <cellStyle name="Migliaia 46 2 8" xfId="38462" xr:uid="{00000000-0005-0000-0000-000024810000}"/>
    <cellStyle name="Migliaia 46 2 9" xfId="39268" xr:uid="{00000000-0005-0000-0000-000025810000}"/>
    <cellStyle name="Migliaia 46 3" xfId="703" xr:uid="{00000000-0005-0000-0000-000026810000}"/>
    <cellStyle name="Migliaia 46 3 10" xfId="39786" xr:uid="{00000000-0005-0000-0000-000027810000}"/>
    <cellStyle name="Migliaia 46 3 11" xfId="40272" xr:uid="{00000000-0005-0000-0000-000028810000}"/>
    <cellStyle name="Migliaia 46 3 2" xfId="704" xr:uid="{00000000-0005-0000-0000-000029810000}"/>
    <cellStyle name="Migliaia 46 3 2 10" xfId="40273" xr:uid="{00000000-0005-0000-0000-00002A810000}"/>
    <cellStyle name="Migliaia 46 3 2 2" xfId="11583" xr:uid="{00000000-0005-0000-0000-00002B810000}"/>
    <cellStyle name="Migliaia 46 3 2 3" xfId="12186" xr:uid="{00000000-0005-0000-0000-00002C810000}"/>
    <cellStyle name="Migliaia 46 3 2 3 2" xfId="30371" xr:uid="{00000000-0005-0000-0000-00002D810000}"/>
    <cellStyle name="Migliaia 46 3 2 4" xfId="19545" xr:uid="{00000000-0005-0000-0000-00002E810000}"/>
    <cellStyle name="Migliaia 46 3 2 4 2" xfId="37509" xr:uid="{00000000-0005-0000-0000-00002F810000}"/>
    <cellStyle name="Migliaia 46 3 2 5" xfId="3366" xr:uid="{00000000-0005-0000-0000-000030810000}"/>
    <cellStyle name="Migliaia 46 3 2 5 2" xfId="23366" xr:uid="{00000000-0005-0000-0000-000031810000}"/>
    <cellStyle name="Migliaia 46 3 2 6" xfId="21634" xr:uid="{00000000-0005-0000-0000-000032810000}"/>
    <cellStyle name="Migliaia 46 3 2 7" xfId="38464" xr:uid="{00000000-0005-0000-0000-000033810000}"/>
    <cellStyle name="Migliaia 46 3 2 8" xfId="39270" xr:uid="{00000000-0005-0000-0000-000034810000}"/>
    <cellStyle name="Migliaia 46 3 2 9" xfId="39787" xr:uid="{00000000-0005-0000-0000-000035810000}"/>
    <cellStyle name="Migliaia 46 3 3" xfId="11582" xr:uid="{00000000-0005-0000-0000-000036810000}"/>
    <cellStyle name="Migliaia 46 3 3 2" xfId="20623" xr:uid="{00000000-0005-0000-0000-000037810000}"/>
    <cellStyle name="Migliaia 46 3 3 2 2" xfId="37940" xr:uid="{00000000-0005-0000-0000-000038810000}"/>
    <cellStyle name="Migliaia 46 3 3 2 3" xfId="38895" xr:uid="{00000000-0005-0000-0000-000039810000}"/>
    <cellStyle name="Migliaia 46 3 3 3" xfId="19546" xr:uid="{00000000-0005-0000-0000-00003A810000}"/>
    <cellStyle name="Migliaia 46 3 3 3 2" xfId="37510" xr:uid="{00000000-0005-0000-0000-00003B810000}"/>
    <cellStyle name="Migliaia 46 3 3 4" xfId="38465" xr:uid="{00000000-0005-0000-0000-00003C810000}"/>
    <cellStyle name="Migliaia 46 3 4" xfId="12185" xr:uid="{00000000-0005-0000-0000-00003D810000}"/>
    <cellStyle name="Migliaia 46 3 4 2" xfId="20622" xr:uid="{00000000-0005-0000-0000-00003E810000}"/>
    <cellStyle name="Migliaia 46 3 4 2 2" xfId="37939" xr:uid="{00000000-0005-0000-0000-00003F810000}"/>
    <cellStyle name="Migliaia 46 3 4 3" xfId="30370" xr:uid="{00000000-0005-0000-0000-000040810000}"/>
    <cellStyle name="Migliaia 46 3 4 4" xfId="38894" xr:uid="{00000000-0005-0000-0000-000041810000}"/>
    <cellStyle name="Migliaia 46 3 5" xfId="19544" xr:uid="{00000000-0005-0000-0000-000042810000}"/>
    <cellStyle name="Migliaia 46 3 5 2" xfId="37508" xr:uid="{00000000-0005-0000-0000-000043810000}"/>
    <cellStyle name="Migliaia 46 3 6" xfId="3365" xr:uid="{00000000-0005-0000-0000-000044810000}"/>
    <cellStyle name="Migliaia 46 3 6 2" xfId="23365" xr:uid="{00000000-0005-0000-0000-000045810000}"/>
    <cellStyle name="Migliaia 46 3 7" xfId="21633" xr:uid="{00000000-0005-0000-0000-000046810000}"/>
    <cellStyle name="Migliaia 46 3 8" xfId="38463" xr:uid="{00000000-0005-0000-0000-000047810000}"/>
    <cellStyle name="Migliaia 46 3 9" xfId="39269" xr:uid="{00000000-0005-0000-0000-000048810000}"/>
    <cellStyle name="Migliaia 46 4" xfId="705" xr:uid="{00000000-0005-0000-0000-000049810000}"/>
    <cellStyle name="Migliaia 46 4 2" xfId="19548" xr:uid="{00000000-0005-0000-0000-00004A810000}"/>
    <cellStyle name="Migliaia 46 4 2 2" xfId="20625" xr:uid="{00000000-0005-0000-0000-00004B810000}"/>
    <cellStyle name="Migliaia 46 4 2 2 2" xfId="37942" xr:uid="{00000000-0005-0000-0000-00004C810000}"/>
    <cellStyle name="Migliaia 46 4 2 2 3" xfId="38897" xr:uid="{00000000-0005-0000-0000-00004D810000}"/>
    <cellStyle name="Migliaia 46 4 2 3" xfId="37512" xr:uid="{00000000-0005-0000-0000-00004E810000}"/>
    <cellStyle name="Migliaia 46 4 2 4" xfId="38467" xr:uid="{00000000-0005-0000-0000-00004F810000}"/>
    <cellStyle name="Migliaia 46 4 3" xfId="20624" xr:uid="{00000000-0005-0000-0000-000050810000}"/>
    <cellStyle name="Migliaia 46 4 3 2" xfId="37941" xr:uid="{00000000-0005-0000-0000-000051810000}"/>
    <cellStyle name="Migliaia 46 4 3 3" xfId="38896" xr:uid="{00000000-0005-0000-0000-000052810000}"/>
    <cellStyle name="Migliaia 46 4 4" xfId="19547" xr:uid="{00000000-0005-0000-0000-000053810000}"/>
    <cellStyle name="Migliaia 46 4 4 2" xfId="37511" xr:uid="{00000000-0005-0000-0000-000054810000}"/>
    <cellStyle name="Migliaia 46 4 5" xfId="11584" xr:uid="{00000000-0005-0000-0000-000055810000}"/>
    <cellStyle name="Migliaia 46 4 6" xfId="21635" xr:uid="{00000000-0005-0000-0000-000056810000}"/>
    <cellStyle name="Migliaia 46 4 7" xfId="38466" xr:uid="{00000000-0005-0000-0000-000057810000}"/>
    <cellStyle name="Migliaia 46 4 8" xfId="39788" xr:uid="{00000000-0005-0000-0000-000058810000}"/>
    <cellStyle name="Migliaia 46 4 9" xfId="40274" xr:uid="{00000000-0005-0000-0000-000059810000}"/>
    <cellStyle name="Migliaia 46 5" xfId="706" xr:uid="{00000000-0005-0000-0000-00005A810000}"/>
    <cellStyle name="Migliaia 46 5 2" xfId="19549" xr:uid="{00000000-0005-0000-0000-00005B810000}"/>
    <cellStyle name="Migliaia 46 5 2 2" xfId="37513" xr:uid="{00000000-0005-0000-0000-00005C810000}"/>
    <cellStyle name="Migliaia 46 5 3" xfId="11585" xr:uid="{00000000-0005-0000-0000-00005D810000}"/>
    <cellStyle name="Migliaia 46 5 4" xfId="21636" xr:uid="{00000000-0005-0000-0000-00005E810000}"/>
    <cellStyle name="Migliaia 46 5 5" xfId="38468" xr:uid="{00000000-0005-0000-0000-00005F810000}"/>
    <cellStyle name="Migliaia 46 5 6" xfId="39789" xr:uid="{00000000-0005-0000-0000-000060810000}"/>
    <cellStyle name="Migliaia 46 5 7" xfId="40275" xr:uid="{00000000-0005-0000-0000-000061810000}"/>
    <cellStyle name="Migliaia 46 6" xfId="707" xr:uid="{00000000-0005-0000-0000-000062810000}"/>
    <cellStyle name="Migliaia 46 6 2" xfId="11580" xr:uid="{00000000-0005-0000-0000-000063810000}"/>
    <cellStyle name="Migliaia 46 6 3" xfId="21637" xr:uid="{00000000-0005-0000-0000-000064810000}"/>
    <cellStyle name="Migliaia 46 6 4" xfId="39790" xr:uid="{00000000-0005-0000-0000-000065810000}"/>
    <cellStyle name="Migliaia 46 6 5" xfId="40276" xr:uid="{00000000-0005-0000-0000-000066810000}"/>
    <cellStyle name="Migliaia 46 7" xfId="12183" xr:uid="{00000000-0005-0000-0000-000067810000}"/>
    <cellStyle name="Migliaia 46 7 2" xfId="30368" xr:uid="{00000000-0005-0000-0000-000068810000}"/>
    <cellStyle name="Migliaia 46 8" xfId="19542" xr:uid="{00000000-0005-0000-0000-000069810000}"/>
    <cellStyle name="Migliaia 46 8 2" xfId="37506" xr:uid="{00000000-0005-0000-0000-00006A810000}"/>
    <cellStyle name="Migliaia 46 9" xfId="3363" xr:uid="{00000000-0005-0000-0000-00006B810000}"/>
    <cellStyle name="Migliaia 46 9 2" xfId="23363" xr:uid="{00000000-0005-0000-0000-00006C810000}"/>
    <cellStyle name="Migliaia 47" xfId="708" xr:uid="{00000000-0005-0000-0000-00006D810000}"/>
    <cellStyle name="Migliaia 47 10" xfId="21638" xr:uid="{00000000-0005-0000-0000-00006E810000}"/>
    <cellStyle name="Migliaia 47 11" xfId="38469" xr:uid="{00000000-0005-0000-0000-00006F810000}"/>
    <cellStyle name="Migliaia 47 12" xfId="39271" xr:uid="{00000000-0005-0000-0000-000070810000}"/>
    <cellStyle name="Migliaia 47 13" xfId="39791" xr:uid="{00000000-0005-0000-0000-000071810000}"/>
    <cellStyle name="Migliaia 47 14" xfId="40277" xr:uid="{00000000-0005-0000-0000-000072810000}"/>
    <cellStyle name="Migliaia 47 2" xfId="709" xr:uid="{00000000-0005-0000-0000-000073810000}"/>
    <cellStyle name="Migliaia 47 2 10" xfId="39792" xr:uid="{00000000-0005-0000-0000-000074810000}"/>
    <cellStyle name="Migliaia 47 2 11" xfId="40278" xr:uid="{00000000-0005-0000-0000-000075810000}"/>
    <cellStyle name="Migliaia 47 2 2" xfId="3579" xr:uid="{00000000-0005-0000-0000-000076810000}"/>
    <cellStyle name="Migliaia 47 2 2 2" xfId="12340" xr:uid="{00000000-0005-0000-0000-000077810000}"/>
    <cellStyle name="Migliaia 47 2 2 2 2" xfId="30510" xr:uid="{00000000-0005-0000-0000-000078810000}"/>
    <cellStyle name="Migliaia 47 2 2 3" xfId="20626" xr:uid="{00000000-0005-0000-0000-000079810000}"/>
    <cellStyle name="Migliaia 47 2 2 3 2" xfId="37943" xr:uid="{00000000-0005-0000-0000-00007A810000}"/>
    <cellStyle name="Migliaia 47 2 2 4" xfId="23508" xr:uid="{00000000-0005-0000-0000-00007B810000}"/>
    <cellStyle name="Migliaia 47 2 2 5" xfId="38898" xr:uid="{00000000-0005-0000-0000-00007C810000}"/>
    <cellStyle name="Migliaia 47 2 2 6" xfId="39424" xr:uid="{00000000-0005-0000-0000-00007D810000}"/>
    <cellStyle name="Migliaia 47 2 3" xfId="11587" xr:uid="{00000000-0005-0000-0000-00007E810000}"/>
    <cellStyle name="Migliaia 47 2 4" xfId="12188" xr:uid="{00000000-0005-0000-0000-00007F810000}"/>
    <cellStyle name="Migliaia 47 2 4 2" xfId="30373" xr:uid="{00000000-0005-0000-0000-000080810000}"/>
    <cellStyle name="Migliaia 47 2 5" xfId="19551" xr:uid="{00000000-0005-0000-0000-000081810000}"/>
    <cellStyle name="Migliaia 47 2 5 2" xfId="37515" xr:uid="{00000000-0005-0000-0000-000082810000}"/>
    <cellStyle name="Migliaia 47 2 6" xfId="3368" xr:uid="{00000000-0005-0000-0000-000083810000}"/>
    <cellStyle name="Migliaia 47 2 6 2" xfId="23368" xr:uid="{00000000-0005-0000-0000-000084810000}"/>
    <cellStyle name="Migliaia 47 2 7" xfId="21639" xr:uid="{00000000-0005-0000-0000-000085810000}"/>
    <cellStyle name="Migliaia 47 2 8" xfId="38470" xr:uid="{00000000-0005-0000-0000-000086810000}"/>
    <cellStyle name="Migliaia 47 2 9" xfId="39272" xr:uid="{00000000-0005-0000-0000-000087810000}"/>
    <cellStyle name="Migliaia 47 3" xfId="710" xr:uid="{00000000-0005-0000-0000-000088810000}"/>
    <cellStyle name="Migliaia 47 3 10" xfId="39793" xr:uid="{00000000-0005-0000-0000-000089810000}"/>
    <cellStyle name="Migliaia 47 3 11" xfId="40279" xr:uid="{00000000-0005-0000-0000-00008A810000}"/>
    <cellStyle name="Migliaia 47 3 2" xfId="711" xr:uid="{00000000-0005-0000-0000-00008B810000}"/>
    <cellStyle name="Migliaia 47 3 2 10" xfId="40280" xr:uid="{00000000-0005-0000-0000-00008C810000}"/>
    <cellStyle name="Migliaia 47 3 2 2" xfId="11589" xr:uid="{00000000-0005-0000-0000-00008D810000}"/>
    <cellStyle name="Migliaia 47 3 2 3" xfId="12190" xr:uid="{00000000-0005-0000-0000-00008E810000}"/>
    <cellStyle name="Migliaia 47 3 2 3 2" xfId="30375" xr:uid="{00000000-0005-0000-0000-00008F810000}"/>
    <cellStyle name="Migliaia 47 3 2 4" xfId="19553" xr:uid="{00000000-0005-0000-0000-000090810000}"/>
    <cellStyle name="Migliaia 47 3 2 4 2" xfId="37517" xr:uid="{00000000-0005-0000-0000-000091810000}"/>
    <cellStyle name="Migliaia 47 3 2 5" xfId="3370" xr:uid="{00000000-0005-0000-0000-000092810000}"/>
    <cellStyle name="Migliaia 47 3 2 5 2" xfId="23370" xr:uid="{00000000-0005-0000-0000-000093810000}"/>
    <cellStyle name="Migliaia 47 3 2 6" xfId="21641" xr:uid="{00000000-0005-0000-0000-000094810000}"/>
    <cellStyle name="Migliaia 47 3 2 7" xfId="38472" xr:uid="{00000000-0005-0000-0000-000095810000}"/>
    <cellStyle name="Migliaia 47 3 2 8" xfId="39274" xr:uid="{00000000-0005-0000-0000-000096810000}"/>
    <cellStyle name="Migliaia 47 3 2 9" xfId="39794" xr:uid="{00000000-0005-0000-0000-000097810000}"/>
    <cellStyle name="Migliaia 47 3 3" xfId="11588" xr:uid="{00000000-0005-0000-0000-000098810000}"/>
    <cellStyle name="Migliaia 47 3 3 2" xfId="20628" xr:uid="{00000000-0005-0000-0000-000099810000}"/>
    <cellStyle name="Migliaia 47 3 3 2 2" xfId="37945" xr:uid="{00000000-0005-0000-0000-00009A810000}"/>
    <cellStyle name="Migliaia 47 3 3 2 3" xfId="38900" xr:uid="{00000000-0005-0000-0000-00009B810000}"/>
    <cellStyle name="Migliaia 47 3 3 3" xfId="19554" xr:uid="{00000000-0005-0000-0000-00009C810000}"/>
    <cellStyle name="Migliaia 47 3 3 3 2" xfId="37518" xr:uid="{00000000-0005-0000-0000-00009D810000}"/>
    <cellStyle name="Migliaia 47 3 3 4" xfId="38473" xr:uid="{00000000-0005-0000-0000-00009E810000}"/>
    <cellStyle name="Migliaia 47 3 4" xfId="12189" xr:uid="{00000000-0005-0000-0000-00009F810000}"/>
    <cellStyle name="Migliaia 47 3 4 2" xfId="20627" xr:uid="{00000000-0005-0000-0000-0000A0810000}"/>
    <cellStyle name="Migliaia 47 3 4 2 2" xfId="37944" xr:uid="{00000000-0005-0000-0000-0000A1810000}"/>
    <cellStyle name="Migliaia 47 3 4 3" xfId="30374" xr:uid="{00000000-0005-0000-0000-0000A2810000}"/>
    <cellStyle name="Migliaia 47 3 4 4" xfId="38899" xr:uid="{00000000-0005-0000-0000-0000A3810000}"/>
    <cellStyle name="Migliaia 47 3 5" xfId="19552" xr:uid="{00000000-0005-0000-0000-0000A4810000}"/>
    <cellStyle name="Migliaia 47 3 5 2" xfId="37516" xr:uid="{00000000-0005-0000-0000-0000A5810000}"/>
    <cellStyle name="Migliaia 47 3 6" xfId="3369" xr:uid="{00000000-0005-0000-0000-0000A6810000}"/>
    <cellStyle name="Migliaia 47 3 6 2" xfId="23369" xr:uid="{00000000-0005-0000-0000-0000A7810000}"/>
    <cellStyle name="Migliaia 47 3 7" xfId="21640" xr:uid="{00000000-0005-0000-0000-0000A8810000}"/>
    <cellStyle name="Migliaia 47 3 8" xfId="38471" xr:uid="{00000000-0005-0000-0000-0000A9810000}"/>
    <cellStyle name="Migliaia 47 3 9" xfId="39273" xr:uid="{00000000-0005-0000-0000-0000AA810000}"/>
    <cellStyle name="Migliaia 47 4" xfId="712" xr:uid="{00000000-0005-0000-0000-0000AB810000}"/>
    <cellStyle name="Migliaia 47 4 2" xfId="19556" xr:uid="{00000000-0005-0000-0000-0000AC810000}"/>
    <cellStyle name="Migliaia 47 4 2 2" xfId="20630" xr:uid="{00000000-0005-0000-0000-0000AD810000}"/>
    <cellStyle name="Migliaia 47 4 2 2 2" xfId="37947" xr:uid="{00000000-0005-0000-0000-0000AE810000}"/>
    <cellStyle name="Migliaia 47 4 2 2 3" xfId="38902" xr:uid="{00000000-0005-0000-0000-0000AF810000}"/>
    <cellStyle name="Migliaia 47 4 2 3" xfId="37520" xr:uid="{00000000-0005-0000-0000-0000B0810000}"/>
    <cellStyle name="Migliaia 47 4 2 4" xfId="38475" xr:uid="{00000000-0005-0000-0000-0000B1810000}"/>
    <cellStyle name="Migliaia 47 4 3" xfId="20629" xr:uid="{00000000-0005-0000-0000-0000B2810000}"/>
    <cellStyle name="Migliaia 47 4 3 2" xfId="37946" xr:uid="{00000000-0005-0000-0000-0000B3810000}"/>
    <cellStyle name="Migliaia 47 4 3 3" xfId="38901" xr:uid="{00000000-0005-0000-0000-0000B4810000}"/>
    <cellStyle name="Migliaia 47 4 4" xfId="19555" xr:uid="{00000000-0005-0000-0000-0000B5810000}"/>
    <cellStyle name="Migliaia 47 4 4 2" xfId="37519" xr:uid="{00000000-0005-0000-0000-0000B6810000}"/>
    <cellStyle name="Migliaia 47 4 5" xfId="11590" xr:uid="{00000000-0005-0000-0000-0000B7810000}"/>
    <cellStyle name="Migliaia 47 4 6" xfId="21642" xr:uid="{00000000-0005-0000-0000-0000B8810000}"/>
    <cellStyle name="Migliaia 47 4 7" xfId="38474" xr:uid="{00000000-0005-0000-0000-0000B9810000}"/>
    <cellStyle name="Migliaia 47 4 8" xfId="39795" xr:uid="{00000000-0005-0000-0000-0000BA810000}"/>
    <cellStyle name="Migliaia 47 4 9" xfId="40281" xr:uid="{00000000-0005-0000-0000-0000BB810000}"/>
    <cellStyle name="Migliaia 47 5" xfId="713" xr:uid="{00000000-0005-0000-0000-0000BC810000}"/>
    <cellStyle name="Migliaia 47 5 2" xfId="19557" xr:uid="{00000000-0005-0000-0000-0000BD810000}"/>
    <cellStyle name="Migliaia 47 5 2 2" xfId="37521" xr:uid="{00000000-0005-0000-0000-0000BE810000}"/>
    <cellStyle name="Migliaia 47 5 3" xfId="11591" xr:uid="{00000000-0005-0000-0000-0000BF810000}"/>
    <cellStyle name="Migliaia 47 5 4" xfId="21643" xr:uid="{00000000-0005-0000-0000-0000C0810000}"/>
    <cellStyle name="Migliaia 47 5 5" xfId="38476" xr:uid="{00000000-0005-0000-0000-0000C1810000}"/>
    <cellStyle name="Migliaia 47 5 6" xfId="39796" xr:uid="{00000000-0005-0000-0000-0000C2810000}"/>
    <cellStyle name="Migliaia 47 5 7" xfId="40282" xr:uid="{00000000-0005-0000-0000-0000C3810000}"/>
    <cellStyle name="Migliaia 47 6" xfId="714" xr:uid="{00000000-0005-0000-0000-0000C4810000}"/>
    <cellStyle name="Migliaia 47 6 2" xfId="11586" xr:uid="{00000000-0005-0000-0000-0000C5810000}"/>
    <cellStyle name="Migliaia 47 6 3" xfId="21644" xr:uid="{00000000-0005-0000-0000-0000C6810000}"/>
    <cellStyle name="Migliaia 47 6 4" xfId="39797" xr:uid="{00000000-0005-0000-0000-0000C7810000}"/>
    <cellStyle name="Migliaia 47 6 5" xfId="40283" xr:uid="{00000000-0005-0000-0000-0000C8810000}"/>
    <cellStyle name="Migliaia 47 7" xfId="12187" xr:uid="{00000000-0005-0000-0000-0000C9810000}"/>
    <cellStyle name="Migliaia 47 7 2" xfId="30372" xr:uid="{00000000-0005-0000-0000-0000CA810000}"/>
    <cellStyle name="Migliaia 47 8" xfId="19550" xr:uid="{00000000-0005-0000-0000-0000CB810000}"/>
    <cellStyle name="Migliaia 47 8 2" xfId="37514" xr:uid="{00000000-0005-0000-0000-0000CC810000}"/>
    <cellStyle name="Migliaia 47 9" xfId="3367" xr:uid="{00000000-0005-0000-0000-0000CD810000}"/>
    <cellStyle name="Migliaia 47 9 2" xfId="23367" xr:uid="{00000000-0005-0000-0000-0000CE810000}"/>
    <cellStyle name="Migliaia 48" xfId="715" xr:uid="{00000000-0005-0000-0000-0000CF810000}"/>
    <cellStyle name="Migliaia 48 10" xfId="21645" xr:uid="{00000000-0005-0000-0000-0000D0810000}"/>
    <cellStyle name="Migliaia 48 11" xfId="38477" xr:uid="{00000000-0005-0000-0000-0000D1810000}"/>
    <cellStyle name="Migliaia 48 12" xfId="39275" xr:uid="{00000000-0005-0000-0000-0000D2810000}"/>
    <cellStyle name="Migliaia 48 13" xfId="39798" xr:uid="{00000000-0005-0000-0000-0000D3810000}"/>
    <cellStyle name="Migliaia 48 14" xfId="40284" xr:uid="{00000000-0005-0000-0000-0000D4810000}"/>
    <cellStyle name="Migliaia 48 2" xfId="716" xr:uid="{00000000-0005-0000-0000-0000D5810000}"/>
    <cellStyle name="Migliaia 48 2 10" xfId="39799" xr:uid="{00000000-0005-0000-0000-0000D6810000}"/>
    <cellStyle name="Migliaia 48 2 11" xfId="40285" xr:uid="{00000000-0005-0000-0000-0000D7810000}"/>
    <cellStyle name="Migliaia 48 2 2" xfId="3580" xr:uid="{00000000-0005-0000-0000-0000D8810000}"/>
    <cellStyle name="Migliaia 48 2 2 2" xfId="12341" xr:uid="{00000000-0005-0000-0000-0000D9810000}"/>
    <cellStyle name="Migliaia 48 2 2 2 2" xfId="30511" xr:uid="{00000000-0005-0000-0000-0000DA810000}"/>
    <cellStyle name="Migliaia 48 2 2 3" xfId="20631" xr:uid="{00000000-0005-0000-0000-0000DB810000}"/>
    <cellStyle name="Migliaia 48 2 2 3 2" xfId="37948" xr:uid="{00000000-0005-0000-0000-0000DC810000}"/>
    <cellStyle name="Migliaia 48 2 2 4" xfId="23509" xr:uid="{00000000-0005-0000-0000-0000DD810000}"/>
    <cellStyle name="Migliaia 48 2 2 5" xfId="38903" xr:uid="{00000000-0005-0000-0000-0000DE810000}"/>
    <cellStyle name="Migliaia 48 2 2 6" xfId="39425" xr:uid="{00000000-0005-0000-0000-0000DF810000}"/>
    <cellStyle name="Migliaia 48 2 3" xfId="11593" xr:uid="{00000000-0005-0000-0000-0000E0810000}"/>
    <cellStyle name="Migliaia 48 2 4" xfId="12192" xr:uid="{00000000-0005-0000-0000-0000E1810000}"/>
    <cellStyle name="Migliaia 48 2 4 2" xfId="30377" xr:uid="{00000000-0005-0000-0000-0000E2810000}"/>
    <cellStyle name="Migliaia 48 2 5" xfId="19559" xr:uid="{00000000-0005-0000-0000-0000E3810000}"/>
    <cellStyle name="Migliaia 48 2 5 2" xfId="37523" xr:uid="{00000000-0005-0000-0000-0000E4810000}"/>
    <cellStyle name="Migliaia 48 2 6" xfId="3372" xr:uid="{00000000-0005-0000-0000-0000E5810000}"/>
    <cellStyle name="Migliaia 48 2 6 2" xfId="23372" xr:uid="{00000000-0005-0000-0000-0000E6810000}"/>
    <cellStyle name="Migliaia 48 2 7" xfId="21646" xr:uid="{00000000-0005-0000-0000-0000E7810000}"/>
    <cellStyle name="Migliaia 48 2 8" xfId="38478" xr:uid="{00000000-0005-0000-0000-0000E8810000}"/>
    <cellStyle name="Migliaia 48 2 9" xfId="39276" xr:uid="{00000000-0005-0000-0000-0000E9810000}"/>
    <cellStyle name="Migliaia 48 3" xfId="717" xr:uid="{00000000-0005-0000-0000-0000EA810000}"/>
    <cellStyle name="Migliaia 48 3 10" xfId="39800" xr:uid="{00000000-0005-0000-0000-0000EB810000}"/>
    <cellStyle name="Migliaia 48 3 11" xfId="40286" xr:uid="{00000000-0005-0000-0000-0000EC810000}"/>
    <cellStyle name="Migliaia 48 3 2" xfId="718" xr:uid="{00000000-0005-0000-0000-0000ED810000}"/>
    <cellStyle name="Migliaia 48 3 2 10" xfId="40287" xr:uid="{00000000-0005-0000-0000-0000EE810000}"/>
    <cellStyle name="Migliaia 48 3 2 2" xfId="11595" xr:uid="{00000000-0005-0000-0000-0000EF810000}"/>
    <cellStyle name="Migliaia 48 3 2 3" xfId="12194" xr:uid="{00000000-0005-0000-0000-0000F0810000}"/>
    <cellStyle name="Migliaia 48 3 2 3 2" xfId="30379" xr:uid="{00000000-0005-0000-0000-0000F1810000}"/>
    <cellStyle name="Migliaia 48 3 2 4" xfId="19561" xr:uid="{00000000-0005-0000-0000-0000F2810000}"/>
    <cellStyle name="Migliaia 48 3 2 4 2" xfId="37525" xr:uid="{00000000-0005-0000-0000-0000F3810000}"/>
    <cellStyle name="Migliaia 48 3 2 5" xfId="3374" xr:uid="{00000000-0005-0000-0000-0000F4810000}"/>
    <cellStyle name="Migliaia 48 3 2 5 2" xfId="23374" xr:uid="{00000000-0005-0000-0000-0000F5810000}"/>
    <cellStyle name="Migliaia 48 3 2 6" xfId="21648" xr:uid="{00000000-0005-0000-0000-0000F6810000}"/>
    <cellStyle name="Migliaia 48 3 2 7" xfId="38480" xr:uid="{00000000-0005-0000-0000-0000F7810000}"/>
    <cellStyle name="Migliaia 48 3 2 8" xfId="39278" xr:uid="{00000000-0005-0000-0000-0000F8810000}"/>
    <cellStyle name="Migliaia 48 3 2 9" xfId="39801" xr:uid="{00000000-0005-0000-0000-0000F9810000}"/>
    <cellStyle name="Migliaia 48 3 3" xfId="11594" xr:uid="{00000000-0005-0000-0000-0000FA810000}"/>
    <cellStyle name="Migliaia 48 3 3 2" xfId="20633" xr:uid="{00000000-0005-0000-0000-0000FB810000}"/>
    <cellStyle name="Migliaia 48 3 3 2 2" xfId="37950" xr:uid="{00000000-0005-0000-0000-0000FC810000}"/>
    <cellStyle name="Migliaia 48 3 3 2 3" xfId="38905" xr:uid="{00000000-0005-0000-0000-0000FD810000}"/>
    <cellStyle name="Migliaia 48 3 3 3" xfId="19562" xr:uid="{00000000-0005-0000-0000-0000FE810000}"/>
    <cellStyle name="Migliaia 48 3 3 3 2" xfId="37526" xr:uid="{00000000-0005-0000-0000-0000FF810000}"/>
    <cellStyle name="Migliaia 48 3 3 4" xfId="38481" xr:uid="{00000000-0005-0000-0000-000000820000}"/>
    <cellStyle name="Migliaia 48 3 4" xfId="12193" xr:uid="{00000000-0005-0000-0000-000001820000}"/>
    <cellStyle name="Migliaia 48 3 4 2" xfId="20632" xr:uid="{00000000-0005-0000-0000-000002820000}"/>
    <cellStyle name="Migliaia 48 3 4 2 2" xfId="37949" xr:uid="{00000000-0005-0000-0000-000003820000}"/>
    <cellStyle name="Migliaia 48 3 4 3" xfId="30378" xr:uid="{00000000-0005-0000-0000-000004820000}"/>
    <cellStyle name="Migliaia 48 3 4 4" xfId="38904" xr:uid="{00000000-0005-0000-0000-000005820000}"/>
    <cellStyle name="Migliaia 48 3 5" xfId="19560" xr:uid="{00000000-0005-0000-0000-000006820000}"/>
    <cellStyle name="Migliaia 48 3 5 2" xfId="37524" xr:uid="{00000000-0005-0000-0000-000007820000}"/>
    <cellStyle name="Migliaia 48 3 6" xfId="3373" xr:uid="{00000000-0005-0000-0000-000008820000}"/>
    <cellStyle name="Migliaia 48 3 6 2" xfId="23373" xr:uid="{00000000-0005-0000-0000-000009820000}"/>
    <cellStyle name="Migliaia 48 3 7" xfId="21647" xr:uid="{00000000-0005-0000-0000-00000A820000}"/>
    <cellStyle name="Migliaia 48 3 8" xfId="38479" xr:uid="{00000000-0005-0000-0000-00000B820000}"/>
    <cellStyle name="Migliaia 48 3 9" xfId="39277" xr:uid="{00000000-0005-0000-0000-00000C820000}"/>
    <cellStyle name="Migliaia 48 4" xfId="719" xr:uid="{00000000-0005-0000-0000-00000D820000}"/>
    <cellStyle name="Migliaia 48 4 2" xfId="19564" xr:uid="{00000000-0005-0000-0000-00000E820000}"/>
    <cellStyle name="Migliaia 48 4 2 2" xfId="20635" xr:uid="{00000000-0005-0000-0000-00000F820000}"/>
    <cellStyle name="Migliaia 48 4 2 2 2" xfId="37952" xr:uid="{00000000-0005-0000-0000-000010820000}"/>
    <cellStyle name="Migliaia 48 4 2 2 3" xfId="38907" xr:uid="{00000000-0005-0000-0000-000011820000}"/>
    <cellStyle name="Migliaia 48 4 2 3" xfId="37528" xr:uid="{00000000-0005-0000-0000-000012820000}"/>
    <cellStyle name="Migliaia 48 4 2 4" xfId="38483" xr:uid="{00000000-0005-0000-0000-000013820000}"/>
    <cellStyle name="Migliaia 48 4 3" xfId="20634" xr:uid="{00000000-0005-0000-0000-000014820000}"/>
    <cellStyle name="Migliaia 48 4 3 2" xfId="37951" xr:uid="{00000000-0005-0000-0000-000015820000}"/>
    <cellStyle name="Migliaia 48 4 3 3" xfId="38906" xr:uid="{00000000-0005-0000-0000-000016820000}"/>
    <cellStyle name="Migliaia 48 4 4" xfId="19563" xr:uid="{00000000-0005-0000-0000-000017820000}"/>
    <cellStyle name="Migliaia 48 4 4 2" xfId="37527" xr:uid="{00000000-0005-0000-0000-000018820000}"/>
    <cellStyle name="Migliaia 48 4 5" xfId="11596" xr:uid="{00000000-0005-0000-0000-000019820000}"/>
    <cellStyle name="Migliaia 48 4 6" xfId="21649" xr:uid="{00000000-0005-0000-0000-00001A820000}"/>
    <cellStyle name="Migliaia 48 4 7" xfId="38482" xr:uid="{00000000-0005-0000-0000-00001B820000}"/>
    <cellStyle name="Migliaia 48 4 8" xfId="39802" xr:uid="{00000000-0005-0000-0000-00001C820000}"/>
    <cellStyle name="Migliaia 48 4 9" xfId="40288" xr:uid="{00000000-0005-0000-0000-00001D820000}"/>
    <cellStyle name="Migliaia 48 5" xfId="720" xr:uid="{00000000-0005-0000-0000-00001E820000}"/>
    <cellStyle name="Migliaia 48 5 2" xfId="19565" xr:uid="{00000000-0005-0000-0000-00001F820000}"/>
    <cellStyle name="Migliaia 48 5 2 2" xfId="37529" xr:uid="{00000000-0005-0000-0000-000020820000}"/>
    <cellStyle name="Migliaia 48 5 3" xfId="11597" xr:uid="{00000000-0005-0000-0000-000021820000}"/>
    <cellStyle name="Migliaia 48 5 4" xfId="21650" xr:uid="{00000000-0005-0000-0000-000022820000}"/>
    <cellStyle name="Migliaia 48 5 5" xfId="38484" xr:uid="{00000000-0005-0000-0000-000023820000}"/>
    <cellStyle name="Migliaia 48 5 6" xfId="39803" xr:uid="{00000000-0005-0000-0000-000024820000}"/>
    <cellStyle name="Migliaia 48 5 7" xfId="40289" xr:uid="{00000000-0005-0000-0000-000025820000}"/>
    <cellStyle name="Migliaia 48 6" xfId="721" xr:uid="{00000000-0005-0000-0000-000026820000}"/>
    <cellStyle name="Migliaia 48 6 2" xfId="11592" xr:uid="{00000000-0005-0000-0000-000027820000}"/>
    <cellStyle name="Migliaia 48 6 3" xfId="21651" xr:uid="{00000000-0005-0000-0000-000028820000}"/>
    <cellStyle name="Migliaia 48 6 4" xfId="39804" xr:uid="{00000000-0005-0000-0000-000029820000}"/>
    <cellStyle name="Migliaia 48 6 5" xfId="40290" xr:uid="{00000000-0005-0000-0000-00002A820000}"/>
    <cellStyle name="Migliaia 48 7" xfId="12191" xr:uid="{00000000-0005-0000-0000-00002B820000}"/>
    <cellStyle name="Migliaia 48 7 2" xfId="30376" xr:uid="{00000000-0005-0000-0000-00002C820000}"/>
    <cellStyle name="Migliaia 48 8" xfId="19558" xr:uid="{00000000-0005-0000-0000-00002D820000}"/>
    <cellStyle name="Migliaia 48 8 2" xfId="37522" xr:uid="{00000000-0005-0000-0000-00002E820000}"/>
    <cellStyle name="Migliaia 48 9" xfId="3371" xr:uid="{00000000-0005-0000-0000-00002F820000}"/>
    <cellStyle name="Migliaia 48 9 2" xfId="23371" xr:uid="{00000000-0005-0000-0000-000030820000}"/>
    <cellStyle name="Migliaia 49" xfId="722" xr:uid="{00000000-0005-0000-0000-000031820000}"/>
    <cellStyle name="Migliaia 49 10" xfId="21652" xr:uid="{00000000-0005-0000-0000-000032820000}"/>
    <cellStyle name="Migliaia 49 11" xfId="38485" xr:uid="{00000000-0005-0000-0000-000033820000}"/>
    <cellStyle name="Migliaia 49 12" xfId="39279" xr:uid="{00000000-0005-0000-0000-000034820000}"/>
    <cellStyle name="Migliaia 49 13" xfId="39805" xr:uid="{00000000-0005-0000-0000-000035820000}"/>
    <cellStyle name="Migliaia 49 14" xfId="40291" xr:uid="{00000000-0005-0000-0000-000036820000}"/>
    <cellStyle name="Migliaia 49 2" xfId="723" xr:uid="{00000000-0005-0000-0000-000037820000}"/>
    <cellStyle name="Migliaia 49 2 10" xfId="39806" xr:uid="{00000000-0005-0000-0000-000038820000}"/>
    <cellStyle name="Migliaia 49 2 11" xfId="40292" xr:uid="{00000000-0005-0000-0000-000039820000}"/>
    <cellStyle name="Migliaia 49 2 2" xfId="3581" xr:uid="{00000000-0005-0000-0000-00003A820000}"/>
    <cellStyle name="Migliaia 49 2 2 2" xfId="12342" xr:uid="{00000000-0005-0000-0000-00003B820000}"/>
    <cellStyle name="Migliaia 49 2 2 2 2" xfId="30512" xr:uid="{00000000-0005-0000-0000-00003C820000}"/>
    <cellStyle name="Migliaia 49 2 2 3" xfId="20636" xr:uid="{00000000-0005-0000-0000-00003D820000}"/>
    <cellStyle name="Migliaia 49 2 2 3 2" xfId="37953" xr:uid="{00000000-0005-0000-0000-00003E820000}"/>
    <cellStyle name="Migliaia 49 2 2 4" xfId="23510" xr:uid="{00000000-0005-0000-0000-00003F820000}"/>
    <cellStyle name="Migliaia 49 2 2 5" xfId="38908" xr:uid="{00000000-0005-0000-0000-000040820000}"/>
    <cellStyle name="Migliaia 49 2 2 6" xfId="39426" xr:uid="{00000000-0005-0000-0000-000041820000}"/>
    <cellStyle name="Migliaia 49 2 3" xfId="11599" xr:uid="{00000000-0005-0000-0000-000042820000}"/>
    <cellStyle name="Migliaia 49 2 4" xfId="12196" xr:uid="{00000000-0005-0000-0000-000043820000}"/>
    <cellStyle name="Migliaia 49 2 4 2" xfId="30381" xr:uid="{00000000-0005-0000-0000-000044820000}"/>
    <cellStyle name="Migliaia 49 2 5" xfId="19567" xr:uid="{00000000-0005-0000-0000-000045820000}"/>
    <cellStyle name="Migliaia 49 2 5 2" xfId="37531" xr:uid="{00000000-0005-0000-0000-000046820000}"/>
    <cellStyle name="Migliaia 49 2 6" xfId="3376" xr:uid="{00000000-0005-0000-0000-000047820000}"/>
    <cellStyle name="Migliaia 49 2 6 2" xfId="23376" xr:uid="{00000000-0005-0000-0000-000048820000}"/>
    <cellStyle name="Migliaia 49 2 7" xfId="21653" xr:uid="{00000000-0005-0000-0000-000049820000}"/>
    <cellStyle name="Migliaia 49 2 8" xfId="38486" xr:uid="{00000000-0005-0000-0000-00004A820000}"/>
    <cellStyle name="Migliaia 49 2 9" xfId="39280" xr:uid="{00000000-0005-0000-0000-00004B820000}"/>
    <cellStyle name="Migliaia 49 3" xfId="724" xr:uid="{00000000-0005-0000-0000-00004C820000}"/>
    <cellStyle name="Migliaia 49 3 10" xfId="39807" xr:uid="{00000000-0005-0000-0000-00004D820000}"/>
    <cellStyle name="Migliaia 49 3 11" xfId="40293" xr:uid="{00000000-0005-0000-0000-00004E820000}"/>
    <cellStyle name="Migliaia 49 3 2" xfId="725" xr:uid="{00000000-0005-0000-0000-00004F820000}"/>
    <cellStyle name="Migliaia 49 3 2 10" xfId="40294" xr:uid="{00000000-0005-0000-0000-000050820000}"/>
    <cellStyle name="Migliaia 49 3 2 2" xfId="11601" xr:uid="{00000000-0005-0000-0000-000051820000}"/>
    <cellStyle name="Migliaia 49 3 2 3" xfId="12198" xr:uid="{00000000-0005-0000-0000-000052820000}"/>
    <cellStyle name="Migliaia 49 3 2 3 2" xfId="30383" xr:uid="{00000000-0005-0000-0000-000053820000}"/>
    <cellStyle name="Migliaia 49 3 2 4" xfId="19569" xr:uid="{00000000-0005-0000-0000-000054820000}"/>
    <cellStyle name="Migliaia 49 3 2 4 2" xfId="37533" xr:uid="{00000000-0005-0000-0000-000055820000}"/>
    <cellStyle name="Migliaia 49 3 2 5" xfId="3378" xr:uid="{00000000-0005-0000-0000-000056820000}"/>
    <cellStyle name="Migliaia 49 3 2 5 2" xfId="23378" xr:uid="{00000000-0005-0000-0000-000057820000}"/>
    <cellStyle name="Migliaia 49 3 2 6" xfId="21655" xr:uid="{00000000-0005-0000-0000-000058820000}"/>
    <cellStyle name="Migliaia 49 3 2 7" xfId="38488" xr:uid="{00000000-0005-0000-0000-000059820000}"/>
    <cellStyle name="Migliaia 49 3 2 8" xfId="39282" xr:uid="{00000000-0005-0000-0000-00005A820000}"/>
    <cellStyle name="Migliaia 49 3 2 9" xfId="39808" xr:uid="{00000000-0005-0000-0000-00005B820000}"/>
    <cellStyle name="Migliaia 49 3 3" xfId="11600" xr:uid="{00000000-0005-0000-0000-00005C820000}"/>
    <cellStyle name="Migliaia 49 3 3 2" xfId="20638" xr:uid="{00000000-0005-0000-0000-00005D820000}"/>
    <cellStyle name="Migliaia 49 3 3 2 2" xfId="37955" xr:uid="{00000000-0005-0000-0000-00005E820000}"/>
    <cellStyle name="Migliaia 49 3 3 2 3" xfId="38910" xr:uid="{00000000-0005-0000-0000-00005F820000}"/>
    <cellStyle name="Migliaia 49 3 3 3" xfId="19570" xr:uid="{00000000-0005-0000-0000-000060820000}"/>
    <cellStyle name="Migliaia 49 3 3 3 2" xfId="37534" xr:uid="{00000000-0005-0000-0000-000061820000}"/>
    <cellStyle name="Migliaia 49 3 3 4" xfId="38489" xr:uid="{00000000-0005-0000-0000-000062820000}"/>
    <cellStyle name="Migliaia 49 3 4" xfId="12197" xr:uid="{00000000-0005-0000-0000-000063820000}"/>
    <cellStyle name="Migliaia 49 3 4 2" xfId="20637" xr:uid="{00000000-0005-0000-0000-000064820000}"/>
    <cellStyle name="Migliaia 49 3 4 2 2" xfId="37954" xr:uid="{00000000-0005-0000-0000-000065820000}"/>
    <cellStyle name="Migliaia 49 3 4 3" xfId="30382" xr:uid="{00000000-0005-0000-0000-000066820000}"/>
    <cellStyle name="Migliaia 49 3 4 4" xfId="38909" xr:uid="{00000000-0005-0000-0000-000067820000}"/>
    <cellStyle name="Migliaia 49 3 5" xfId="19568" xr:uid="{00000000-0005-0000-0000-000068820000}"/>
    <cellStyle name="Migliaia 49 3 5 2" xfId="37532" xr:uid="{00000000-0005-0000-0000-000069820000}"/>
    <cellStyle name="Migliaia 49 3 6" xfId="3377" xr:uid="{00000000-0005-0000-0000-00006A820000}"/>
    <cellStyle name="Migliaia 49 3 6 2" xfId="23377" xr:uid="{00000000-0005-0000-0000-00006B820000}"/>
    <cellStyle name="Migliaia 49 3 7" xfId="21654" xr:uid="{00000000-0005-0000-0000-00006C820000}"/>
    <cellStyle name="Migliaia 49 3 8" xfId="38487" xr:uid="{00000000-0005-0000-0000-00006D820000}"/>
    <cellStyle name="Migliaia 49 3 9" xfId="39281" xr:uid="{00000000-0005-0000-0000-00006E820000}"/>
    <cellStyle name="Migliaia 49 4" xfId="726" xr:uid="{00000000-0005-0000-0000-00006F820000}"/>
    <cellStyle name="Migliaia 49 4 2" xfId="19572" xr:uid="{00000000-0005-0000-0000-000070820000}"/>
    <cellStyle name="Migliaia 49 4 2 2" xfId="20640" xr:uid="{00000000-0005-0000-0000-000071820000}"/>
    <cellStyle name="Migliaia 49 4 2 2 2" xfId="37957" xr:uid="{00000000-0005-0000-0000-000072820000}"/>
    <cellStyle name="Migliaia 49 4 2 2 3" xfId="38912" xr:uid="{00000000-0005-0000-0000-000073820000}"/>
    <cellStyle name="Migliaia 49 4 2 3" xfId="37536" xr:uid="{00000000-0005-0000-0000-000074820000}"/>
    <cellStyle name="Migliaia 49 4 2 4" xfId="38491" xr:uid="{00000000-0005-0000-0000-000075820000}"/>
    <cellStyle name="Migliaia 49 4 3" xfId="20639" xr:uid="{00000000-0005-0000-0000-000076820000}"/>
    <cellStyle name="Migliaia 49 4 3 2" xfId="37956" xr:uid="{00000000-0005-0000-0000-000077820000}"/>
    <cellStyle name="Migliaia 49 4 3 3" xfId="38911" xr:uid="{00000000-0005-0000-0000-000078820000}"/>
    <cellStyle name="Migliaia 49 4 4" xfId="19571" xr:uid="{00000000-0005-0000-0000-000079820000}"/>
    <cellStyle name="Migliaia 49 4 4 2" xfId="37535" xr:uid="{00000000-0005-0000-0000-00007A820000}"/>
    <cellStyle name="Migliaia 49 4 5" xfId="11602" xr:uid="{00000000-0005-0000-0000-00007B820000}"/>
    <cellStyle name="Migliaia 49 4 6" xfId="21656" xr:uid="{00000000-0005-0000-0000-00007C820000}"/>
    <cellStyle name="Migliaia 49 4 7" xfId="38490" xr:uid="{00000000-0005-0000-0000-00007D820000}"/>
    <cellStyle name="Migliaia 49 4 8" xfId="39809" xr:uid="{00000000-0005-0000-0000-00007E820000}"/>
    <cellStyle name="Migliaia 49 4 9" xfId="40295" xr:uid="{00000000-0005-0000-0000-00007F820000}"/>
    <cellStyle name="Migliaia 49 5" xfId="727" xr:uid="{00000000-0005-0000-0000-000080820000}"/>
    <cellStyle name="Migliaia 49 5 2" xfId="19573" xr:uid="{00000000-0005-0000-0000-000081820000}"/>
    <cellStyle name="Migliaia 49 5 2 2" xfId="37537" xr:uid="{00000000-0005-0000-0000-000082820000}"/>
    <cellStyle name="Migliaia 49 5 3" xfId="11603" xr:uid="{00000000-0005-0000-0000-000083820000}"/>
    <cellStyle name="Migliaia 49 5 4" xfId="21657" xr:uid="{00000000-0005-0000-0000-000084820000}"/>
    <cellStyle name="Migliaia 49 5 5" xfId="38492" xr:uid="{00000000-0005-0000-0000-000085820000}"/>
    <cellStyle name="Migliaia 49 5 6" xfId="39810" xr:uid="{00000000-0005-0000-0000-000086820000}"/>
    <cellStyle name="Migliaia 49 5 7" xfId="40296" xr:uid="{00000000-0005-0000-0000-000087820000}"/>
    <cellStyle name="Migliaia 49 6" xfId="728" xr:uid="{00000000-0005-0000-0000-000088820000}"/>
    <cellStyle name="Migliaia 49 6 2" xfId="11598" xr:uid="{00000000-0005-0000-0000-000089820000}"/>
    <cellStyle name="Migliaia 49 6 3" xfId="21658" xr:uid="{00000000-0005-0000-0000-00008A820000}"/>
    <cellStyle name="Migliaia 49 6 4" xfId="39811" xr:uid="{00000000-0005-0000-0000-00008B820000}"/>
    <cellStyle name="Migliaia 49 6 5" xfId="40297" xr:uid="{00000000-0005-0000-0000-00008C820000}"/>
    <cellStyle name="Migliaia 49 7" xfId="12195" xr:uid="{00000000-0005-0000-0000-00008D820000}"/>
    <cellStyle name="Migliaia 49 7 2" xfId="30380" xr:uid="{00000000-0005-0000-0000-00008E820000}"/>
    <cellStyle name="Migliaia 49 8" xfId="19566" xr:uid="{00000000-0005-0000-0000-00008F820000}"/>
    <cellStyle name="Migliaia 49 8 2" xfId="37530" xr:uid="{00000000-0005-0000-0000-000090820000}"/>
    <cellStyle name="Migliaia 49 9" xfId="3375" xr:uid="{00000000-0005-0000-0000-000091820000}"/>
    <cellStyle name="Migliaia 49 9 2" xfId="23375" xr:uid="{00000000-0005-0000-0000-000092820000}"/>
    <cellStyle name="Migliaia 5" xfId="729" xr:uid="{00000000-0005-0000-0000-000093820000}"/>
    <cellStyle name="Migliaia 5 10" xfId="21659" xr:uid="{00000000-0005-0000-0000-000094820000}"/>
    <cellStyle name="Migliaia 5 11" xfId="38493" xr:uid="{00000000-0005-0000-0000-000095820000}"/>
    <cellStyle name="Migliaia 5 12" xfId="39283" xr:uid="{00000000-0005-0000-0000-000096820000}"/>
    <cellStyle name="Migliaia 5 13" xfId="39812" xr:uid="{00000000-0005-0000-0000-000097820000}"/>
    <cellStyle name="Migliaia 5 14" xfId="40298" xr:uid="{00000000-0005-0000-0000-000098820000}"/>
    <cellStyle name="Migliaia 5 2" xfId="730" xr:uid="{00000000-0005-0000-0000-000099820000}"/>
    <cellStyle name="Migliaia 5 2 10" xfId="39813" xr:uid="{00000000-0005-0000-0000-00009A820000}"/>
    <cellStyle name="Migliaia 5 2 11" xfId="40299" xr:uid="{00000000-0005-0000-0000-00009B820000}"/>
    <cellStyle name="Migliaia 5 2 2" xfId="3582" xr:uid="{00000000-0005-0000-0000-00009C820000}"/>
    <cellStyle name="Migliaia 5 2 2 2" xfId="12343" xr:uid="{00000000-0005-0000-0000-00009D820000}"/>
    <cellStyle name="Migliaia 5 2 2 2 2" xfId="30513" xr:uid="{00000000-0005-0000-0000-00009E820000}"/>
    <cellStyle name="Migliaia 5 2 2 3" xfId="20641" xr:uid="{00000000-0005-0000-0000-00009F820000}"/>
    <cellStyle name="Migliaia 5 2 2 3 2" xfId="37958" xr:uid="{00000000-0005-0000-0000-0000A0820000}"/>
    <cellStyle name="Migliaia 5 2 2 4" xfId="23511" xr:uid="{00000000-0005-0000-0000-0000A1820000}"/>
    <cellStyle name="Migliaia 5 2 2 5" xfId="38913" xr:uid="{00000000-0005-0000-0000-0000A2820000}"/>
    <cellStyle name="Migliaia 5 2 2 6" xfId="39427" xr:uid="{00000000-0005-0000-0000-0000A3820000}"/>
    <cellStyle name="Migliaia 5 2 3" xfId="11605" xr:uid="{00000000-0005-0000-0000-0000A4820000}"/>
    <cellStyle name="Migliaia 5 2 4" xfId="12200" xr:uid="{00000000-0005-0000-0000-0000A5820000}"/>
    <cellStyle name="Migliaia 5 2 4 2" xfId="30385" xr:uid="{00000000-0005-0000-0000-0000A6820000}"/>
    <cellStyle name="Migliaia 5 2 5" xfId="19575" xr:uid="{00000000-0005-0000-0000-0000A7820000}"/>
    <cellStyle name="Migliaia 5 2 5 2" xfId="37539" xr:uid="{00000000-0005-0000-0000-0000A8820000}"/>
    <cellStyle name="Migliaia 5 2 6" xfId="3380" xr:uid="{00000000-0005-0000-0000-0000A9820000}"/>
    <cellStyle name="Migliaia 5 2 6 2" xfId="23380" xr:uid="{00000000-0005-0000-0000-0000AA820000}"/>
    <cellStyle name="Migliaia 5 2 7" xfId="21660" xr:uid="{00000000-0005-0000-0000-0000AB820000}"/>
    <cellStyle name="Migliaia 5 2 8" xfId="38494" xr:uid="{00000000-0005-0000-0000-0000AC820000}"/>
    <cellStyle name="Migliaia 5 2 9" xfId="39284" xr:uid="{00000000-0005-0000-0000-0000AD820000}"/>
    <cellStyle name="Migliaia 5 3" xfId="731" xr:uid="{00000000-0005-0000-0000-0000AE820000}"/>
    <cellStyle name="Migliaia 5 3 10" xfId="39814" xr:uid="{00000000-0005-0000-0000-0000AF820000}"/>
    <cellStyle name="Migliaia 5 3 11" xfId="40300" xr:uid="{00000000-0005-0000-0000-0000B0820000}"/>
    <cellStyle name="Migliaia 5 3 2" xfId="732" xr:uid="{00000000-0005-0000-0000-0000B1820000}"/>
    <cellStyle name="Migliaia 5 3 2 10" xfId="40301" xr:uid="{00000000-0005-0000-0000-0000B2820000}"/>
    <cellStyle name="Migliaia 5 3 2 2" xfId="11607" xr:uid="{00000000-0005-0000-0000-0000B3820000}"/>
    <cellStyle name="Migliaia 5 3 2 3" xfId="12202" xr:uid="{00000000-0005-0000-0000-0000B4820000}"/>
    <cellStyle name="Migliaia 5 3 2 3 2" xfId="30387" xr:uid="{00000000-0005-0000-0000-0000B5820000}"/>
    <cellStyle name="Migliaia 5 3 2 4" xfId="19577" xr:uid="{00000000-0005-0000-0000-0000B6820000}"/>
    <cellStyle name="Migliaia 5 3 2 4 2" xfId="37541" xr:uid="{00000000-0005-0000-0000-0000B7820000}"/>
    <cellStyle name="Migliaia 5 3 2 5" xfId="3382" xr:uid="{00000000-0005-0000-0000-0000B8820000}"/>
    <cellStyle name="Migliaia 5 3 2 5 2" xfId="23382" xr:uid="{00000000-0005-0000-0000-0000B9820000}"/>
    <cellStyle name="Migliaia 5 3 2 6" xfId="21662" xr:uid="{00000000-0005-0000-0000-0000BA820000}"/>
    <cellStyle name="Migliaia 5 3 2 7" xfId="38496" xr:uid="{00000000-0005-0000-0000-0000BB820000}"/>
    <cellStyle name="Migliaia 5 3 2 8" xfId="39286" xr:uid="{00000000-0005-0000-0000-0000BC820000}"/>
    <cellStyle name="Migliaia 5 3 2 9" xfId="39815" xr:uid="{00000000-0005-0000-0000-0000BD820000}"/>
    <cellStyle name="Migliaia 5 3 3" xfId="11606" xr:uid="{00000000-0005-0000-0000-0000BE820000}"/>
    <cellStyle name="Migliaia 5 3 3 2" xfId="20643" xr:uid="{00000000-0005-0000-0000-0000BF820000}"/>
    <cellStyle name="Migliaia 5 3 3 2 2" xfId="37960" xr:uid="{00000000-0005-0000-0000-0000C0820000}"/>
    <cellStyle name="Migliaia 5 3 3 2 3" xfId="38915" xr:uid="{00000000-0005-0000-0000-0000C1820000}"/>
    <cellStyle name="Migliaia 5 3 3 3" xfId="19578" xr:uid="{00000000-0005-0000-0000-0000C2820000}"/>
    <cellStyle name="Migliaia 5 3 3 3 2" xfId="37542" xr:uid="{00000000-0005-0000-0000-0000C3820000}"/>
    <cellStyle name="Migliaia 5 3 3 4" xfId="38497" xr:uid="{00000000-0005-0000-0000-0000C4820000}"/>
    <cellStyle name="Migliaia 5 3 4" xfId="12201" xr:uid="{00000000-0005-0000-0000-0000C5820000}"/>
    <cellStyle name="Migliaia 5 3 4 2" xfId="20642" xr:uid="{00000000-0005-0000-0000-0000C6820000}"/>
    <cellStyle name="Migliaia 5 3 4 2 2" xfId="37959" xr:uid="{00000000-0005-0000-0000-0000C7820000}"/>
    <cellStyle name="Migliaia 5 3 4 3" xfId="30386" xr:uid="{00000000-0005-0000-0000-0000C8820000}"/>
    <cellStyle name="Migliaia 5 3 4 4" xfId="38914" xr:uid="{00000000-0005-0000-0000-0000C9820000}"/>
    <cellStyle name="Migliaia 5 3 5" xfId="19576" xr:uid="{00000000-0005-0000-0000-0000CA820000}"/>
    <cellStyle name="Migliaia 5 3 5 2" xfId="37540" xr:uid="{00000000-0005-0000-0000-0000CB820000}"/>
    <cellStyle name="Migliaia 5 3 6" xfId="3381" xr:uid="{00000000-0005-0000-0000-0000CC820000}"/>
    <cellStyle name="Migliaia 5 3 6 2" xfId="23381" xr:uid="{00000000-0005-0000-0000-0000CD820000}"/>
    <cellStyle name="Migliaia 5 3 7" xfId="21661" xr:uid="{00000000-0005-0000-0000-0000CE820000}"/>
    <cellStyle name="Migliaia 5 3 8" xfId="38495" xr:uid="{00000000-0005-0000-0000-0000CF820000}"/>
    <cellStyle name="Migliaia 5 3 9" xfId="39285" xr:uid="{00000000-0005-0000-0000-0000D0820000}"/>
    <cellStyle name="Migliaia 5 4" xfId="733" xr:uid="{00000000-0005-0000-0000-0000D1820000}"/>
    <cellStyle name="Migliaia 5 4 2" xfId="19580" xr:uid="{00000000-0005-0000-0000-0000D2820000}"/>
    <cellStyle name="Migliaia 5 4 2 2" xfId="20645" xr:uid="{00000000-0005-0000-0000-0000D3820000}"/>
    <cellStyle name="Migliaia 5 4 2 2 2" xfId="37962" xr:uid="{00000000-0005-0000-0000-0000D4820000}"/>
    <cellStyle name="Migliaia 5 4 2 2 3" xfId="38917" xr:uid="{00000000-0005-0000-0000-0000D5820000}"/>
    <cellStyle name="Migliaia 5 4 2 3" xfId="37544" xr:uid="{00000000-0005-0000-0000-0000D6820000}"/>
    <cellStyle name="Migliaia 5 4 2 4" xfId="38499" xr:uid="{00000000-0005-0000-0000-0000D7820000}"/>
    <cellStyle name="Migliaia 5 4 3" xfId="20644" xr:uid="{00000000-0005-0000-0000-0000D8820000}"/>
    <cellStyle name="Migliaia 5 4 3 2" xfId="37961" xr:uid="{00000000-0005-0000-0000-0000D9820000}"/>
    <cellStyle name="Migliaia 5 4 3 3" xfId="38916" xr:uid="{00000000-0005-0000-0000-0000DA820000}"/>
    <cellStyle name="Migliaia 5 4 4" xfId="19579" xr:uid="{00000000-0005-0000-0000-0000DB820000}"/>
    <cellStyle name="Migliaia 5 4 4 2" xfId="37543" xr:uid="{00000000-0005-0000-0000-0000DC820000}"/>
    <cellStyle name="Migliaia 5 4 5" xfId="11608" xr:uid="{00000000-0005-0000-0000-0000DD820000}"/>
    <cellStyle name="Migliaia 5 4 6" xfId="21663" xr:uid="{00000000-0005-0000-0000-0000DE820000}"/>
    <cellStyle name="Migliaia 5 4 7" xfId="38498" xr:uid="{00000000-0005-0000-0000-0000DF820000}"/>
    <cellStyle name="Migliaia 5 4 8" xfId="39816" xr:uid="{00000000-0005-0000-0000-0000E0820000}"/>
    <cellStyle name="Migliaia 5 4 9" xfId="40302" xr:uid="{00000000-0005-0000-0000-0000E1820000}"/>
    <cellStyle name="Migliaia 5 5" xfId="734" xr:uid="{00000000-0005-0000-0000-0000E2820000}"/>
    <cellStyle name="Migliaia 5 5 2" xfId="19581" xr:uid="{00000000-0005-0000-0000-0000E3820000}"/>
    <cellStyle name="Migliaia 5 5 2 2" xfId="37545" xr:uid="{00000000-0005-0000-0000-0000E4820000}"/>
    <cellStyle name="Migliaia 5 5 3" xfId="11609" xr:uid="{00000000-0005-0000-0000-0000E5820000}"/>
    <cellStyle name="Migliaia 5 5 4" xfId="21664" xr:uid="{00000000-0005-0000-0000-0000E6820000}"/>
    <cellStyle name="Migliaia 5 5 5" xfId="38500" xr:uid="{00000000-0005-0000-0000-0000E7820000}"/>
    <cellStyle name="Migliaia 5 5 6" xfId="39817" xr:uid="{00000000-0005-0000-0000-0000E8820000}"/>
    <cellStyle name="Migliaia 5 5 7" xfId="40303" xr:uid="{00000000-0005-0000-0000-0000E9820000}"/>
    <cellStyle name="Migliaia 5 6" xfId="735" xr:uid="{00000000-0005-0000-0000-0000EA820000}"/>
    <cellStyle name="Migliaia 5 6 2" xfId="11604" xr:uid="{00000000-0005-0000-0000-0000EB820000}"/>
    <cellStyle name="Migliaia 5 6 3" xfId="21665" xr:uid="{00000000-0005-0000-0000-0000EC820000}"/>
    <cellStyle name="Migliaia 5 6 4" xfId="39818" xr:uid="{00000000-0005-0000-0000-0000ED820000}"/>
    <cellStyle name="Migliaia 5 6 5" xfId="40304" xr:uid="{00000000-0005-0000-0000-0000EE820000}"/>
    <cellStyle name="Migliaia 5 7" xfId="12199" xr:uid="{00000000-0005-0000-0000-0000EF820000}"/>
    <cellStyle name="Migliaia 5 7 2" xfId="30384" xr:uid="{00000000-0005-0000-0000-0000F0820000}"/>
    <cellStyle name="Migliaia 5 8" xfId="19574" xr:uid="{00000000-0005-0000-0000-0000F1820000}"/>
    <cellStyle name="Migliaia 5 8 2" xfId="37538" xr:uid="{00000000-0005-0000-0000-0000F2820000}"/>
    <cellStyle name="Migliaia 5 9" xfId="3379" xr:uid="{00000000-0005-0000-0000-0000F3820000}"/>
    <cellStyle name="Migliaia 5 9 2" xfId="23379" xr:uid="{00000000-0005-0000-0000-0000F4820000}"/>
    <cellStyle name="Migliaia 50" xfId="736" xr:uid="{00000000-0005-0000-0000-0000F5820000}"/>
    <cellStyle name="Migliaia 50 10" xfId="21666" xr:uid="{00000000-0005-0000-0000-0000F6820000}"/>
    <cellStyle name="Migliaia 50 11" xfId="38501" xr:uid="{00000000-0005-0000-0000-0000F7820000}"/>
    <cellStyle name="Migliaia 50 12" xfId="39287" xr:uid="{00000000-0005-0000-0000-0000F8820000}"/>
    <cellStyle name="Migliaia 50 13" xfId="39819" xr:uid="{00000000-0005-0000-0000-0000F9820000}"/>
    <cellStyle name="Migliaia 50 14" xfId="40305" xr:uid="{00000000-0005-0000-0000-0000FA820000}"/>
    <cellStyle name="Migliaia 50 2" xfId="737" xr:uid="{00000000-0005-0000-0000-0000FB820000}"/>
    <cellStyle name="Migliaia 50 2 10" xfId="39820" xr:uid="{00000000-0005-0000-0000-0000FC820000}"/>
    <cellStyle name="Migliaia 50 2 11" xfId="40306" xr:uid="{00000000-0005-0000-0000-0000FD820000}"/>
    <cellStyle name="Migliaia 50 2 2" xfId="3583" xr:uid="{00000000-0005-0000-0000-0000FE820000}"/>
    <cellStyle name="Migliaia 50 2 2 2" xfId="12344" xr:uid="{00000000-0005-0000-0000-0000FF820000}"/>
    <cellStyle name="Migliaia 50 2 2 2 2" xfId="30514" xr:uid="{00000000-0005-0000-0000-000000830000}"/>
    <cellStyle name="Migliaia 50 2 2 3" xfId="20646" xr:uid="{00000000-0005-0000-0000-000001830000}"/>
    <cellStyle name="Migliaia 50 2 2 3 2" xfId="37963" xr:uid="{00000000-0005-0000-0000-000002830000}"/>
    <cellStyle name="Migliaia 50 2 2 4" xfId="23512" xr:uid="{00000000-0005-0000-0000-000003830000}"/>
    <cellStyle name="Migliaia 50 2 2 5" xfId="38918" xr:uid="{00000000-0005-0000-0000-000004830000}"/>
    <cellStyle name="Migliaia 50 2 2 6" xfId="39428" xr:uid="{00000000-0005-0000-0000-000005830000}"/>
    <cellStyle name="Migliaia 50 2 3" xfId="11611" xr:uid="{00000000-0005-0000-0000-000006830000}"/>
    <cellStyle name="Migliaia 50 2 4" xfId="12204" xr:uid="{00000000-0005-0000-0000-000007830000}"/>
    <cellStyle name="Migliaia 50 2 4 2" xfId="30389" xr:uid="{00000000-0005-0000-0000-000008830000}"/>
    <cellStyle name="Migliaia 50 2 5" xfId="19583" xr:uid="{00000000-0005-0000-0000-000009830000}"/>
    <cellStyle name="Migliaia 50 2 5 2" xfId="37547" xr:uid="{00000000-0005-0000-0000-00000A830000}"/>
    <cellStyle name="Migliaia 50 2 6" xfId="3384" xr:uid="{00000000-0005-0000-0000-00000B830000}"/>
    <cellStyle name="Migliaia 50 2 6 2" xfId="23384" xr:uid="{00000000-0005-0000-0000-00000C830000}"/>
    <cellStyle name="Migliaia 50 2 7" xfId="21667" xr:uid="{00000000-0005-0000-0000-00000D830000}"/>
    <cellStyle name="Migliaia 50 2 8" xfId="38502" xr:uid="{00000000-0005-0000-0000-00000E830000}"/>
    <cellStyle name="Migliaia 50 2 9" xfId="39288" xr:uid="{00000000-0005-0000-0000-00000F830000}"/>
    <cellStyle name="Migliaia 50 3" xfId="738" xr:uid="{00000000-0005-0000-0000-000010830000}"/>
    <cellStyle name="Migliaia 50 3 10" xfId="39821" xr:uid="{00000000-0005-0000-0000-000011830000}"/>
    <cellStyle name="Migliaia 50 3 11" xfId="40307" xr:uid="{00000000-0005-0000-0000-000012830000}"/>
    <cellStyle name="Migliaia 50 3 2" xfId="739" xr:uid="{00000000-0005-0000-0000-000013830000}"/>
    <cellStyle name="Migliaia 50 3 2 10" xfId="40308" xr:uid="{00000000-0005-0000-0000-000014830000}"/>
    <cellStyle name="Migliaia 50 3 2 2" xfId="11613" xr:uid="{00000000-0005-0000-0000-000015830000}"/>
    <cellStyle name="Migliaia 50 3 2 3" xfId="12206" xr:uid="{00000000-0005-0000-0000-000016830000}"/>
    <cellStyle name="Migliaia 50 3 2 3 2" xfId="30391" xr:uid="{00000000-0005-0000-0000-000017830000}"/>
    <cellStyle name="Migliaia 50 3 2 4" xfId="19585" xr:uid="{00000000-0005-0000-0000-000018830000}"/>
    <cellStyle name="Migliaia 50 3 2 4 2" xfId="37549" xr:uid="{00000000-0005-0000-0000-000019830000}"/>
    <cellStyle name="Migliaia 50 3 2 5" xfId="3386" xr:uid="{00000000-0005-0000-0000-00001A830000}"/>
    <cellStyle name="Migliaia 50 3 2 5 2" xfId="23386" xr:uid="{00000000-0005-0000-0000-00001B830000}"/>
    <cellStyle name="Migliaia 50 3 2 6" xfId="21669" xr:uid="{00000000-0005-0000-0000-00001C830000}"/>
    <cellStyle name="Migliaia 50 3 2 7" xfId="38504" xr:uid="{00000000-0005-0000-0000-00001D830000}"/>
    <cellStyle name="Migliaia 50 3 2 8" xfId="39290" xr:uid="{00000000-0005-0000-0000-00001E830000}"/>
    <cellStyle name="Migliaia 50 3 2 9" xfId="39822" xr:uid="{00000000-0005-0000-0000-00001F830000}"/>
    <cellStyle name="Migliaia 50 3 3" xfId="11612" xr:uid="{00000000-0005-0000-0000-000020830000}"/>
    <cellStyle name="Migliaia 50 3 3 2" xfId="20648" xr:uid="{00000000-0005-0000-0000-000021830000}"/>
    <cellStyle name="Migliaia 50 3 3 2 2" xfId="37965" xr:uid="{00000000-0005-0000-0000-000022830000}"/>
    <cellStyle name="Migliaia 50 3 3 2 3" xfId="38920" xr:uid="{00000000-0005-0000-0000-000023830000}"/>
    <cellStyle name="Migliaia 50 3 3 3" xfId="19586" xr:uid="{00000000-0005-0000-0000-000024830000}"/>
    <cellStyle name="Migliaia 50 3 3 3 2" xfId="37550" xr:uid="{00000000-0005-0000-0000-000025830000}"/>
    <cellStyle name="Migliaia 50 3 3 4" xfId="38505" xr:uid="{00000000-0005-0000-0000-000026830000}"/>
    <cellStyle name="Migliaia 50 3 4" xfId="12205" xr:uid="{00000000-0005-0000-0000-000027830000}"/>
    <cellStyle name="Migliaia 50 3 4 2" xfId="20647" xr:uid="{00000000-0005-0000-0000-000028830000}"/>
    <cellStyle name="Migliaia 50 3 4 2 2" xfId="37964" xr:uid="{00000000-0005-0000-0000-000029830000}"/>
    <cellStyle name="Migliaia 50 3 4 3" xfId="30390" xr:uid="{00000000-0005-0000-0000-00002A830000}"/>
    <cellStyle name="Migliaia 50 3 4 4" xfId="38919" xr:uid="{00000000-0005-0000-0000-00002B830000}"/>
    <cellStyle name="Migliaia 50 3 5" xfId="19584" xr:uid="{00000000-0005-0000-0000-00002C830000}"/>
    <cellStyle name="Migliaia 50 3 5 2" xfId="37548" xr:uid="{00000000-0005-0000-0000-00002D830000}"/>
    <cellStyle name="Migliaia 50 3 6" xfId="3385" xr:uid="{00000000-0005-0000-0000-00002E830000}"/>
    <cellStyle name="Migliaia 50 3 6 2" xfId="23385" xr:uid="{00000000-0005-0000-0000-00002F830000}"/>
    <cellStyle name="Migliaia 50 3 7" xfId="21668" xr:uid="{00000000-0005-0000-0000-000030830000}"/>
    <cellStyle name="Migliaia 50 3 8" xfId="38503" xr:uid="{00000000-0005-0000-0000-000031830000}"/>
    <cellStyle name="Migliaia 50 3 9" xfId="39289" xr:uid="{00000000-0005-0000-0000-000032830000}"/>
    <cellStyle name="Migliaia 50 4" xfId="740" xr:uid="{00000000-0005-0000-0000-000033830000}"/>
    <cellStyle name="Migliaia 50 4 2" xfId="19588" xr:uid="{00000000-0005-0000-0000-000034830000}"/>
    <cellStyle name="Migliaia 50 4 2 2" xfId="20650" xr:uid="{00000000-0005-0000-0000-000035830000}"/>
    <cellStyle name="Migliaia 50 4 2 2 2" xfId="37967" xr:uid="{00000000-0005-0000-0000-000036830000}"/>
    <cellStyle name="Migliaia 50 4 2 2 3" xfId="38922" xr:uid="{00000000-0005-0000-0000-000037830000}"/>
    <cellStyle name="Migliaia 50 4 2 3" xfId="37552" xr:uid="{00000000-0005-0000-0000-000038830000}"/>
    <cellStyle name="Migliaia 50 4 2 4" xfId="38507" xr:uid="{00000000-0005-0000-0000-000039830000}"/>
    <cellStyle name="Migliaia 50 4 3" xfId="20649" xr:uid="{00000000-0005-0000-0000-00003A830000}"/>
    <cellStyle name="Migliaia 50 4 3 2" xfId="37966" xr:uid="{00000000-0005-0000-0000-00003B830000}"/>
    <cellStyle name="Migliaia 50 4 3 3" xfId="38921" xr:uid="{00000000-0005-0000-0000-00003C830000}"/>
    <cellStyle name="Migliaia 50 4 4" xfId="19587" xr:uid="{00000000-0005-0000-0000-00003D830000}"/>
    <cellStyle name="Migliaia 50 4 4 2" xfId="37551" xr:uid="{00000000-0005-0000-0000-00003E830000}"/>
    <cellStyle name="Migliaia 50 4 5" xfId="11614" xr:uid="{00000000-0005-0000-0000-00003F830000}"/>
    <cellStyle name="Migliaia 50 4 6" xfId="21670" xr:uid="{00000000-0005-0000-0000-000040830000}"/>
    <cellStyle name="Migliaia 50 4 7" xfId="38506" xr:uid="{00000000-0005-0000-0000-000041830000}"/>
    <cellStyle name="Migliaia 50 4 8" xfId="39823" xr:uid="{00000000-0005-0000-0000-000042830000}"/>
    <cellStyle name="Migliaia 50 4 9" xfId="40309" xr:uid="{00000000-0005-0000-0000-000043830000}"/>
    <cellStyle name="Migliaia 50 5" xfId="741" xr:uid="{00000000-0005-0000-0000-000044830000}"/>
    <cellStyle name="Migliaia 50 5 2" xfId="19589" xr:uid="{00000000-0005-0000-0000-000045830000}"/>
    <cellStyle name="Migliaia 50 5 2 2" xfId="37553" xr:uid="{00000000-0005-0000-0000-000046830000}"/>
    <cellStyle name="Migliaia 50 5 3" xfId="11615" xr:uid="{00000000-0005-0000-0000-000047830000}"/>
    <cellStyle name="Migliaia 50 5 4" xfId="21671" xr:uid="{00000000-0005-0000-0000-000048830000}"/>
    <cellStyle name="Migliaia 50 5 5" xfId="38508" xr:uid="{00000000-0005-0000-0000-000049830000}"/>
    <cellStyle name="Migliaia 50 5 6" xfId="39824" xr:uid="{00000000-0005-0000-0000-00004A830000}"/>
    <cellStyle name="Migliaia 50 5 7" xfId="40310" xr:uid="{00000000-0005-0000-0000-00004B830000}"/>
    <cellStyle name="Migliaia 50 6" xfId="742" xr:uid="{00000000-0005-0000-0000-00004C830000}"/>
    <cellStyle name="Migliaia 50 6 2" xfId="11610" xr:uid="{00000000-0005-0000-0000-00004D830000}"/>
    <cellStyle name="Migliaia 50 6 3" xfId="21672" xr:uid="{00000000-0005-0000-0000-00004E830000}"/>
    <cellStyle name="Migliaia 50 6 4" xfId="39825" xr:uid="{00000000-0005-0000-0000-00004F830000}"/>
    <cellStyle name="Migliaia 50 6 5" xfId="40311" xr:uid="{00000000-0005-0000-0000-000050830000}"/>
    <cellStyle name="Migliaia 50 7" xfId="12203" xr:uid="{00000000-0005-0000-0000-000051830000}"/>
    <cellStyle name="Migliaia 50 7 2" xfId="30388" xr:uid="{00000000-0005-0000-0000-000052830000}"/>
    <cellStyle name="Migliaia 50 8" xfId="19582" xr:uid="{00000000-0005-0000-0000-000053830000}"/>
    <cellStyle name="Migliaia 50 8 2" xfId="37546" xr:uid="{00000000-0005-0000-0000-000054830000}"/>
    <cellStyle name="Migliaia 50 9" xfId="3383" xr:uid="{00000000-0005-0000-0000-000055830000}"/>
    <cellStyle name="Migliaia 50 9 2" xfId="23383" xr:uid="{00000000-0005-0000-0000-000056830000}"/>
    <cellStyle name="Migliaia 51" xfId="743" xr:uid="{00000000-0005-0000-0000-000057830000}"/>
    <cellStyle name="Migliaia 51 10" xfId="21673" xr:uid="{00000000-0005-0000-0000-000058830000}"/>
    <cellStyle name="Migliaia 51 11" xfId="38509" xr:uid="{00000000-0005-0000-0000-000059830000}"/>
    <cellStyle name="Migliaia 51 12" xfId="39291" xr:uid="{00000000-0005-0000-0000-00005A830000}"/>
    <cellStyle name="Migliaia 51 13" xfId="39826" xr:uid="{00000000-0005-0000-0000-00005B830000}"/>
    <cellStyle name="Migliaia 51 14" xfId="40312" xr:uid="{00000000-0005-0000-0000-00005C830000}"/>
    <cellStyle name="Migliaia 51 2" xfId="744" xr:uid="{00000000-0005-0000-0000-00005D830000}"/>
    <cellStyle name="Migliaia 51 2 10" xfId="39827" xr:uid="{00000000-0005-0000-0000-00005E830000}"/>
    <cellStyle name="Migliaia 51 2 11" xfId="40313" xr:uid="{00000000-0005-0000-0000-00005F830000}"/>
    <cellStyle name="Migliaia 51 2 2" xfId="3584" xr:uid="{00000000-0005-0000-0000-000060830000}"/>
    <cellStyle name="Migliaia 51 2 2 2" xfId="12345" xr:uid="{00000000-0005-0000-0000-000061830000}"/>
    <cellStyle name="Migliaia 51 2 2 2 2" xfId="30515" xr:uid="{00000000-0005-0000-0000-000062830000}"/>
    <cellStyle name="Migliaia 51 2 2 3" xfId="20651" xr:uid="{00000000-0005-0000-0000-000063830000}"/>
    <cellStyle name="Migliaia 51 2 2 3 2" xfId="37968" xr:uid="{00000000-0005-0000-0000-000064830000}"/>
    <cellStyle name="Migliaia 51 2 2 4" xfId="23513" xr:uid="{00000000-0005-0000-0000-000065830000}"/>
    <cellStyle name="Migliaia 51 2 2 5" xfId="38923" xr:uid="{00000000-0005-0000-0000-000066830000}"/>
    <cellStyle name="Migliaia 51 2 2 6" xfId="39429" xr:uid="{00000000-0005-0000-0000-000067830000}"/>
    <cellStyle name="Migliaia 51 2 3" xfId="11617" xr:uid="{00000000-0005-0000-0000-000068830000}"/>
    <cellStyle name="Migliaia 51 2 4" xfId="12208" xr:uid="{00000000-0005-0000-0000-000069830000}"/>
    <cellStyle name="Migliaia 51 2 4 2" xfId="30393" xr:uid="{00000000-0005-0000-0000-00006A830000}"/>
    <cellStyle name="Migliaia 51 2 5" xfId="19591" xr:uid="{00000000-0005-0000-0000-00006B830000}"/>
    <cellStyle name="Migliaia 51 2 5 2" xfId="37555" xr:uid="{00000000-0005-0000-0000-00006C830000}"/>
    <cellStyle name="Migliaia 51 2 6" xfId="3388" xr:uid="{00000000-0005-0000-0000-00006D830000}"/>
    <cellStyle name="Migliaia 51 2 6 2" xfId="23388" xr:uid="{00000000-0005-0000-0000-00006E830000}"/>
    <cellStyle name="Migliaia 51 2 7" xfId="21674" xr:uid="{00000000-0005-0000-0000-00006F830000}"/>
    <cellStyle name="Migliaia 51 2 8" xfId="38510" xr:uid="{00000000-0005-0000-0000-000070830000}"/>
    <cellStyle name="Migliaia 51 2 9" xfId="39292" xr:uid="{00000000-0005-0000-0000-000071830000}"/>
    <cellStyle name="Migliaia 51 3" xfId="745" xr:uid="{00000000-0005-0000-0000-000072830000}"/>
    <cellStyle name="Migliaia 51 3 10" xfId="39828" xr:uid="{00000000-0005-0000-0000-000073830000}"/>
    <cellStyle name="Migliaia 51 3 11" xfId="40314" xr:uid="{00000000-0005-0000-0000-000074830000}"/>
    <cellStyle name="Migliaia 51 3 2" xfId="746" xr:uid="{00000000-0005-0000-0000-000075830000}"/>
    <cellStyle name="Migliaia 51 3 2 10" xfId="40315" xr:uid="{00000000-0005-0000-0000-000076830000}"/>
    <cellStyle name="Migliaia 51 3 2 2" xfId="11619" xr:uid="{00000000-0005-0000-0000-000077830000}"/>
    <cellStyle name="Migliaia 51 3 2 3" xfId="12210" xr:uid="{00000000-0005-0000-0000-000078830000}"/>
    <cellStyle name="Migliaia 51 3 2 3 2" xfId="30395" xr:uid="{00000000-0005-0000-0000-000079830000}"/>
    <cellStyle name="Migliaia 51 3 2 4" xfId="19593" xr:uid="{00000000-0005-0000-0000-00007A830000}"/>
    <cellStyle name="Migliaia 51 3 2 4 2" xfId="37557" xr:uid="{00000000-0005-0000-0000-00007B830000}"/>
    <cellStyle name="Migliaia 51 3 2 5" xfId="3390" xr:uid="{00000000-0005-0000-0000-00007C830000}"/>
    <cellStyle name="Migliaia 51 3 2 5 2" xfId="23390" xr:uid="{00000000-0005-0000-0000-00007D830000}"/>
    <cellStyle name="Migliaia 51 3 2 6" xfId="21676" xr:uid="{00000000-0005-0000-0000-00007E830000}"/>
    <cellStyle name="Migliaia 51 3 2 7" xfId="38512" xr:uid="{00000000-0005-0000-0000-00007F830000}"/>
    <cellStyle name="Migliaia 51 3 2 8" xfId="39294" xr:uid="{00000000-0005-0000-0000-000080830000}"/>
    <cellStyle name="Migliaia 51 3 2 9" xfId="39829" xr:uid="{00000000-0005-0000-0000-000081830000}"/>
    <cellStyle name="Migliaia 51 3 3" xfId="11618" xr:uid="{00000000-0005-0000-0000-000082830000}"/>
    <cellStyle name="Migliaia 51 3 3 2" xfId="20653" xr:uid="{00000000-0005-0000-0000-000083830000}"/>
    <cellStyle name="Migliaia 51 3 3 2 2" xfId="37970" xr:uid="{00000000-0005-0000-0000-000084830000}"/>
    <cellStyle name="Migliaia 51 3 3 2 3" xfId="38925" xr:uid="{00000000-0005-0000-0000-000085830000}"/>
    <cellStyle name="Migliaia 51 3 3 3" xfId="19594" xr:uid="{00000000-0005-0000-0000-000086830000}"/>
    <cellStyle name="Migliaia 51 3 3 3 2" xfId="37558" xr:uid="{00000000-0005-0000-0000-000087830000}"/>
    <cellStyle name="Migliaia 51 3 3 4" xfId="38513" xr:uid="{00000000-0005-0000-0000-000088830000}"/>
    <cellStyle name="Migliaia 51 3 4" xfId="12209" xr:uid="{00000000-0005-0000-0000-000089830000}"/>
    <cellStyle name="Migliaia 51 3 4 2" xfId="20652" xr:uid="{00000000-0005-0000-0000-00008A830000}"/>
    <cellStyle name="Migliaia 51 3 4 2 2" xfId="37969" xr:uid="{00000000-0005-0000-0000-00008B830000}"/>
    <cellStyle name="Migliaia 51 3 4 3" xfId="30394" xr:uid="{00000000-0005-0000-0000-00008C830000}"/>
    <cellStyle name="Migliaia 51 3 4 4" xfId="38924" xr:uid="{00000000-0005-0000-0000-00008D830000}"/>
    <cellStyle name="Migliaia 51 3 5" xfId="19592" xr:uid="{00000000-0005-0000-0000-00008E830000}"/>
    <cellStyle name="Migliaia 51 3 5 2" xfId="37556" xr:uid="{00000000-0005-0000-0000-00008F830000}"/>
    <cellStyle name="Migliaia 51 3 6" xfId="3389" xr:uid="{00000000-0005-0000-0000-000090830000}"/>
    <cellStyle name="Migliaia 51 3 6 2" xfId="23389" xr:uid="{00000000-0005-0000-0000-000091830000}"/>
    <cellStyle name="Migliaia 51 3 7" xfId="21675" xr:uid="{00000000-0005-0000-0000-000092830000}"/>
    <cellStyle name="Migliaia 51 3 8" xfId="38511" xr:uid="{00000000-0005-0000-0000-000093830000}"/>
    <cellStyle name="Migliaia 51 3 9" xfId="39293" xr:uid="{00000000-0005-0000-0000-000094830000}"/>
    <cellStyle name="Migliaia 51 4" xfId="747" xr:uid="{00000000-0005-0000-0000-000095830000}"/>
    <cellStyle name="Migliaia 51 4 2" xfId="19596" xr:uid="{00000000-0005-0000-0000-000096830000}"/>
    <cellStyle name="Migliaia 51 4 2 2" xfId="20655" xr:uid="{00000000-0005-0000-0000-000097830000}"/>
    <cellStyle name="Migliaia 51 4 2 2 2" xfId="37972" xr:uid="{00000000-0005-0000-0000-000098830000}"/>
    <cellStyle name="Migliaia 51 4 2 2 3" xfId="38927" xr:uid="{00000000-0005-0000-0000-000099830000}"/>
    <cellStyle name="Migliaia 51 4 2 3" xfId="37560" xr:uid="{00000000-0005-0000-0000-00009A830000}"/>
    <cellStyle name="Migliaia 51 4 2 4" xfId="38515" xr:uid="{00000000-0005-0000-0000-00009B830000}"/>
    <cellStyle name="Migliaia 51 4 3" xfId="20654" xr:uid="{00000000-0005-0000-0000-00009C830000}"/>
    <cellStyle name="Migliaia 51 4 3 2" xfId="37971" xr:uid="{00000000-0005-0000-0000-00009D830000}"/>
    <cellStyle name="Migliaia 51 4 3 3" xfId="38926" xr:uid="{00000000-0005-0000-0000-00009E830000}"/>
    <cellStyle name="Migliaia 51 4 4" xfId="19595" xr:uid="{00000000-0005-0000-0000-00009F830000}"/>
    <cellStyle name="Migliaia 51 4 4 2" xfId="37559" xr:uid="{00000000-0005-0000-0000-0000A0830000}"/>
    <cellStyle name="Migliaia 51 4 5" xfId="11620" xr:uid="{00000000-0005-0000-0000-0000A1830000}"/>
    <cellStyle name="Migliaia 51 4 6" xfId="21677" xr:uid="{00000000-0005-0000-0000-0000A2830000}"/>
    <cellStyle name="Migliaia 51 4 7" xfId="38514" xr:uid="{00000000-0005-0000-0000-0000A3830000}"/>
    <cellStyle name="Migliaia 51 4 8" xfId="39830" xr:uid="{00000000-0005-0000-0000-0000A4830000}"/>
    <cellStyle name="Migliaia 51 4 9" xfId="40316" xr:uid="{00000000-0005-0000-0000-0000A5830000}"/>
    <cellStyle name="Migliaia 51 5" xfId="748" xr:uid="{00000000-0005-0000-0000-0000A6830000}"/>
    <cellStyle name="Migliaia 51 5 2" xfId="19597" xr:uid="{00000000-0005-0000-0000-0000A7830000}"/>
    <cellStyle name="Migliaia 51 5 2 2" xfId="37561" xr:uid="{00000000-0005-0000-0000-0000A8830000}"/>
    <cellStyle name="Migliaia 51 5 3" xfId="11621" xr:uid="{00000000-0005-0000-0000-0000A9830000}"/>
    <cellStyle name="Migliaia 51 5 4" xfId="21678" xr:uid="{00000000-0005-0000-0000-0000AA830000}"/>
    <cellStyle name="Migliaia 51 5 5" xfId="38516" xr:uid="{00000000-0005-0000-0000-0000AB830000}"/>
    <cellStyle name="Migliaia 51 5 6" xfId="39831" xr:uid="{00000000-0005-0000-0000-0000AC830000}"/>
    <cellStyle name="Migliaia 51 5 7" xfId="40317" xr:uid="{00000000-0005-0000-0000-0000AD830000}"/>
    <cellStyle name="Migliaia 51 6" xfId="749" xr:uid="{00000000-0005-0000-0000-0000AE830000}"/>
    <cellStyle name="Migliaia 51 6 2" xfId="11616" xr:uid="{00000000-0005-0000-0000-0000AF830000}"/>
    <cellStyle name="Migliaia 51 6 3" xfId="21679" xr:uid="{00000000-0005-0000-0000-0000B0830000}"/>
    <cellStyle name="Migliaia 51 6 4" xfId="39832" xr:uid="{00000000-0005-0000-0000-0000B1830000}"/>
    <cellStyle name="Migliaia 51 6 5" xfId="40318" xr:uid="{00000000-0005-0000-0000-0000B2830000}"/>
    <cellStyle name="Migliaia 51 7" xfId="12207" xr:uid="{00000000-0005-0000-0000-0000B3830000}"/>
    <cellStyle name="Migliaia 51 7 2" xfId="30392" xr:uid="{00000000-0005-0000-0000-0000B4830000}"/>
    <cellStyle name="Migliaia 51 8" xfId="19590" xr:uid="{00000000-0005-0000-0000-0000B5830000}"/>
    <cellStyle name="Migliaia 51 8 2" xfId="37554" xr:uid="{00000000-0005-0000-0000-0000B6830000}"/>
    <cellStyle name="Migliaia 51 9" xfId="3387" xr:uid="{00000000-0005-0000-0000-0000B7830000}"/>
    <cellStyle name="Migliaia 51 9 2" xfId="23387" xr:uid="{00000000-0005-0000-0000-0000B8830000}"/>
    <cellStyle name="Migliaia 52" xfId="750" xr:uid="{00000000-0005-0000-0000-0000B9830000}"/>
    <cellStyle name="Migliaia 52 10" xfId="21680" xr:uid="{00000000-0005-0000-0000-0000BA830000}"/>
    <cellStyle name="Migliaia 52 11" xfId="38517" xr:uid="{00000000-0005-0000-0000-0000BB830000}"/>
    <cellStyle name="Migliaia 52 12" xfId="39295" xr:uid="{00000000-0005-0000-0000-0000BC830000}"/>
    <cellStyle name="Migliaia 52 13" xfId="39833" xr:uid="{00000000-0005-0000-0000-0000BD830000}"/>
    <cellStyle name="Migliaia 52 14" xfId="40319" xr:uid="{00000000-0005-0000-0000-0000BE830000}"/>
    <cellStyle name="Migliaia 52 2" xfId="751" xr:uid="{00000000-0005-0000-0000-0000BF830000}"/>
    <cellStyle name="Migliaia 52 2 10" xfId="39834" xr:uid="{00000000-0005-0000-0000-0000C0830000}"/>
    <cellStyle name="Migliaia 52 2 11" xfId="40320" xr:uid="{00000000-0005-0000-0000-0000C1830000}"/>
    <cellStyle name="Migliaia 52 2 2" xfId="3585" xr:uid="{00000000-0005-0000-0000-0000C2830000}"/>
    <cellStyle name="Migliaia 52 2 2 2" xfId="12346" xr:uid="{00000000-0005-0000-0000-0000C3830000}"/>
    <cellStyle name="Migliaia 52 2 2 2 2" xfId="30516" xr:uid="{00000000-0005-0000-0000-0000C4830000}"/>
    <cellStyle name="Migliaia 52 2 2 3" xfId="20656" xr:uid="{00000000-0005-0000-0000-0000C5830000}"/>
    <cellStyle name="Migliaia 52 2 2 3 2" xfId="37973" xr:uid="{00000000-0005-0000-0000-0000C6830000}"/>
    <cellStyle name="Migliaia 52 2 2 4" xfId="23514" xr:uid="{00000000-0005-0000-0000-0000C7830000}"/>
    <cellStyle name="Migliaia 52 2 2 5" xfId="38928" xr:uid="{00000000-0005-0000-0000-0000C8830000}"/>
    <cellStyle name="Migliaia 52 2 2 6" xfId="39430" xr:uid="{00000000-0005-0000-0000-0000C9830000}"/>
    <cellStyle name="Migliaia 52 2 3" xfId="11623" xr:uid="{00000000-0005-0000-0000-0000CA830000}"/>
    <cellStyle name="Migliaia 52 2 4" xfId="12212" xr:uid="{00000000-0005-0000-0000-0000CB830000}"/>
    <cellStyle name="Migliaia 52 2 4 2" xfId="30397" xr:uid="{00000000-0005-0000-0000-0000CC830000}"/>
    <cellStyle name="Migliaia 52 2 5" xfId="19599" xr:uid="{00000000-0005-0000-0000-0000CD830000}"/>
    <cellStyle name="Migliaia 52 2 5 2" xfId="37563" xr:uid="{00000000-0005-0000-0000-0000CE830000}"/>
    <cellStyle name="Migliaia 52 2 6" xfId="3392" xr:uid="{00000000-0005-0000-0000-0000CF830000}"/>
    <cellStyle name="Migliaia 52 2 6 2" xfId="23392" xr:uid="{00000000-0005-0000-0000-0000D0830000}"/>
    <cellStyle name="Migliaia 52 2 7" xfId="21681" xr:uid="{00000000-0005-0000-0000-0000D1830000}"/>
    <cellStyle name="Migliaia 52 2 8" xfId="38518" xr:uid="{00000000-0005-0000-0000-0000D2830000}"/>
    <cellStyle name="Migliaia 52 2 9" xfId="39296" xr:uid="{00000000-0005-0000-0000-0000D3830000}"/>
    <cellStyle name="Migliaia 52 3" xfId="752" xr:uid="{00000000-0005-0000-0000-0000D4830000}"/>
    <cellStyle name="Migliaia 52 3 10" xfId="39835" xr:uid="{00000000-0005-0000-0000-0000D5830000}"/>
    <cellStyle name="Migliaia 52 3 11" xfId="40321" xr:uid="{00000000-0005-0000-0000-0000D6830000}"/>
    <cellStyle name="Migliaia 52 3 2" xfId="753" xr:uid="{00000000-0005-0000-0000-0000D7830000}"/>
    <cellStyle name="Migliaia 52 3 2 10" xfId="40322" xr:uid="{00000000-0005-0000-0000-0000D8830000}"/>
    <cellStyle name="Migliaia 52 3 2 2" xfId="11625" xr:uid="{00000000-0005-0000-0000-0000D9830000}"/>
    <cellStyle name="Migliaia 52 3 2 3" xfId="12214" xr:uid="{00000000-0005-0000-0000-0000DA830000}"/>
    <cellStyle name="Migliaia 52 3 2 3 2" xfId="30399" xr:uid="{00000000-0005-0000-0000-0000DB830000}"/>
    <cellStyle name="Migliaia 52 3 2 4" xfId="19601" xr:uid="{00000000-0005-0000-0000-0000DC830000}"/>
    <cellStyle name="Migliaia 52 3 2 4 2" xfId="37565" xr:uid="{00000000-0005-0000-0000-0000DD830000}"/>
    <cellStyle name="Migliaia 52 3 2 5" xfId="3394" xr:uid="{00000000-0005-0000-0000-0000DE830000}"/>
    <cellStyle name="Migliaia 52 3 2 5 2" xfId="23394" xr:uid="{00000000-0005-0000-0000-0000DF830000}"/>
    <cellStyle name="Migliaia 52 3 2 6" xfId="21683" xr:uid="{00000000-0005-0000-0000-0000E0830000}"/>
    <cellStyle name="Migliaia 52 3 2 7" xfId="38520" xr:uid="{00000000-0005-0000-0000-0000E1830000}"/>
    <cellStyle name="Migliaia 52 3 2 8" xfId="39298" xr:uid="{00000000-0005-0000-0000-0000E2830000}"/>
    <cellStyle name="Migliaia 52 3 2 9" xfId="39836" xr:uid="{00000000-0005-0000-0000-0000E3830000}"/>
    <cellStyle name="Migliaia 52 3 3" xfId="11624" xr:uid="{00000000-0005-0000-0000-0000E4830000}"/>
    <cellStyle name="Migliaia 52 3 3 2" xfId="20658" xr:uid="{00000000-0005-0000-0000-0000E5830000}"/>
    <cellStyle name="Migliaia 52 3 3 2 2" xfId="37975" xr:uid="{00000000-0005-0000-0000-0000E6830000}"/>
    <cellStyle name="Migliaia 52 3 3 2 3" xfId="38930" xr:uid="{00000000-0005-0000-0000-0000E7830000}"/>
    <cellStyle name="Migliaia 52 3 3 3" xfId="19602" xr:uid="{00000000-0005-0000-0000-0000E8830000}"/>
    <cellStyle name="Migliaia 52 3 3 3 2" xfId="37566" xr:uid="{00000000-0005-0000-0000-0000E9830000}"/>
    <cellStyle name="Migliaia 52 3 3 4" xfId="38521" xr:uid="{00000000-0005-0000-0000-0000EA830000}"/>
    <cellStyle name="Migliaia 52 3 4" xfId="12213" xr:uid="{00000000-0005-0000-0000-0000EB830000}"/>
    <cellStyle name="Migliaia 52 3 4 2" xfId="20657" xr:uid="{00000000-0005-0000-0000-0000EC830000}"/>
    <cellStyle name="Migliaia 52 3 4 2 2" xfId="37974" xr:uid="{00000000-0005-0000-0000-0000ED830000}"/>
    <cellStyle name="Migliaia 52 3 4 3" xfId="30398" xr:uid="{00000000-0005-0000-0000-0000EE830000}"/>
    <cellStyle name="Migliaia 52 3 4 4" xfId="38929" xr:uid="{00000000-0005-0000-0000-0000EF830000}"/>
    <cellStyle name="Migliaia 52 3 5" xfId="19600" xr:uid="{00000000-0005-0000-0000-0000F0830000}"/>
    <cellStyle name="Migliaia 52 3 5 2" xfId="37564" xr:uid="{00000000-0005-0000-0000-0000F1830000}"/>
    <cellStyle name="Migliaia 52 3 6" xfId="3393" xr:uid="{00000000-0005-0000-0000-0000F2830000}"/>
    <cellStyle name="Migliaia 52 3 6 2" xfId="23393" xr:uid="{00000000-0005-0000-0000-0000F3830000}"/>
    <cellStyle name="Migliaia 52 3 7" xfId="21682" xr:uid="{00000000-0005-0000-0000-0000F4830000}"/>
    <cellStyle name="Migliaia 52 3 8" xfId="38519" xr:uid="{00000000-0005-0000-0000-0000F5830000}"/>
    <cellStyle name="Migliaia 52 3 9" xfId="39297" xr:uid="{00000000-0005-0000-0000-0000F6830000}"/>
    <cellStyle name="Migliaia 52 4" xfId="754" xr:uid="{00000000-0005-0000-0000-0000F7830000}"/>
    <cellStyle name="Migliaia 52 4 2" xfId="19604" xr:uid="{00000000-0005-0000-0000-0000F8830000}"/>
    <cellStyle name="Migliaia 52 4 2 2" xfId="20660" xr:uid="{00000000-0005-0000-0000-0000F9830000}"/>
    <cellStyle name="Migliaia 52 4 2 2 2" xfId="37977" xr:uid="{00000000-0005-0000-0000-0000FA830000}"/>
    <cellStyle name="Migliaia 52 4 2 2 3" xfId="38932" xr:uid="{00000000-0005-0000-0000-0000FB830000}"/>
    <cellStyle name="Migliaia 52 4 2 3" xfId="37568" xr:uid="{00000000-0005-0000-0000-0000FC830000}"/>
    <cellStyle name="Migliaia 52 4 2 4" xfId="38523" xr:uid="{00000000-0005-0000-0000-0000FD830000}"/>
    <cellStyle name="Migliaia 52 4 3" xfId="20659" xr:uid="{00000000-0005-0000-0000-0000FE830000}"/>
    <cellStyle name="Migliaia 52 4 3 2" xfId="37976" xr:uid="{00000000-0005-0000-0000-0000FF830000}"/>
    <cellStyle name="Migliaia 52 4 3 3" xfId="38931" xr:uid="{00000000-0005-0000-0000-000000840000}"/>
    <cellStyle name="Migliaia 52 4 4" xfId="19603" xr:uid="{00000000-0005-0000-0000-000001840000}"/>
    <cellStyle name="Migliaia 52 4 4 2" xfId="37567" xr:uid="{00000000-0005-0000-0000-000002840000}"/>
    <cellStyle name="Migliaia 52 4 5" xfId="11626" xr:uid="{00000000-0005-0000-0000-000003840000}"/>
    <cellStyle name="Migliaia 52 4 6" xfId="21684" xr:uid="{00000000-0005-0000-0000-000004840000}"/>
    <cellStyle name="Migliaia 52 4 7" xfId="38522" xr:uid="{00000000-0005-0000-0000-000005840000}"/>
    <cellStyle name="Migliaia 52 4 8" xfId="39837" xr:uid="{00000000-0005-0000-0000-000006840000}"/>
    <cellStyle name="Migliaia 52 4 9" xfId="40323" xr:uid="{00000000-0005-0000-0000-000007840000}"/>
    <cellStyle name="Migliaia 52 5" xfId="755" xr:uid="{00000000-0005-0000-0000-000008840000}"/>
    <cellStyle name="Migliaia 52 5 2" xfId="19605" xr:uid="{00000000-0005-0000-0000-000009840000}"/>
    <cellStyle name="Migliaia 52 5 2 2" xfId="37569" xr:uid="{00000000-0005-0000-0000-00000A840000}"/>
    <cellStyle name="Migliaia 52 5 3" xfId="11627" xr:uid="{00000000-0005-0000-0000-00000B840000}"/>
    <cellStyle name="Migliaia 52 5 4" xfId="21685" xr:uid="{00000000-0005-0000-0000-00000C840000}"/>
    <cellStyle name="Migliaia 52 5 5" xfId="38524" xr:uid="{00000000-0005-0000-0000-00000D840000}"/>
    <cellStyle name="Migliaia 52 5 6" xfId="39838" xr:uid="{00000000-0005-0000-0000-00000E840000}"/>
    <cellStyle name="Migliaia 52 5 7" xfId="40324" xr:uid="{00000000-0005-0000-0000-00000F840000}"/>
    <cellStyle name="Migliaia 52 6" xfId="756" xr:uid="{00000000-0005-0000-0000-000010840000}"/>
    <cellStyle name="Migliaia 52 6 2" xfId="11622" xr:uid="{00000000-0005-0000-0000-000011840000}"/>
    <cellStyle name="Migliaia 52 6 3" xfId="21686" xr:uid="{00000000-0005-0000-0000-000012840000}"/>
    <cellStyle name="Migliaia 52 6 4" xfId="39839" xr:uid="{00000000-0005-0000-0000-000013840000}"/>
    <cellStyle name="Migliaia 52 6 5" xfId="40325" xr:uid="{00000000-0005-0000-0000-000014840000}"/>
    <cellStyle name="Migliaia 52 7" xfId="12211" xr:uid="{00000000-0005-0000-0000-000015840000}"/>
    <cellStyle name="Migliaia 52 7 2" xfId="30396" xr:uid="{00000000-0005-0000-0000-000016840000}"/>
    <cellStyle name="Migliaia 52 8" xfId="19598" xr:uid="{00000000-0005-0000-0000-000017840000}"/>
    <cellStyle name="Migliaia 52 8 2" xfId="37562" xr:uid="{00000000-0005-0000-0000-000018840000}"/>
    <cellStyle name="Migliaia 52 9" xfId="3391" xr:uid="{00000000-0005-0000-0000-000019840000}"/>
    <cellStyle name="Migliaia 52 9 2" xfId="23391" xr:uid="{00000000-0005-0000-0000-00001A840000}"/>
    <cellStyle name="Migliaia 53" xfId="757" xr:uid="{00000000-0005-0000-0000-00001B840000}"/>
    <cellStyle name="Migliaia 53 10" xfId="21687" xr:uid="{00000000-0005-0000-0000-00001C840000}"/>
    <cellStyle name="Migliaia 53 11" xfId="38525" xr:uid="{00000000-0005-0000-0000-00001D840000}"/>
    <cellStyle name="Migliaia 53 12" xfId="39299" xr:uid="{00000000-0005-0000-0000-00001E840000}"/>
    <cellStyle name="Migliaia 53 13" xfId="39840" xr:uid="{00000000-0005-0000-0000-00001F840000}"/>
    <cellStyle name="Migliaia 53 14" xfId="40326" xr:uid="{00000000-0005-0000-0000-000020840000}"/>
    <cellStyle name="Migliaia 53 2" xfId="758" xr:uid="{00000000-0005-0000-0000-000021840000}"/>
    <cellStyle name="Migliaia 53 2 10" xfId="39841" xr:uid="{00000000-0005-0000-0000-000022840000}"/>
    <cellStyle name="Migliaia 53 2 11" xfId="40327" xr:uid="{00000000-0005-0000-0000-000023840000}"/>
    <cellStyle name="Migliaia 53 2 2" xfId="3586" xr:uid="{00000000-0005-0000-0000-000024840000}"/>
    <cellStyle name="Migliaia 53 2 2 2" xfId="12347" xr:uid="{00000000-0005-0000-0000-000025840000}"/>
    <cellStyle name="Migliaia 53 2 2 2 2" xfId="30517" xr:uid="{00000000-0005-0000-0000-000026840000}"/>
    <cellStyle name="Migliaia 53 2 2 3" xfId="20661" xr:uid="{00000000-0005-0000-0000-000027840000}"/>
    <cellStyle name="Migliaia 53 2 2 3 2" xfId="37978" xr:uid="{00000000-0005-0000-0000-000028840000}"/>
    <cellStyle name="Migliaia 53 2 2 4" xfId="23515" xr:uid="{00000000-0005-0000-0000-000029840000}"/>
    <cellStyle name="Migliaia 53 2 2 5" xfId="38933" xr:uid="{00000000-0005-0000-0000-00002A840000}"/>
    <cellStyle name="Migliaia 53 2 2 6" xfId="39431" xr:uid="{00000000-0005-0000-0000-00002B840000}"/>
    <cellStyle name="Migliaia 53 2 3" xfId="11629" xr:uid="{00000000-0005-0000-0000-00002C840000}"/>
    <cellStyle name="Migliaia 53 2 4" xfId="12216" xr:uid="{00000000-0005-0000-0000-00002D840000}"/>
    <cellStyle name="Migliaia 53 2 4 2" xfId="30401" xr:uid="{00000000-0005-0000-0000-00002E840000}"/>
    <cellStyle name="Migliaia 53 2 5" xfId="19607" xr:uid="{00000000-0005-0000-0000-00002F840000}"/>
    <cellStyle name="Migliaia 53 2 5 2" xfId="37571" xr:uid="{00000000-0005-0000-0000-000030840000}"/>
    <cellStyle name="Migliaia 53 2 6" xfId="3396" xr:uid="{00000000-0005-0000-0000-000031840000}"/>
    <cellStyle name="Migliaia 53 2 6 2" xfId="23396" xr:uid="{00000000-0005-0000-0000-000032840000}"/>
    <cellStyle name="Migliaia 53 2 7" xfId="21688" xr:uid="{00000000-0005-0000-0000-000033840000}"/>
    <cellStyle name="Migliaia 53 2 8" xfId="38526" xr:uid="{00000000-0005-0000-0000-000034840000}"/>
    <cellStyle name="Migliaia 53 2 9" xfId="39300" xr:uid="{00000000-0005-0000-0000-000035840000}"/>
    <cellStyle name="Migliaia 53 3" xfId="759" xr:uid="{00000000-0005-0000-0000-000036840000}"/>
    <cellStyle name="Migliaia 53 3 10" xfId="39842" xr:uid="{00000000-0005-0000-0000-000037840000}"/>
    <cellStyle name="Migliaia 53 3 11" xfId="40328" xr:uid="{00000000-0005-0000-0000-000038840000}"/>
    <cellStyle name="Migliaia 53 3 2" xfId="760" xr:uid="{00000000-0005-0000-0000-000039840000}"/>
    <cellStyle name="Migliaia 53 3 2 10" xfId="40329" xr:uid="{00000000-0005-0000-0000-00003A840000}"/>
    <cellStyle name="Migliaia 53 3 2 2" xfId="11631" xr:uid="{00000000-0005-0000-0000-00003B840000}"/>
    <cellStyle name="Migliaia 53 3 2 3" xfId="12218" xr:uid="{00000000-0005-0000-0000-00003C840000}"/>
    <cellStyle name="Migliaia 53 3 2 3 2" xfId="30403" xr:uid="{00000000-0005-0000-0000-00003D840000}"/>
    <cellStyle name="Migliaia 53 3 2 4" xfId="19609" xr:uid="{00000000-0005-0000-0000-00003E840000}"/>
    <cellStyle name="Migliaia 53 3 2 4 2" xfId="37573" xr:uid="{00000000-0005-0000-0000-00003F840000}"/>
    <cellStyle name="Migliaia 53 3 2 5" xfId="3398" xr:uid="{00000000-0005-0000-0000-000040840000}"/>
    <cellStyle name="Migliaia 53 3 2 5 2" xfId="23398" xr:uid="{00000000-0005-0000-0000-000041840000}"/>
    <cellStyle name="Migliaia 53 3 2 6" xfId="21690" xr:uid="{00000000-0005-0000-0000-000042840000}"/>
    <cellStyle name="Migliaia 53 3 2 7" xfId="38528" xr:uid="{00000000-0005-0000-0000-000043840000}"/>
    <cellStyle name="Migliaia 53 3 2 8" xfId="39302" xr:uid="{00000000-0005-0000-0000-000044840000}"/>
    <cellStyle name="Migliaia 53 3 2 9" xfId="39843" xr:uid="{00000000-0005-0000-0000-000045840000}"/>
    <cellStyle name="Migliaia 53 3 3" xfId="11630" xr:uid="{00000000-0005-0000-0000-000046840000}"/>
    <cellStyle name="Migliaia 53 3 3 2" xfId="20663" xr:uid="{00000000-0005-0000-0000-000047840000}"/>
    <cellStyle name="Migliaia 53 3 3 2 2" xfId="37980" xr:uid="{00000000-0005-0000-0000-000048840000}"/>
    <cellStyle name="Migliaia 53 3 3 2 3" xfId="38935" xr:uid="{00000000-0005-0000-0000-000049840000}"/>
    <cellStyle name="Migliaia 53 3 3 3" xfId="19610" xr:uid="{00000000-0005-0000-0000-00004A840000}"/>
    <cellStyle name="Migliaia 53 3 3 3 2" xfId="37574" xr:uid="{00000000-0005-0000-0000-00004B840000}"/>
    <cellStyle name="Migliaia 53 3 3 4" xfId="38529" xr:uid="{00000000-0005-0000-0000-00004C840000}"/>
    <cellStyle name="Migliaia 53 3 4" xfId="12217" xr:uid="{00000000-0005-0000-0000-00004D840000}"/>
    <cellStyle name="Migliaia 53 3 4 2" xfId="20662" xr:uid="{00000000-0005-0000-0000-00004E840000}"/>
    <cellStyle name="Migliaia 53 3 4 2 2" xfId="37979" xr:uid="{00000000-0005-0000-0000-00004F840000}"/>
    <cellStyle name="Migliaia 53 3 4 3" xfId="30402" xr:uid="{00000000-0005-0000-0000-000050840000}"/>
    <cellStyle name="Migliaia 53 3 4 4" xfId="38934" xr:uid="{00000000-0005-0000-0000-000051840000}"/>
    <cellStyle name="Migliaia 53 3 5" xfId="19608" xr:uid="{00000000-0005-0000-0000-000052840000}"/>
    <cellStyle name="Migliaia 53 3 5 2" xfId="37572" xr:uid="{00000000-0005-0000-0000-000053840000}"/>
    <cellStyle name="Migliaia 53 3 6" xfId="3397" xr:uid="{00000000-0005-0000-0000-000054840000}"/>
    <cellStyle name="Migliaia 53 3 6 2" xfId="23397" xr:uid="{00000000-0005-0000-0000-000055840000}"/>
    <cellStyle name="Migliaia 53 3 7" xfId="21689" xr:uid="{00000000-0005-0000-0000-000056840000}"/>
    <cellStyle name="Migliaia 53 3 8" xfId="38527" xr:uid="{00000000-0005-0000-0000-000057840000}"/>
    <cellStyle name="Migliaia 53 3 9" xfId="39301" xr:uid="{00000000-0005-0000-0000-000058840000}"/>
    <cellStyle name="Migliaia 53 4" xfId="761" xr:uid="{00000000-0005-0000-0000-000059840000}"/>
    <cellStyle name="Migliaia 53 4 2" xfId="19612" xr:uid="{00000000-0005-0000-0000-00005A840000}"/>
    <cellStyle name="Migliaia 53 4 2 2" xfId="20665" xr:uid="{00000000-0005-0000-0000-00005B840000}"/>
    <cellStyle name="Migliaia 53 4 2 2 2" xfId="37982" xr:uid="{00000000-0005-0000-0000-00005C840000}"/>
    <cellStyle name="Migliaia 53 4 2 2 3" xfId="38937" xr:uid="{00000000-0005-0000-0000-00005D840000}"/>
    <cellStyle name="Migliaia 53 4 2 3" xfId="37576" xr:uid="{00000000-0005-0000-0000-00005E840000}"/>
    <cellStyle name="Migliaia 53 4 2 4" xfId="38531" xr:uid="{00000000-0005-0000-0000-00005F840000}"/>
    <cellStyle name="Migliaia 53 4 3" xfId="20664" xr:uid="{00000000-0005-0000-0000-000060840000}"/>
    <cellStyle name="Migliaia 53 4 3 2" xfId="37981" xr:uid="{00000000-0005-0000-0000-000061840000}"/>
    <cellStyle name="Migliaia 53 4 3 3" xfId="38936" xr:uid="{00000000-0005-0000-0000-000062840000}"/>
    <cellStyle name="Migliaia 53 4 4" xfId="19611" xr:uid="{00000000-0005-0000-0000-000063840000}"/>
    <cellStyle name="Migliaia 53 4 4 2" xfId="37575" xr:uid="{00000000-0005-0000-0000-000064840000}"/>
    <cellStyle name="Migliaia 53 4 5" xfId="11632" xr:uid="{00000000-0005-0000-0000-000065840000}"/>
    <cellStyle name="Migliaia 53 4 6" xfId="21691" xr:uid="{00000000-0005-0000-0000-000066840000}"/>
    <cellStyle name="Migliaia 53 4 7" xfId="38530" xr:uid="{00000000-0005-0000-0000-000067840000}"/>
    <cellStyle name="Migliaia 53 4 8" xfId="39844" xr:uid="{00000000-0005-0000-0000-000068840000}"/>
    <cellStyle name="Migliaia 53 4 9" xfId="40330" xr:uid="{00000000-0005-0000-0000-000069840000}"/>
    <cellStyle name="Migliaia 53 5" xfId="762" xr:uid="{00000000-0005-0000-0000-00006A840000}"/>
    <cellStyle name="Migliaia 53 5 2" xfId="19613" xr:uid="{00000000-0005-0000-0000-00006B840000}"/>
    <cellStyle name="Migliaia 53 5 2 2" xfId="37577" xr:uid="{00000000-0005-0000-0000-00006C840000}"/>
    <cellStyle name="Migliaia 53 5 3" xfId="11633" xr:uid="{00000000-0005-0000-0000-00006D840000}"/>
    <cellStyle name="Migliaia 53 5 4" xfId="21692" xr:uid="{00000000-0005-0000-0000-00006E840000}"/>
    <cellStyle name="Migliaia 53 5 5" xfId="38532" xr:uid="{00000000-0005-0000-0000-00006F840000}"/>
    <cellStyle name="Migliaia 53 5 6" xfId="39845" xr:uid="{00000000-0005-0000-0000-000070840000}"/>
    <cellStyle name="Migliaia 53 5 7" xfId="40331" xr:uid="{00000000-0005-0000-0000-000071840000}"/>
    <cellStyle name="Migliaia 53 6" xfId="763" xr:uid="{00000000-0005-0000-0000-000072840000}"/>
    <cellStyle name="Migliaia 53 6 2" xfId="11628" xr:uid="{00000000-0005-0000-0000-000073840000}"/>
    <cellStyle name="Migliaia 53 6 3" xfId="21693" xr:uid="{00000000-0005-0000-0000-000074840000}"/>
    <cellStyle name="Migliaia 53 6 4" xfId="39846" xr:uid="{00000000-0005-0000-0000-000075840000}"/>
    <cellStyle name="Migliaia 53 6 5" xfId="40332" xr:uid="{00000000-0005-0000-0000-000076840000}"/>
    <cellStyle name="Migliaia 53 7" xfId="12215" xr:uid="{00000000-0005-0000-0000-000077840000}"/>
    <cellStyle name="Migliaia 53 7 2" xfId="30400" xr:uid="{00000000-0005-0000-0000-000078840000}"/>
    <cellStyle name="Migliaia 53 8" xfId="19606" xr:uid="{00000000-0005-0000-0000-000079840000}"/>
    <cellStyle name="Migliaia 53 8 2" xfId="37570" xr:uid="{00000000-0005-0000-0000-00007A840000}"/>
    <cellStyle name="Migliaia 53 9" xfId="3395" xr:uid="{00000000-0005-0000-0000-00007B840000}"/>
    <cellStyle name="Migliaia 53 9 2" xfId="23395" xr:uid="{00000000-0005-0000-0000-00007C840000}"/>
    <cellStyle name="Migliaia 54" xfId="764" xr:uid="{00000000-0005-0000-0000-00007D840000}"/>
    <cellStyle name="Migliaia 54 10" xfId="21694" xr:uid="{00000000-0005-0000-0000-00007E840000}"/>
    <cellStyle name="Migliaia 54 11" xfId="38533" xr:uid="{00000000-0005-0000-0000-00007F840000}"/>
    <cellStyle name="Migliaia 54 12" xfId="39303" xr:uid="{00000000-0005-0000-0000-000080840000}"/>
    <cellStyle name="Migliaia 54 13" xfId="39847" xr:uid="{00000000-0005-0000-0000-000081840000}"/>
    <cellStyle name="Migliaia 54 14" xfId="40333" xr:uid="{00000000-0005-0000-0000-000082840000}"/>
    <cellStyle name="Migliaia 54 2" xfId="765" xr:uid="{00000000-0005-0000-0000-000083840000}"/>
    <cellStyle name="Migliaia 54 2 10" xfId="39848" xr:uid="{00000000-0005-0000-0000-000084840000}"/>
    <cellStyle name="Migliaia 54 2 11" xfId="40334" xr:uid="{00000000-0005-0000-0000-000085840000}"/>
    <cellStyle name="Migliaia 54 2 2" xfId="3587" xr:uid="{00000000-0005-0000-0000-000086840000}"/>
    <cellStyle name="Migliaia 54 2 2 2" xfId="12348" xr:uid="{00000000-0005-0000-0000-000087840000}"/>
    <cellStyle name="Migliaia 54 2 2 2 2" xfId="30518" xr:uid="{00000000-0005-0000-0000-000088840000}"/>
    <cellStyle name="Migliaia 54 2 2 3" xfId="20666" xr:uid="{00000000-0005-0000-0000-000089840000}"/>
    <cellStyle name="Migliaia 54 2 2 3 2" xfId="37983" xr:uid="{00000000-0005-0000-0000-00008A840000}"/>
    <cellStyle name="Migliaia 54 2 2 4" xfId="23516" xr:uid="{00000000-0005-0000-0000-00008B840000}"/>
    <cellStyle name="Migliaia 54 2 2 5" xfId="38938" xr:uid="{00000000-0005-0000-0000-00008C840000}"/>
    <cellStyle name="Migliaia 54 2 2 6" xfId="39432" xr:uid="{00000000-0005-0000-0000-00008D840000}"/>
    <cellStyle name="Migliaia 54 2 3" xfId="11635" xr:uid="{00000000-0005-0000-0000-00008E840000}"/>
    <cellStyle name="Migliaia 54 2 4" xfId="12220" xr:uid="{00000000-0005-0000-0000-00008F840000}"/>
    <cellStyle name="Migliaia 54 2 4 2" xfId="30405" xr:uid="{00000000-0005-0000-0000-000090840000}"/>
    <cellStyle name="Migliaia 54 2 5" xfId="19615" xr:uid="{00000000-0005-0000-0000-000091840000}"/>
    <cellStyle name="Migliaia 54 2 5 2" xfId="37579" xr:uid="{00000000-0005-0000-0000-000092840000}"/>
    <cellStyle name="Migliaia 54 2 6" xfId="3400" xr:uid="{00000000-0005-0000-0000-000093840000}"/>
    <cellStyle name="Migliaia 54 2 6 2" xfId="23400" xr:uid="{00000000-0005-0000-0000-000094840000}"/>
    <cellStyle name="Migliaia 54 2 7" xfId="21695" xr:uid="{00000000-0005-0000-0000-000095840000}"/>
    <cellStyle name="Migliaia 54 2 8" xfId="38534" xr:uid="{00000000-0005-0000-0000-000096840000}"/>
    <cellStyle name="Migliaia 54 2 9" xfId="39304" xr:uid="{00000000-0005-0000-0000-000097840000}"/>
    <cellStyle name="Migliaia 54 3" xfId="766" xr:uid="{00000000-0005-0000-0000-000098840000}"/>
    <cellStyle name="Migliaia 54 3 10" xfId="39849" xr:uid="{00000000-0005-0000-0000-000099840000}"/>
    <cellStyle name="Migliaia 54 3 11" xfId="40335" xr:uid="{00000000-0005-0000-0000-00009A840000}"/>
    <cellStyle name="Migliaia 54 3 2" xfId="767" xr:uid="{00000000-0005-0000-0000-00009B840000}"/>
    <cellStyle name="Migliaia 54 3 2 10" xfId="40336" xr:uid="{00000000-0005-0000-0000-00009C840000}"/>
    <cellStyle name="Migliaia 54 3 2 2" xfId="11637" xr:uid="{00000000-0005-0000-0000-00009D840000}"/>
    <cellStyle name="Migliaia 54 3 2 3" xfId="12222" xr:uid="{00000000-0005-0000-0000-00009E840000}"/>
    <cellStyle name="Migliaia 54 3 2 3 2" xfId="30407" xr:uid="{00000000-0005-0000-0000-00009F840000}"/>
    <cellStyle name="Migliaia 54 3 2 4" xfId="19617" xr:uid="{00000000-0005-0000-0000-0000A0840000}"/>
    <cellStyle name="Migliaia 54 3 2 4 2" xfId="37581" xr:uid="{00000000-0005-0000-0000-0000A1840000}"/>
    <cellStyle name="Migliaia 54 3 2 5" xfId="3402" xr:uid="{00000000-0005-0000-0000-0000A2840000}"/>
    <cellStyle name="Migliaia 54 3 2 5 2" xfId="23402" xr:uid="{00000000-0005-0000-0000-0000A3840000}"/>
    <cellStyle name="Migliaia 54 3 2 6" xfId="21697" xr:uid="{00000000-0005-0000-0000-0000A4840000}"/>
    <cellStyle name="Migliaia 54 3 2 7" xfId="38536" xr:uid="{00000000-0005-0000-0000-0000A5840000}"/>
    <cellStyle name="Migliaia 54 3 2 8" xfId="39306" xr:uid="{00000000-0005-0000-0000-0000A6840000}"/>
    <cellStyle name="Migliaia 54 3 2 9" xfId="39850" xr:uid="{00000000-0005-0000-0000-0000A7840000}"/>
    <cellStyle name="Migliaia 54 3 3" xfId="11636" xr:uid="{00000000-0005-0000-0000-0000A8840000}"/>
    <cellStyle name="Migliaia 54 3 3 2" xfId="20668" xr:uid="{00000000-0005-0000-0000-0000A9840000}"/>
    <cellStyle name="Migliaia 54 3 3 2 2" xfId="37985" xr:uid="{00000000-0005-0000-0000-0000AA840000}"/>
    <cellStyle name="Migliaia 54 3 3 2 3" xfId="38940" xr:uid="{00000000-0005-0000-0000-0000AB840000}"/>
    <cellStyle name="Migliaia 54 3 3 3" xfId="19618" xr:uid="{00000000-0005-0000-0000-0000AC840000}"/>
    <cellStyle name="Migliaia 54 3 3 3 2" xfId="37582" xr:uid="{00000000-0005-0000-0000-0000AD840000}"/>
    <cellStyle name="Migliaia 54 3 3 4" xfId="38537" xr:uid="{00000000-0005-0000-0000-0000AE840000}"/>
    <cellStyle name="Migliaia 54 3 4" xfId="12221" xr:uid="{00000000-0005-0000-0000-0000AF840000}"/>
    <cellStyle name="Migliaia 54 3 4 2" xfId="20667" xr:uid="{00000000-0005-0000-0000-0000B0840000}"/>
    <cellStyle name="Migliaia 54 3 4 2 2" xfId="37984" xr:uid="{00000000-0005-0000-0000-0000B1840000}"/>
    <cellStyle name="Migliaia 54 3 4 3" xfId="30406" xr:uid="{00000000-0005-0000-0000-0000B2840000}"/>
    <cellStyle name="Migliaia 54 3 4 4" xfId="38939" xr:uid="{00000000-0005-0000-0000-0000B3840000}"/>
    <cellStyle name="Migliaia 54 3 5" xfId="19616" xr:uid="{00000000-0005-0000-0000-0000B4840000}"/>
    <cellStyle name="Migliaia 54 3 5 2" xfId="37580" xr:uid="{00000000-0005-0000-0000-0000B5840000}"/>
    <cellStyle name="Migliaia 54 3 6" xfId="3401" xr:uid="{00000000-0005-0000-0000-0000B6840000}"/>
    <cellStyle name="Migliaia 54 3 6 2" xfId="23401" xr:uid="{00000000-0005-0000-0000-0000B7840000}"/>
    <cellStyle name="Migliaia 54 3 7" xfId="21696" xr:uid="{00000000-0005-0000-0000-0000B8840000}"/>
    <cellStyle name="Migliaia 54 3 8" xfId="38535" xr:uid="{00000000-0005-0000-0000-0000B9840000}"/>
    <cellStyle name="Migliaia 54 3 9" xfId="39305" xr:uid="{00000000-0005-0000-0000-0000BA840000}"/>
    <cellStyle name="Migliaia 54 4" xfId="768" xr:uid="{00000000-0005-0000-0000-0000BB840000}"/>
    <cellStyle name="Migliaia 54 4 2" xfId="19620" xr:uid="{00000000-0005-0000-0000-0000BC840000}"/>
    <cellStyle name="Migliaia 54 4 2 2" xfId="20670" xr:uid="{00000000-0005-0000-0000-0000BD840000}"/>
    <cellStyle name="Migliaia 54 4 2 2 2" xfId="37987" xr:uid="{00000000-0005-0000-0000-0000BE840000}"/>
    <cellStyle name="Migliaia 54 4 2 2 3" xfId="38942" xr:uid="{00000000-0005-0000-0000-0000BF840000}"/>
    <cellStyle name="Migliaia 54 4 2 3" xfId="37584" xr:uid="{00000000-0005-0000-0000-0000C0840000}"/>
    <cellStyle name="Migliaia 54 4 2 4" xfId="38539" xr:uid="{00000000-0005-0000-0000-0000C1840000}"/>
    <cellStyle name="Migliaia 54 4 3" xfId="20669" xr:uid="{00000000-0005-0000-0000-0000C2840000}"/>
    <cellStyle name="Migliaia 54 4 3 2" xfId="37986" xr:uid="{00000000-0005-0000-0000-0000C3840000}"/>
    <cellStyle name="Migliaia 54 4 3 3" xfId="38941" xr:uid="{00000000-0005-0000-0000-0000C4840000}"/>
    <cellStyle name="Migliaia 54 4 4" xfId="19619" xr:uid="{00000000-0005-0000-0000-0000C5840000}"/>
    <cellStyle name="Migliaia 54 4 4 2" xfId="37583" xr:uid="{00000000-0005-0000-0000-0000C6840000}"/>
    <cellStyle name="Migliaia 54 4 5" xfId="11638" xr:uid="{00000000-0005-0000-0000-0000C7840000}"/>
    <cellStyle name="Migliaia 54 4 6" xfId="21698" xr:uid="{00000000-0005-0000-0000-0000C8840000}"/>
    <cellStyle name="Migliaia 54 4 7" xfId="38538" xr:uid="{00000000-0005-0000-0000-0000C9840000}"/>
    <cellStyle name="Migliaia 54 4 8" xfId="39851" xr:uid="{00000000-0005-0000-0000-0000CA840000}"/>
    <cellStyle name="Migliaia 54 4 9" xfId="40337" xr:uid="{00000000-0005-0000-0000-0000CB840000}"/>
    <cellStyle name="Migliaia 54 5" xfId="769" xr:uid="{00000000-0005-0000-0000-0000CC840000}"/>
    <cellStyle name="Migliaia 54 5 2" xfId="19621" xr:uid="{00000000-0005-0000-0000-0000CD840000}"/>
    <cellStyle name="Migliaia 54 5 2 2" xfId="37585" xr:uid="{00000000-0005-0000-0000-0000CE840000}"/>
    <cellStyle name="Migliaia 54 5 3" xfId="11639" xr:uid="{00000000-0005-0000-0000-0000CF840000}"/>
    <cellStyle name="Migliaia 54 5 4" xfId="21699" xr:uid="{00000000-0005-0000-0000-0000D0840000}"/>
    <cellStyle name="Migliaia 54 5 5" xfId="38540" xr:uid="{00000000-0005-0000-0000-0000D1840000}"/>
    <cellStyle name="Migliaia 54 5 6" xfId="39852" xr:uid="{00000000-0005-0000-0000-0000D2840000}"/>
    <cellStyle name="Migliaia 54 5 7" xfId="40338" xr:uid="{00000000-0005-0000-0000-0000D3840000}"/>
    <cellStyle name="Migliaia 54 6" xfId="770" xr:uid="{00000000-0005-0000-0000-0000D4840000}"/>
    <cellStyle name="Migliaia 54 6 2" xfId="11634" xr:uid="{00000000-0005-0000-0000-0000D5840000}"/>
    <cellStyle name="Migliaia 54 6 3" xfId="21700" xr:uid="{00000000-0005-0000-0000-0000D6840000}"/>
    <cellStyle name="Migliaia 54 6 4" xfId="39853" xr:uid="{00000000-0005-0000-0000-0000D7840000}"/>
    <cellStyle name="Migliaia 54 6 5" xfId="40339" xr:uid="{00000000-0005-0000-0000-0000D8840000}"/>
    <cellStyle name="Migliaia 54 7" xfId="12219" xr:uid="{00000000-0005-0000-0000-0000D9840000}"/>
    <cellStyle name="Migliaia 54 7 2" xfId="30404" xr:uid="{00000000-0005-0000-0000-0000DA840000}"/>
    <cellStyle name="Migliaia 54 8" xfId="19614" xr:uid="{00000000-0005-0000-0000-0000DB840000}"/>
    <cellStyle name="Migliaia 54 8 2" xfId="37578" xr:uid="{00000000-0005-0000-0000-0000DC840000}"/>
    <cellStyle name="Migliaia 54 9" xfId="3399" xr:uid="{00000000-0005-0000-0000-0000DD840000}"/>
    <cellStyle name="Migliaia 54 9 2" xfId="23399" xr:uid="{00000000-0005-0000-0000-0000DE840000}"/>
    <cellStyle name="Migliaia 55" xfId="771" xr:uid="{00000000-0005-0000-0000-0000DF840000}"/>
    <cellStyle name="Migliaia 55 10" xfId="21701" xr:uid="{00000000-0005-0000-0000-0000E0840000}"/>
    <cellStyle name="Migliaia 55 11" xfId="38541" xr:uid="{00000000-0005-0000-0000-0000E1840000}"/>
    <cellStyle name="Migliaia 55 12" xfId="39307" xr:uid="{00000000-0005-0000-0000-0000E2840000}"/>
    <cellStyle name="Migliaia 55 13" xfId="39854" xr:uid="{00000000-0005-0000-0000-0000E3840000}"/>
    <cellStyle name="Migliaia 55 14" xfId="40340" xr:uid="{00000000-0005-0000-0000-0000E4840000}"/>
    <cellStyle name="Migliaia 55 2" xfId="772" xr:uid="{00000000-0005-0000-0000-0000E5840000}"/>
    <cellStyle name="Migliaia 55 2 10" xfId="39855" xr:uid="{00000000-0005-0000-0000-0000E6840000}"/>
    <cellStyle name="Migliaia 55 2 11" xfId="40341" xr:uid="{00000000-0005-0000-0000-0000E7840000}"/>
    <cellStyle name="Migliaia 55 2 2" xfId="3588" xr:uid="{00000000-0005-0000-0000-0000E8840000}"/>
    <cellStyle name="Migliaia 55 2 2 2" xfId="12349" xr:uid="{00000000-0005-0000-0000-0000E9840000}"/>
    <cellStyle name="Migliaia 55 2 2 2 2" xfId="30519" xr:uid="{00000000-0005-0000-0000-0000EA840000}"/>
    <cellStyle name="Migliaia 55 2 2 3" xfId="20671" xr:uid="{00000000-0005-0000-0000-0000EB840000}"/>
    <cellStyle name="Migliaia 55 2 2 3 2" xfId="37988" xr:uid="{00000000-0005-0000-0000-0000EC840000}"/>
    <cellStyle name="Migliaia 55 2 2 4" xfId="23517" xr:uid="{00000000-0005-0000-0000-0000ED840000}"/>
    <cellStyle name="Migliaia 55 2 2 5" xfId="38943" xr:uid="{00000000-0005-0000-0000-0000EE840000}"/>
    <cellStyle name="Migliaia 55 2 2 6" xfId="39433" xr:uid="{00000000-0005-0000-0000-0000EF840000}"/>
    <cellStyle name="Migliaia 55 2 3" xfId="11641" xr:uid="{00000000-0005-0000-0000-0000F0840000}"/>
    <cellStyle name="Migliaia 55 2 4" xfId="12224" xr:uid="{00000000-0005-0000-0000-0000F1840000}"/>
    <cellStyle name="Migliaia 55 2 4 2" xfId="30409" xr:uid="{00000000-0005-0000-0000-0000F2840000}"/>
    <cellStyle name="Migliaia 55 2 5" xfId="19623" xr:uid="{00000000-0005-0000-0000-0000F3840000}"/>
    <cellStyle name="Migliaia 55 2 5 2" xfId="37587" xr:uid="{00000000-0005-0000-0000-0000F4840000}"/>
    <cellStyle name="Migliaia 55 2 6" xfId="3404" xr:uid="{00000000-0005-0000-0000-0000F5840000}"/>
    <cellStyle name="Migliaia 55 2 6 2" xfId="23404" xr:uid="{00000000-0005-0000-0000-0000F6840000}"/>
    <cellStyle name="Migliaia 55 2 7" xfId="21702" xr:uid="{00000000-0005-0000-0000-0000F7840000}"/>
    <cellStyle name="Migliaia 55 2 8" xfId="38542" xr:uid="{00000000-0005-0000-0000-0000F8840000}"/>
    <cellStyle name="Migliaia 55 2 9" xfId="39308" xr:uid="{00000000-0005-0000-0000-0000F9840000}"/>
    <cellStyle name="Migliaia 55 3" xfId="773" xr:uid="{00000000-0005-0000-0000-0000FA840000}"/>
    <cellStyle name="Migliaia 55 3 10" xfId="39856" xr:uid="{00000000-0005-0000-0000-0000FB840000}"/>
    <cellStyle name="Migliaia 55 3 11" xfId="40342" xr:uid="{00000000-0005-0000-0000-0000FC840000}"/>
    <cellStyle name="Migliaia 55 3 2" xfId="774" xr:uid="{00000000-0005-0000-0000-0000FD840000}"/>
    <cellStyle name="Migliaia 55 3 2 10" xfId="40343" xr:uid="{00000000-0005-0000-0000-0000FE840000}"/>
    <cellStyle name="Migliaia 55 3 2 2" xfId="11643" xr:uid="{00000000-0005-0000-0000-0000FF840000}"/>
    <cellStyle name="Migliaia 55 3 2 3" xfId="12226" xr:uid="{00000000-0005-0000-0000-000000850000}"/>
    <cellStyle name="Migliaia 55 3 2 3 2" xfId="30411" xr:uid="{00000000-0005-0000-0000-000001850000}"/>
    <cellStyle name="Migliaia 55 3 2 4" xfId="19625" xr:uid="{00000000-0005-0000-0000-000002850000}"/>
    <cellStyle name="Migliaia 55 3 2 4 2" xfId="37589" xr:uid="{00000000-0005-0000-0000-000003850000}"/>
    <cellStyle name="Migliaia 55 3 2 5" xfId="3406" xr:uid="{00000000-0005-0000-0000-000004850000}"/>
    <cellStyle name="Migliaia 55 3 2 5 2" xfId="23406" xr:uid="{00000000-0005-0000-0000-000005850000}"/>
    <cellStyle name="Migliaia 55 3 2 6" xfId="21704" xr:uid="{00000000-0005-0000-0000-000006850000}"/>
    <cellStyle name="Migliaia 55 3 2 7" xfId="38544" xr:uid="{00000000-0005-0000-0000-000007850000}"/>
    <cellStyle name="Migliaia 55 3 2 8" xfId="39310" xr:uid="{00000000-0005-0000-0000-000008850000}"/>
    <cellStyle name="Migliaia 55 3 2 9" xfId="39857" xr:uid="{00000000-0005-0000-0000-000009850000}"/>
    <cellStyle name="Migliaia 55 3 3" xfId="11642" xr:uid="{00000000-0005-0000-0000-00000A850000}"/>
    <cellStyle name="Migliaia 55 3 3 2" xfId="20673" xr:uid="{00000000-0005-0000-0000-00000B850000}"/>
    <cellStyle name="Migliaia 55 3 3 2 2" xfId="37990" xr:uid="{00000000-0005-0000-0000-00000C850000}"/>
    <cellStyle name="Migliaia 55 3 3 2 3" xfId="38945" xr:uid="{00000000-0005-0000-0000-00000D850000}"/>
    <cellStyle name="Migliaia 55 3 3 3" xfId="19626" xr:uid="{00000000-0005-0000-0000-00000E850000}"/>
    <cellStyle name="Migliaia 55 3 3 3 2" xfId="37590" xr:uid="{00000000-0005-0000-0000-00000F850000}"/>
    <cellStyle name="Migliaia 55 3 3 4" xfId="38545" xr:uid="{00000000-0005-0000-0000-000010850000}"/>
    <cellStyle name="Migliaia 55 3 4" xfId="12225" xr:uid="{00000000-0005-0000-0000-000011850000}"/>
    <cellStyle name="Migliaia 55 3 4 2" xfId="20672" xr:uid="{00000000-0005-0000-0000-000012850000}"/>
    <cellStyle name="Migliaia 55 3 4 2 2" xfId="37989" xr:uid="{00000000-0005-0000-0000-000013850000}"/>
    <cellStyle name="Migliaia 55 3 4 3" xfId="30410" xr:uid="{00000000-0005-0000-0000-000014850000}"/>
    <cellStyle name="Migliaia 55 3 4 4" xfId="38944" xr:uid="{00000000-0005-0000-0000-000015850000}"/>
    <cellStyle name="Migliaia 55 3 5" xfId="19624" xr:uid="{00000000-0005-0000-0000-000016850000}"/>
    <cellStyle name="Migliaia 55 3 5 2" xfId="37588" xr:uid="{00000000-0005-0000-0000-000017850000}"/>
    <cellStyle name="Migliaia 55 3 6" xfId="3405" xr:uid="{00000000-0005-0000-0000-000018850000}"/>
    <cellStyle name="Migliaia 55 3 6 2" xfId="23405" xr:uid="{00000000-0005-0000-0000-000019850000}"/>
    <cellStyle name="Migliaia 55 3 7" xfId="21703" xr:uid="{00000000-0005-0000-0000-00001A850000}"/>
    <cellStyle name="Migliaia 55 3 8" xfId="38543" xr:uid="{00000000-0005-0000-0000-00001B850000}"/>
    <cellStyle name="Migliaia 55 3 9" xfId="39309" xr:uid="{00000000-0005-0000-0000-00001C850000}"/>
    <cellStyle name="Migliaia 55 4" xfId="775" xr:uid="{00000000-0005-0000-0000-00001D850000}"/>
    <cellStyle name="Migliaia 55 4 2" xfId="19628" xr:uid="{00000000-0005-0000-0000-00001E850000}"/>
    <cellStyle name="Migliaia 55 4 2 2" xfId="20675" xr:uid="{00000000-0005-0000-0000-00001F850000}"/>
    <cellStyle name="Migliaia 55 4 2 2 2" xfId="37992" xr:uid="{00000000-0005-0000-0000-000020850000}"/>
    <cellStyle name="Migliaia 55 4 2 2 3" xfId="38947" xr:uid="{00000000-0005-0000-0000-000021850000}"/>
    <cellStyle name="Migliaia 55 4 2 3" xfId="37592" xr:uid="{00000000-0005-0000-0000-000022850000}"/>
    <cellStyle name="Migliaia 55 4 2 4" xfId="38547" xr:uid="{00000000-0005-0000-0000-000023850000}"/>
    <cellStyle name="Migliaia 55 4 3" xfId="20674" xr:uid="{00000000-0005-0000-0000-000024850000}"/>
    <cellStyle name="Migliaia 55 4 3 2" xfId="37991" xr:uid="{00000000-0005-0000-0000-000025850000}"/>
    <cellStyle name="Migliaia 55 4 3 3" xfId="38946" xr:uid="{00000000-0005-0000-0000-000026850000}"/>
    <cellStyle name="Migliaia 55 4 4" xfId="19627" xr:uid="{00000000-0005-0000-0000-000027850000}"/>
    <cellStyle name="Migliaia 55 4 4 2" xfId="37591" xr:uid="{00000000-0005-0000-0000-000028850000}"/>
    <cellStyle name="Migliaia 55 4 5" xfId="11644" xr:uid="{00000000-0005-0000-0000-000029850000}"/>
    <cellStyle name="Migliaia 55 4 6" xfId="21705" xr:uid="{00000000-0005-0000-0000-00002A850000}"/>
    <cellStyle name="Migliaia 55 4 7" xfId="38546" xr:uid="{00000000-0005-0000-0000-00002B850000}"/>
    <cellStyle name="Migliaia 55 4 8" xfId="39858" xr:uid="{00000000-0005-0000-0000-00002C850000}"/>
    <cellStyle name="Migliaia 55 4 9" xfId="40344" xr:uid="{00000000-0005-0000-0000-00002D850000}"/>
    <cellStyle name="Migliaia 55 5" xfId="776" xr:uid="{00000000-0005-0000-0000-00002E850000}"/>
    <cellStyle name="Migliaia 55 5 2" xfId="19629" xr:uid="{00000000-0005-0000-0000-00002F850000}"/>
    <cellStyle name="Migliaia 55 5 2 2" xfId="37593" xr:uid="{00000000-0005-0000-0000-000030850000}"/>
    <cellStyle name="Migliaia 55 5 3" xfId="11645" xr:uid="{00000000-0005-0000-0000-000031850000}"/>
    <cellStyle name="Migliaia 55 5 4" xfId="21706" xr:uid="{00000000-0005-0000-0000-000032850000}"/>
    <cellStyle name="Migliaia 55 5 5" xfId="38548" xr:uid="{00000000-0005-0000-0000-000033850000}"/>
    <cellStyle name="Migliaia 55 5 6" xfId="39859" xr:uid="{00000000-0005-0000-0000-000034850000}"/>
    <cellStyle name="Migliaia 55 5 7" xfId="40345" xr:uid="{00000000-0005-0000-0000-000035850000}"/>
    <cellStyle name="Migliaia 55 6" xfId="777" xr:uid="{00000000-0005-0000-0000-000036850000}"/>
    <cellStyle name="Migliaia 55 6 2" xfId="11640" xr:uid="{00000000-0005-0000-0000-000037850000}"/>
    <cellStyle name="Migliaia 55 6 3" xfId="21707" xr:uid="{00000000-0005-0000-0000-000038850000}"/>
    <cellStyle name="Migliaia 55 6 4" xfId="39860" xr:uid="{00000000-0005-0000-0000-000039850000}"/>
    <cellStyle name="Migliaia 55 6 5" xfId="40346" xr:uid="{00000000-0005-0000-0000-00003A850000}"/>
    <cellStyle name="Migliaia 55 7" xfId="12223" xr:uid="{00000000-0005-0000-0000-00003B850000}"/>
    <cellStyle name="Migliaia 55 7 2" xfId="30408" xr:uid="{00000000-0005-0000-0000-00003C850000}"/>
    <cellStyle name="Migliaia 55 8" xfId="19622" xr:uid="{00000000-0005-0000-0000-00003D850000}"/>
    <cellStyle name="Migliaia 55 8 2" xfId="37586" xr:uid="{00000000-0005-0000-0000-00003E850000}"/>
    <cellStyle name="Migliaia 55 9" xfId="3403" xr:uid="{00000000-0005-0000-0000-00003F850000}"/>
    <cellStyle name="Migliaia 55 9 2" xfId="23403" xr:uid="{00000000-0005-0000-0000-000040850000}"/>
    <cellStyle name="Migliaia 56" xfId="778" xr:uid="{00000000-0005-0000-0000-000041850000}"/>
    <cellStyle name="Migliaia 56 10" xfId="21708" xr:uid="{00000000-0005-0000-0000-000042850000}"/>
    <cellStyle name="Migliaia 56 11" xfId="38549" xr:uid="{00000000-0005-0000-0000-000043850000}"/>
    <cellStyle name="Migliaia 56 12" xfId="39311" xr:uid="{00000000-0005-0000-0000-000044850000}"/>
    <cellStyle name="Migliaia 56 13" xfId="39861" xr:uid="{00000000-0005-0000-0000-000045850000}"/>
    <cellStyle name="Migliaia 56 14" xfId="40347" xr:uid="{00000000-0005-0000-0000-000046850000}"/>
    <cellStyle name="Migliaia 56 2" xfId="779" xr:uid="{00000000-0005-0000-0000-000047850000}"/>
    <cellStyle name="Migliaia 56 2 10" xfId="39862" xr:uid="{00000000-0005-0000-0000-000048850000}"/>
    <cellStyle name="Migliaia 56 2 11" xfId="40348" xr:uid="{00000000-0005-0000-0000-000049850000}"/>
    <cellStyle name="Migliaia 56 2 2" xfId="3589" xr:uid="{00000000-0005-0000-0000-00004A850000}"/>
    <cellStyle name="Migliaia 56 2 2 2" xfId="12350" xr:uid="{00000000-0005-0000-0000-00004B850000}"/>
    <cellStyle name="Migliaia 56 2 2 2 2" xfId="30520" xr:uid="{00000000-0005-0000-0000-00004C850000}"/>
    <cellStyle name="Migliaia 56 2 2 3" xfId="20676" xr:uid="{00000000-0005-0000-0000-00004D850000}"/>
    <cellStyle name="Migliaia 56 2 2 3 2" xfId="37993" xr:uid="{00000000-0005-0000-0000-00004E850000}"/>
    <cellStyle name="Migliaia 56 2 2 4" xfId="23518" xr:uid="{00000000-0005-0000-0000-00004F850000}"/>
    <cellStyle name="Migliaia 56 2 2 5" xfId="38948" xr:uid="{00000000-0005-0000-0000-000050850000}"/>
    <cellStyle name="Migliaia 56 2 2 6" xfId="39434" xr:uid="{00000000-0005-0000-0000-000051850000}"/>
    <cellStyle name="Migliaia 56 2 3" xfId="11647" xr:uid="{00000000-0005-0000-0000-000052850000}"/>
    <cellStyle name="Migliaia 56 2 4" xfId="12228" xr:uid="{00000000-0005-0000-0000-000053850000}"/>
    <cellStyle name="Migliaia 56 2 4 2" xfId="30413" xr:uid="{00000000-0005-0000-0000-000054850000}"/>
    <cellStyle name="Migliaia 56 2 5" xfId="19631" xr:uid="{00000000-0005-0000-0000-000055850000}"/>
    <cellStyle name="Migliaia 56 2 5 2" xfId="37595" xr:uid="{00000000-0005-0000-0000-000056850000}"/>
    <cellStyle name="Migliaia 56 2 6" xfId="3408" xr:uid="{00000000-0005-0000-0000-000057850000}"/>
    <cellStyle name="Migliaia 56 2 6 2" xfId="23408" xr:uid="{00000000-0005-0000-0000-000058850000}"/>
    <cellStyle name="Migliaia 56 2 7" xfId="21709" xr:uid="{00000000-0005-0000-0000-000059850000}"/>
    <cellStyle name="Migliaia 56 2 8" xfId="38550" xr:uid="{00000000-0005-0000-0000-00005A850000}"/>
    <cellStyle name="Migliaia 56 2 9" xfId="39312" xr:uid="{00000000-0005-0000-0000-00005B850000}"/>
    <cellStyle name="Migliaia 56 3" xfId="780" xr:uid="{00000000-0005-0000-0000-00005C850000}"/>
    <cellStyle name="Migliaia 56 3 10" xfId="39863" xr:uid="{00000000-0005-0000-0000-00005D850000}"/>
    <cellStyle name="Migliaia 56 3 11" xfId="40349" xr:uid="{00000000-0005-0000-0000-00005E850000}"/>
    <cellStyle name="Migliaia 56 3 2" xfId="781" xr:uid="{00000000-0005-0000-0000-00005F850000}"/>
    <cellStyle name="Migliaia 56 3 2 10" xfId="40350" xr:uid="{00000000-0005-0000-0000-000060850000}"/>
    <cellStyle name="Migliaia 56 3 2 2" xfId="11649" xr:uid="{00000000-0005-0000-0000-000061850000}"/>
    <cellStyle name="Migliaia 56 3 2 3" xfId="12230" xr:uid="{00000000-0005-0000-0000-000062850000}"/>
    <cellStyle name="Migliaia 56 3 2 3 2" xfId="30415" xr:uid="{00000000-0005-0000-0000-000063850000}"/>
    <cellStyle name="Migliaia 56 3 2 4" xfId="19633" xr:uid="{00000000-0005-0000-0000-000064850000}"/>
    <cellStyle name="Migliaia 56 3 2 4 2" xfId="37597" xr:uid="{00000000-0005-0000-0000-000065850000}"/>
    <cellStyle name="Migliaia 56 3 2 5" xfId="3410" xr:uid="{00000000-0005-0000-0000-000066850000}"/>
    <cellStyle name="Migliaia 56 3 2 5 2" xfId="23410" xr:uid="{00000000-0005-0000-0000-000067850000}"/>
    <cellStyle name="Migliaia 56 3 2 6" xfId="21711" xr:uid="{00000000-0005-0000-0000-000068850000}"/>
    <cellStyle name="Migliaia 56 3 2 7" xfId="38552" xr:uid="{00000000-0005-0000-0000-000069850000}"/>
    <cellStyle name="Migliaia 56 3 2 8" xfId="39314" xr:uid="{00000000-0005-0000-0000-00006A850000}"/>
    <cellStyle name="Migliaia 56 3 2 9" xfId="39864" xr:uid="{00000000-0005-0000-0000-00006B850000}"/>
    <cellStyle name="Migliaia 56 3 3" xfId="11648" xr:uid="{00000000-0005-0000-0000-00006C850000}"/>
    <cellStyle name="Migliaia 56 3 3 2" xfId="20678" xr:uid="{00000000-0005-0000-0000-00006D850000}"/>
    <cellStyle name="Migliaia 56 3 3 2 2" xfId="37995" xr:uid="{00000000-0005-0000-0000-00006E850000}"/>
    <cellStyle name="Migliaia 56 3 3 2 3" xfId="38950" xr:uid="{00000000-0005-0000-0000-00006F850000}"/>
    <cellStyle name="Migliaia 56 3 3 3" xfId="19634" xr:uid="{00000000-0005-0000-0000-000070850000}"/>
    <cellStyle name="Migliaia 56 3 3 3 2" xfId="37598" xr:uid="{00000000-0005-0000-0000-000071850000}"/>
    <cellStyle name="Migliaia 56 3 3 4" xfId="38553" xr:uid="{00000000-0005-0000-0000-000072850000}"/>
    <cellStyle name="Migliaia 56 3 4" xfId="12229" xr:uid="{00000000-0005-0000-0000-000073850000}"/>
    <cellStyle name="Migliaia 56 3 4 2" xfId="20677" xr:uid="{00000000-0005-0000-0000-000074850000}"/>
    <cellStyle name="Migliaia 56 3 4 2 2" xfId="37994" xr:uid="{00000000-0005-0000-0000-000075850000}"/>
    <cellStyle name="Migliaia 56 3 4 3" xfId="30414" xr:uid="{00000000-0005-0000-0000-000076850000}"/>
    <cellStyle name="Migliaia 56 3 4 4" xfId="38949" xr:uid="{00000000-0005-0000-0000-000077850000}"/>
    <cellStyle name="Migliaia 56 3 5" xfId="19632" xr:uid="{00000000-0005-0000-0000-000078850000}"/>
    <cellStyle name="Migliaia 56 3 5 2" xfId="37596" xr:uid="{00000000-0005-0000-0000-000079850000}"/>
    <cellStyle name="Migliaia 56 3 6" xfId="3409" xr:uid="{00000000-0005-0000-0000-00007A850000}"/>
    <cellStyle name="Migliaia 56 3 6 2" xfId="23409" xr:uid="{00000000-0005-0000-0000-00007B850000}"/>
    <cellStyle name="Migliaia 56 3 7" xfId="21710" xr:uid="{00000000-0005-0000-0000-00007C850000}"/>
    <cellStyle name="Migliaia 56 3 8" xfId="38551" xr:uid="{00000000-0005-0000-0000-00007D850000}"/>
    <cellStyle name="Migliaia 56 3 9" xfId="39313" xr:uid="{00000000-0005-0000-0000-00007E850000}"/>
    <cellStyle name="Migliaia 56 4" xfId="782" xr:uid="{00000000-0005-0000-0000-00007F850000}"/>
    <cellStyle name="Migliaia 56 4 2" xfId="19636" xr:uid="{00000000-0005-0000-0000-000080850000}"/>
    <cellStyle name="Migliaia 56 4 2 2" xfId="20680" xr:uid="{00000000-0005-0000-0000-000081850000}"/>
    <cellStyle name="Migliaia 56 4 2 2 2" xfId="37997" xr:uid="{00000000-0005-0000-0000-000082850000}"/>
    <cellStyle name="Migliaia 56 4 2 2 3" xfId="38952" xr:uid="{00000000-0005-0000-0000-000083850000}"/>
    <cellStyle name="Migliaia 56 4 2 3" xfId="37600" xr:uid="{00000000-0005-0000-0000-000084850000}"/>
    <cellStyle name="Migliaia 56 4 2 4" xfId="38555" xr:uid="{00000000-0005-0000-0000-000085850000}"/>
    <cellStyle name="Migliaia 56 4 3" xfId="20679" xr:uid="{00000000-0005-0000-0000-000086850000}"/>
    <cellStyle name="Migliaia 56 4 3 2" xfId="37996" xr:uid="{00000000-0005-0000-0000-000087850000}"/>
    <cellStyle name="Migliaia 56 4 3 3" xfId="38951" xr:uid="{00000000-0005-0000-0000-000088850000}"/>
    <cellStyle name="Migliaia 56 4 4" xfId="19635" xr:uid="{00000000-0005-0000-0000-000089850000}"/>
    <cellStyle name="Migliaia 56 4 4 2" xfId="37599" xr:uid="{00000000-0005-0000-0000-00008A850000}"/>
    <cellStyle name="Migliaia 56 4 5" xfId="11650" xr:uid="{00000000-0005-0000-0000-00008B850000}"/>
    <cellStyle name="Migliaia 56 4 6" xfId="21712" xr:uid="{00000000-0005-0000-0000-00008C850000}"/>
    <cellStyle name="Migliaia 56 4 7" xfId="38554" xr:uid="{00000000-0005-0000-0000-00008D850000}"/>
    <cellStyle name="Migliaia 56 4 8" xfId="39865" xr:uid="{00000000-0005-0000-0000-00008E850000}"/>
    <cellStyle name="Migliaia 56 4 9" xfId="40351" xr:uid="{00000000-0005-0000-0000-00008F850000}"/>
    <cellStyle name="Migliaia 56 5" xfId="783" xr:uid="{00000000-0005-0000-0000-000090850000}"/>
    <cellStyle name="Migliaia 56 5 2" xfId="19637" xr:uid="{00000000-0005-0000-0000-000091850000}"/>
    <cellStyle name="Migliaia 56 5 2 2" xfId="37601" xr:uid="{00000000-0005-0000-0000-000092850000}"/>
    <cellStyle name="Migliaia 56 5 3" xfId="11651" xr:uid="{00000000-0005-0000-0000-000093850000}"/>
    <cellStyle name="Migliaia 56 5 4" xfId="21713" xr:uid="{00000000-0005-0000-0000-000094850000}"/>
    <cellStyle name="Migliaia 56 5 5" xfId="38556" xr:uid="{00000000-0005-0000-0000-000095850000}"/>
    <cellStyle name="Migliaia 56 5 6" xfId="39866" xr:uid="{00000000-0005-0000-0000-000096850000}"/>
    <cellStyle name="Migliaia 56 5 7" xfId="40352" xr:uid="{00000000-0005-0000-0000-000097850000}"/>
    <cellStyle name="Migliaia 56 6" xfId="784" xr:uid="{00000000-0005-0000-0000-000098850000}"/>
    <cellStyle name="Migliaia 56 6 2" xfId="11646" xr:uid="{00000000-0005-0000-0000-000099850000}"/>
    <cellStyle name="Migliaia 56 6 3" xfId="21714" xr:uid="{00000000-0005-0000-0000-00009A850000}"/>
    <cellStyle name="Migliaia 56 6 4" xfId="39867" xr:uid="{00000000-0005-0000-0000-00009B850000}"/>
    <cellStyle name="Migliaia 56 6 5" xfId="40353" xr:uid="{00000000-0005-0000-0000-00009C850000}"/>
    <cellStyle name="Migliaia 56 7" xfId="12227" xr:uid="{00000000-0005-0000-0000-00009D850000}"/>
    <cellStyle name="Migliaia 56 7 2" xfId="30412" xr:uid="{00000000-0005-0000-0000-00009E850000}"/>
    <cellStyle name="Migliaia 56 8" xfId="19630" xr:uid="{00000000-0005-0000-0000-00009F850000}"/>
    <cellStyle name="Migliaia 56 8 2" xfId="37594" xr:uid="{00000000-0005-0000-0000-0000A0850000}"/>
    <cellStyle name="Migliaia 56 9" xfId="3407" xr:uid="{00000000-0005-0000-0000-0000A1850000}"/>
    <cellStyle name="Migliaia 56 9 2" xfId="23407" xr:uid="{00000000-0005-0000-0000-0000A2850000}"/>
    <cellStyle name="Migliaia 57" xfId="785" xr:uid="{00000000-0005-0000-0000-0000A3850000}"/>
    <cellStyle name="Migliaia 57 10" xfId="21715" xr:uid="{00000000-0005-0000-0000-0000A4850000}"/>
    <cellStyle name="Migliaia 57 11" xfId="38557" xr:uid="{00000000-0005-0000-0000-0000A5850000}"/>
    <cellStyle name="Migliaia 57 12" xfId="39315" xr:uid="{00000000-0005-0000-0000-0000A6850000}"/>
    <cellStyle name="Migliaia 57 13" xfId="39868" xr:uid="{00000000-0005-0000-0000-0000A7850000}"/>
    <cellStyle name="Migliaia 57 14" xfId="40354" xr:uid="{00000000-0005-0000-0000-0000A8850000}"/>
    <cellStyle name="Migliaia 57 2" xfId="786" xr:uid="{00000000-0005-0000-0000-0000A9850000}"/>
    <cellStyle name="Migliaia 57 2 10" xfId="39869" xr:uid="{00000000-0005-0000-0000-0000AA850000}"/>
    <cellStyle name="Migliaia 57 2 11" xfId="40355" xr:uid="{00000000-0005-0000-0000-0000AB850000}"/>
    <cellStyle name="Migliaia 57 2 2" xfId="3590" xr:uid="{00000000-0005-0000-0000-0000AC850000}"/>
    <cellStyle name="Migliaia 57 2 2 2" xfId="12351" xr:uid="{00000000-0005-0000-0000-0000AD850000}"/>
    <cellStyle name="Migliaia 57 2 2 2 2" xfId="30521" xr:uid="{00000000-0005-0000-0000-0000AE850000}"/>
    <cellStyle name="Migliaia 57 2 2 3" xfId="20681" xr:uid="{00000000-0005-0000-0000-0000AF850000}"/>
    <cellStyle name="Migliaia 57 2 2 3 2" xfId="37998" xr:uid="{00000000-0005-0000-0000-0000B0850000}"/>
    <cellStyle name="Migliaia 57 2 2 4" xfId="23519" xr:uid="{00000000-0005-0000-0000-0000B1850000}"/>
    <cellStyle name="Migliaia 57 2 2 5" xfId="38953" xr:uid="{00000000-0005-0000-0000-0000B2850000}"/>
    <cellStyle name="Migliaia 57 2 2 6" xfId="39435" xr:uid="{00000000-0005-0000-0000-0000B3850000}"/>
    <cellStyle name="Migliaia 57 2 3" xfId="11653" xr:uid="{00000000-0005-0000-0000-0000B4850000}"/>
    <cellStyle name="Migliaia 57 2 4" xfId="12232" xr:uid="{00000000-0005-0000-0000-0000B5850000}"/>
    <cellStyle name="Migliaia 57 2 4 2" xfId="30417" xr:uid="{00000000-0005-0000-0000-0000B6850000}"/>
    <cellStyle name="Migliaia 57 2 5" xfId="19639" xr:uid="{00000000-0005-0000-0000-0000B7850000}"/>
    <cellStyle name="Migliaia 57 2 5 2" xfId="37603" xr:uid="{00000000-0005-0000-0000-0000B8850000}"/>
    <cellStyle name="Migliaia 57 2 6" xfId="3412" xr:uid="{00000000-0005-0000-0000-0000B9850000}"/>
    <cellStyle name="Migliaia 57 2 6 2" xfId="23412" xr:uid="{00000000-0005-0000-0000-0000BA850000}"/>
    <cellStyle name="Migliaia 57 2 7" xfId="21716" xr:uid="{00000000-0005-0000-0000-0000BB850000}"/>
    <cellStyle name="Migliaia 57 2 8" xfId="38558" xr:uid="{00000000-0005-0000-0000-0000BC850000}"/>
    <cellStyle name="Migliaia 57 2 9" xfId="39316" xr:uid="{00000000-0005-0000-0000-0000BD850000}"/>
    <cellStyle name="Migliaia 57 3" xfId="787" xr:uid="{00000000-0005-0000-0000-0000BE850000}"/>
    <cellStyle name="Migliaia 57 3 10" xfId="39870" xr:uid="{00000000-0005-0000-0000-0000BF850000}"/>
    <cellStyle name="Migliaia 57 3 11" xfId="40356" xr:uid="{00000000-0005-0000-0000-0000C0850000}"/>
    <cellStyle name="Migliaia 57 3 2" xfId="788" xr:uid="{00000000-0005-0000-0000-0000C1850000}"/>
    <cellStyle name="Migliaia 57 3 2 10" xfId="40357" xr:uid="{00000000-0005-0000-0000-0000C2850000}"/>
    <cellStyle name="Migliaia 57 3 2 2" xfId="11655" xr:uid="{00000000-0005-0000-0000-0000C3850000}"/>
    <cellStyle name="Migliaia 57 3 2 3" xfId="12234" xr:uid="{00000000-0005-0000-0000-0000C4850000}"/>
    <cellStyle name="Migliaia 57 3 2 3 2" xfId="30419" xr:uid="{00000000-0005-0000-0000-0000C5850000}"/>
    <cellStyle name="Migliaia 57 3 2 4" xfId="19641" xr:uid="{00000000-0005-0000-0000-0000C6850000}"/>
    <cellStyle name="Migliaia 57 3 2 4 2" xfId="37605" xr:uid="{00000000-0005-0000-0000-0000C7850000}"/>
    <cellStyle name="Migliaia 57 3 2 5" xfId="3414" xr:uid="{00000000-0005-0000-0000-0000C8850000}"/>
    <cellStyle name="Migliaia 57 3 2 5 2" xfId="23414" xr:uid="{00000000-0005-0000-0000-0000C9850000}"/>
    <cellStyle name="Migliaia 57 3 2 6" xfId="21718" xr:uid="{00000000-0005-0000-0000-0000CA850000}"/>
    <cellStyle name="Migliaia 57 3 2 7" xfId="38560" xr:uid="{00000000-0005-0000-0000-0000CB850000}"/>
    <cellStyle name="Migliaia 57 3 2 8" xfId="39318" xr:uid="{00000000-0005-0000-0000-0000CC850000}"/>
    <cellStyle name="Migliaia 57 3 2 9" xfId="39871" xr:uid="{00000000-0005-0000-0000-0000CD850000}"/>
    <cellStyle name="Migliaia 57 3 3" xfId="11654" xr:uid="{00000000-0005-0000-0000-0000CE850000}"/>
    <cellStyle name="Migliaia 57 3 3 2" xfId="20683" xr:uid="{00000000-0005-0000-0000-0000CF850000}"/>
    <cellStyle name="Migliaia 57 3 3 2 2" xfId="38000" xr:uid="{00000000-0005-0000-0000-0000D0850000}"/>
    <cellStyle name="Migliaia 57 3 3 2 3" xfId="38955" xr:uid="{00000000-0005-0000-0000-0000D1850000}"/>
    <cellStyle name="Migliaia 57 3 3 3" xfId="19642" xr:uid="{00000000-0005-0000-0000-0000D2850000}"/>
    <cellStyle name="Migliaia 57 3 3 3 2" xfId="37606" xr:uid="{00000000-0005-0000-0000-0000D3850000}"/>
    <cellStyle name="Migliaia 57 3 3 4" xfId="38561" xr:uid="{00000000-0005-0000-0000-0000D4850000}"/>
    <cellStyle name="Migliaia 57 3 4" xfId="12233" xr:uid="{00000000-0005-0000-0000-0000D5850000}"/>
    <cellStyle name="Migliaia 57 3 4 2" xfId="20682" xr:uid="{00000000-0005-0000-0000-0000D6850000}"/>
    <cellStyle name="Migliaia 57 3 4 2 2" xfId="37999" xr:uid="{00000000-0005-0000-0000-0000D7850000}"/>
    <cellStyle name="Migliaia 57 3 4 3" xfId="30418" xr:uid="{00000000-0005-0000-0000-0000D8850000}"/>
    <cellStyle name="Migliaia 57 3 4 4" xfId="38954" xr:uid="{00000000-0005-0000-0000-0000D9850000}"/>
    <cellStyle name="Migliaia 57 3 5" xfId="19640" xr:uid="{00000000-0005-0000-0000-0000DA850000}"/>
    <cellStyle name="Migliaia 57 3 5 2" xfId="37604" xr:uid="{00000000-0005-0000-0000-0000DB850000}"/>
    <cellStyle name="Migliaia 57 3 6" xfId="3413" xr:uid="{00000000-0005-0000-0000-0000DC850000}"/>
    <cellStyle name="Migliaia 57 3 6 2" xfId="23413" xr:uid="{00000000-0005-0000-0000-0000DD850000}"/>
    <cellStyle name="Migliaia 57 3 7" xfId="21717" xr:uid="{00000000-0005-0000-0000-0000DE850000}"/>
    <cellStyle name="Migliaia 57 3 8" xfId="38559" xr:uid="{00000000-0005-0000-0000-0000DF850000}"/>
    <cellStyle name="Migliaia 57 3 9" xfId="39317" xr:uid="{00000000-0005-0000-0000-0000E0850000}"/>
    <cellStyle name="Migliaia 57 4" xfId="789" xr:uid="{00000000-0005-0000-0000-0000E1850000}"/>
    <cellStyle name="Migliaia 57 4 2" xfId="19644" xr:uid="{00000000-0005-0000-0000-0000E2850000}"/>
    <cellStyle name="Migliaia 57 4 2 2" xfId="20685" xr:uid="{00000000-0005-0000-0000-0000E3850000}"/>
    <cellStyle name="Migliaia 57 4 2 2 2" xfId="38002" xr:uid="{00000000-0005-0000-0000-0000E4850000}"/>
    <cellStyle name="Migliaia 57 4 2 2 3" xfId="38957" xr:uid="{00000000-0005-0000-0000-0000E5850000}"/>
    <cellStyle name="Migliaia 57 4 2 3" xfId="37608" xr:uid="{00000000-0005-0000-0000-0000E6850000}"/>
    <cellStyle name="Migliaia 57 4 2 4" xfId="38563" xr:uid="{00000000-0005-0000-0000-0000E7850000}"/>
    <cellStyle name="Migliaia 57 4 3" xfId="20684" xr:uid="{00000000-0005-0000-0000-0000E8850000}"/>
    <cellStyle name="Migliaia 57 4 3 2" xfId="38001" xr:uid="{00000000-0005-0000-0000-0000E9850000}"/>
    <cellStyle name="Migliaia 57 4 3 3" xfId="38956" xr:uid="{00000000-0005-0000-0000-0000EA850000}"/>
    <cellStyle name="Migliaia 57 4 4" xfId="19643" xr:uid="{00000000-0005-0000-0000-0000EB850000}"/>
    <cellStyle name="Migliaia 57 4 4 2" xfId="37607" xr:uid="{00000000-0005-0000-0000-0000EC850000}"/>
    <cellStyle name="Migliaia 57 4 5" xfId="11656" xr:uid="{00000000-0005-0000-0000-0000ED850000}"/>
    <cellStyle name="Migliaia 57 4 6" xfId="21719" xr:uid="{00000000-0005-0000-0000-0000EE850000}"/>
    <cellStyle name="Migliaia 57 4 7" xfId="38562" xr:uid="{00000000-0005-0000-0000-0000EF850000}"/>
    <cellStyle name="Migliaia 57 4 8" xfId="39872" xr:uid="{00000000-0005-0000-0000-0000F0850000}"/>
    <cellStyle name="Migliaia 57 4 9" xfId="40358" xr:uid="{00000000-0005-0000-0000-0000F1850000}"/>
    <cellStyle name="Migliaia 57 5" xfId="790" xr:uid="{00000000-0005-0000-0000-0000F2850000}"/>
    <cellStyle name="Migliaia 57 5 2" xfId="19645" xr:uid="{00000000-0005-0000-0000-0000F3850000}"/>
    <cellStyle name="Migliaia 57 5 2 2" xfId="37609" xr:uid="{00000000-0005-0000-0000-0000F4850000}"/>
    <cellStyle name="Migliaia 57 5 3" xfId="11657" xr:uid="{00000000-0005-0000-0000-0000F5850000}"/>
    <cellStyle name="Migliaia 57 5 4" xfId="21720" xr:uid="{00000000-0005-0000-0000-0000F6850000}"/>
    <cellStyle name="Migliaia 57 5 5" xfId="38564" xr:uid="{00000000-0005-0000-0000-0000F7850000}"/>
    <cellStyle name="Migliaia 57 5 6" xfId="39873" xr:uid="{00000000-0005-0000-0000-0000F8850000}"/>
    <cellStyle name="Migliaia 57 5 7" xfId="40359" xr:uid="{00000000-0005-0000-0000-0000F9850000}"/>
    <cellStyle name="Migliaia 57 6" xfId="791" xr:uid="{00000000-0005-0000-0000-0000FA850000}"/>
    <cellStyle name="Migliaia 57 6 2" xfId="11652" xr:uid="{00000000-0005-0000-0000-0000FB850000}"/>
    <cellStyle name="Migliaia 57 6 3" xfId="21721" xr:uid="{00000000-0005-0000-0000-0000FC850000}"/>
    <cellStyle name="Migliaia 57 6 4" xfId="39874" xr:uid="{00000000-0005-0000-0000-0000FD850000}"/>
    <cellStyle name="Migliaia 57 6 5" xfId="40360" xr:uid="{00000000-0005-0000-0000-0000FE850000}"/>
    <cellStyle name="Migliaia 57 7" xfId="12231" xr:uid="{00000000-0005-0000-0000-0000FF850000}"/>
    <cellStyle name="Migliaia 57 7 2" xfId="30416" xr:uid="{00000000-0005-0000-0000-000000860000}"/>
    <cellStyle name="Migliaia 57 8" xfId="19638" xr:uid="{00000000-0005-0000-0000-000001860000}"/>
    <cellStyle name="Migliaia 57 8 2" xfId="37602" xr:uid="{00000000-0005-0000-0000-000002860000}"/>
    <cellStyle name="Migliaia 57 9" xfId="3411" xr:uid="{00000000-0005-0000-0000-000003860000}"/>
    <cellStyle name="Migliaia 57 9 2" xfId="23411" xr:uid="{00000000-0005-0000-0000-000004860000}"/>
    <cellStyle name="Migliaia 58" xfId="792" xr:uid="{00000000-0005-0000-0000-000005860000}"/>
    <cellStyle name="Migliaia 58 10" xfId="21722" xr:uid="{00000000-0005-0000-0000-000006860000}"/>
    <cellStyle name="Migliaia 58 11" xfId="38565" xr:uid="{00000000-0005-0000-0000-000007860000}"/>
    <cellStyle name="Migliaia 58 12" xfId="39319" xr:uid="{00000000-0005-0000-0000-000008860000}"/>
    <cellStyle name="Migliaia 58 13" xfId="39875" xr:uid="{00000000-0005-0000-0000-000009860000}"/>
    <cellStyle name="Migliaia 58 14" xfId="40361" xr:uid="{00000000-0005-0000-0000-00000A860000}"/>
    <cellStyle name="Migliaia 58 2" xfId="793" xr:uid="{00000000-0005-0000-0000-00000B860000}"/>
    <cellStyle name="Migliaia 58 2 10" xfId="39876" xr:uid="{00000000-0005-0000-0000-00000C860000}"/>
    <cellStyle name="Migliaia 58 2 11" xfId="40362" xr:uid="{00000000-0005-0000-0000-00000D860000}"/>
    <cellStyle name="Migliaia 58 2 2" xfId="3591" xr:uid="{00000000-0005-0000-0000-00000E860000}"/>
    <cellStyle name="Migliaia 58 2 2 2" xfId="12352" xr:uid="{00000000-0005-0000-0000-00000F860000}"/>
    <cellStyle name="Migliaia 58 2 2 2 2" xfId="30522" xr:uid="{00000000-0005-0000-0000-000010860000}"/>
    <cellStyle name="Migliaia 58 2 2 3" xfId="20686" xr:uid="{00000000-0005-0000-0000-000011860000}"/>
    <cellStyle name="Migliaia 58 2 2 3 2" xfId="38003" xr:uid="{00000000-0005-0000-0000-000012860000}"/>
    <cellStyle name="Migliaia 58 2 2 4" xfId="23520" xr:uid="{00000000-0005-0000-0000-000013860000}"/>
    <cellStyle name="Migliaia 58 2 2 5" xfId="38958" xr:uid="{00000000-0005-0000-0000-000014860000}"/>
    <cellStyle name="Migliaia 58 2 2 6" xfId="39436" xr:uid="{00000000-0005-0000-0000-000015860000}"/>
    <cellStyle name="Migliaia 58 2 3" xfId="11659" xr:uid="{00000000-0005-0000-0000-000016860000}"/>
    <cellStyle name="Migliaia 58 2 4" xfId="12236" xr:uid="{00000000-0005-0000-0000-000017860000}"/>
    <cellStyle name="Migliaia 58 2 4 2" xfId="30421" xr:uid="{00000000-0005-0000-0000-000018860000}"/>
    <cellStyle name="Migliaia 58 2 5" xfId="19647" xr:uid="{00000000-0005-0000-0000-000019860000}"/>
    <cellStyle name="Migliaia 58 2 5 2" xfId="37611" xr:uid="{00000000-0005-0000-0000-00001A860000}"/>
    <cellStyle name="Migliaia 58 2 6" xfId="3416" xr:uid="{00000000-0005-0000-0000-00001B860000}"/>
    <cellStyle name="Migliaia 58 2 6 2" xfId="23416" xr:uid="{00000000-0005-0000-0000-00001C860000}"/>
    <cellStyle name="Migliaia 58 2 7" xfId="21723" xr:uid="{00000000-0005-0000-0000-00001D860000}"/>
    <cellStyle name="Migliaia 58 2 8" xfId="38566" xr:uid="{00000000-0005-0000-0000-00001E860000}"/>
    <cellStyle name="Migliaia 58 2 9" xfId="39320" xr:uid="{00000000-0005-0000-0000-00001F860000}"/>
    <cellStyle name="Migliaia 58 3" xfId="794" xr:uid="{00000000-0005-0000-0000-000020860000}"/>
    <cellStyle name="Migliaia 58 3 10" xfId="39877" xr:uid="{00000000-0005-0000-0000-000021860000}"/>
    <cellStyle name="Migliaia 58 3 11" xfId="40363" xr:uid="{00000000-0005-0000-0000-000022860000}"/>
    <cellStyle name="Migliaia 58 3 2" xfId="795" xr:uid="{00000000-0005-0000-0000-000023860000}"/>
    <cellStyle name="Migliaia 58 3 2 10" xfId="40364" xr:uid="{00000000-0005-0000-0000-000024860000}"/>
    <cellStyle name="Migliaia 58 3 2 2" xfId="11661" xr:uid="{00000000-0005-0000-0000-000025860000}"/>
    <cellStyle name="Migliaia 58 3 2 3" xfId="12238" xr:uid="{00000000-0005-0000-0000-000026860000}"/>
    <cellStyle name="Migliaia 58 3 2 3 2" xfId="30423" xr:uid="{00000000-0005-0000-0000-000027860000}"/>
    <cellStyle name="Migliaia 58 3 2 4" xfId="19649" xr:uid="{00000000-0005-0000-0000-000028860000}"/>
    <cellStyle name="Migliaia 58 3 2 4 2" xfId="37613" xr:uid="{00000000-0005-0000-0000-000029860000}"/>
    <cellStyle name="Migliaia 58 3 2 5" xfId="3418" xr:uid="{00000000-0005-0000-0000-00002A860000}"/>
    <cellStyle name="Migliaia 58 3 2 5 2" xfId="23418" xr:uid="{00000000-0005-0000-0000-00002B860000}"/>
    <cellStyle name="Migliaia 58 3 2 6" xfId="21725" xr:uid="{00000000-0005-0000-0000-00002C860000}"/>
    <cellStyle name="Migliaia 58 3 2 7" xfId="38568" xr:uid="{00000000-0005-0000-0000-00002D860000}"/>
    <cellStyle name="Migliaia 58 3 2 8" xfId="39322" xr:uid="{00000000-0005-0000-0000-00002E860000}"/>
    <cellStyle name="Migliaia 58 3 2 9" xfId="39878" xr:uid="{00000000-0005-0000-0000-00002F860000}"/>
    <cellStyle name="Migliaia 58 3 3" xfId="11660" xr:uid="{00000000-0005-0000-0000-000030860000}"/>
    <cellStyle name="Migliaia 58 3 3 2" xfId="20688" xr:uid="{00000000-0005-0000-0000-000031860000}"/>
    <cellStyle name="Migliaia 58 3 3 2 2" xfId="38005" xr:uid="{00000000-0005-0000-0000-000032860000}"/>
    <cellStyle name="Migliaia 58 3 3 2 3" xfId="38960" xr:uid="{00000000-0005-0000-0000-000033860000}"/>
    <cellStyle name="Migliaia 58 3 3 3" xfId="19650" xr:uid="{00000000-0005-0000-0000-000034860000}"/>
    <cellStyle name="Migliaia 58 3 3 3 2" xfId="37614" xr:uid="{00000000-0005-0000-0000-000035860000}"/>
    <cellStyle name="Migliaia 58 3 3 4" xfId="38569" xr:uid="{00000000-0005-0000-0000-000036860000}"/>
    <cellStyle name="Migliaia 58 3 4" xfId="12237" xr:uid="{00000000-0005-0000-0000-000037860000}"/>
    <cellStyle name="Migliaia 58 3 4 2" xfId="20687" xr:uid="{00000000-0005-0000-0000-000038860000}"/>
    <cellStyle name="Migliaia 58 3 4 2 2" xfId="38004" xr:uid="{00000000-0005-0000-0000-000039860000}"/>
    <cellStyle name="Migliaia 58 3 4 3" xfId="30422" xr:uid="{00000000-0005-0000-0000-00003A860000}"/>
    <cellStyle name="Migliaia 58 3 4 4" xfId="38959" xr:uid="{00000000-0005-0000-0000-00003B860000}"/>
    <cellStyle name="Migliaia 58 3 5" xfId="19648" xr:uid="{00000000-0005-0000-0000-00003C860000}"/>
    <cellStyle name="Migliaia 58 3 5 2" xfId="37612" xr:uid="{00000000-0005-0000-0000-00003D860000}"/>
    <cellStyle name="Migliaia 58 3 6" xfId="3417" xr:uid="{00000000-0005-0000-0000-00003E860000}"/>
    <cellStyle name="Migliaia 58 3 6 2" xfId="23417" xr:uid="{00000000-0005-0000-0000-00003F860000}"/>
    <cellStyle name="Migliaia 58 3 7" xfId="21724" xr:uid="{00000000-0005-0000-0000-000040860000}"/>
    <cellStyle name="Migliaia 58 3 8" xfId="38567" xr:uid="{00000000-0005-0000-0000-000041860000}"/>
    <cellStyle name="Migliaia 58 3 9" xfId="39321" xr:uid="{00000000-0005-0000-0000-000042860000}"/>
    <cellStyle name="Migliaia 58 4" xfId="796" xr:uid="{00000000-0005-0000-0000-000043860000}"/>
    <cellStyle name="Migliaia 58 4 2" xfId="19652" xr:uid="{00000000-0005-0000-0000-000044860000}"/>
    <cellStyle name="Migliaia 58 4 2 2" xfId="20690" xr:uid="{00000000-0005-0000-0000-000045860000}"/>
    <cellStyle name="Migliaia 58 4 2 2 2" xfId="38007" xr:uid="{00000000-0005-0000-0000-000046860000}"/>
    <cellStyle name="Migliaia 58 4 2 2 3" xfId="38962" xr:uid="{00000000-0005-0000-0000-000047860000}"/>
    <cellStyle name="Migliaia 58 4 2 3" xfId="37616" xr:uid="{00000000-0005-0000-0000-000048860000}"/>
    <cellStyle name="Migliaia 58 4 2 4" xfId="38571" xr:uid="{00000000-0005-0000-0000-000049860000}"/>
    <cellStyle name="Migliaia 58 4 3" xfId="20689" xr:uid="{00000000-0005-0000-0000-00004A860000}"/>
    <cellStyle name="Migliaia 58 4 3 2" xfId="38006" xr:uid="{00000000-0005-0000-0000-00004B860000}"/>
    <cellStyle name="Migliaia 58 4 3 3" xfId="38961" xr:uid="{00000000-0005-0000-0000-00004C860000}"/>
    <cellStyle name="Migliaia 58 4 4" xfId="19651" xr:uid="{00000000-0005-0000-0000-00004D860000}"/>
    <cellStyle name="Migliaia 58 4 4 2" xfId="37615" xr:uid="{00000000-0005-0000-0000-00004E860000}"/>
    <cellStyle name="Migliaia 58 4 5" xfId="11662" xr:uid="{00000000-0005-0000-0000-00004F860000}"/>
    <cellStyle name="Migliaia 58 4 6" xfId="21726" xr:uid="{00000000-0005-0000-0000-000050860000}"/>
    <cellStyle name="Migliaia 58 4 7" xfId="38570" xr:uid="{00000000-0005-0000-0000-000051860000}"/>
    <cellStyle name="Migliaia 58 4 8" xfId="39879" xr:uid="{00000000-0005-0000-0000-000052860000}"/>
    <cellStyle name="Migliaia 58 4 9" xfId="40365" xr:uid="{00000000-0005-0000-0000-000053860000}"/>
    <cellStyle name="Migliaia 58 5" xfId="797" xr:uid="{00000000-0005-0000-0000-000054860000}"/>
    <cellStyle name="Migliaia 58 5 2" xfId="19653" xr:uid="{00000000-0005-0000-0000-000055860000}"/>
    <cellStyle name="Migliaia 58 5 2 2" xfId="37617" xr:uid="{00000000-0005-0000-0000-000056860000}"/>
    <cellStyle name="Migliaia 58 5 3" xfId="11663" xr:uid="{00000000-0005-0000-0000-000057860000}"/>
    <cellStyle name="Migliaia 58 5 4" xfId="21727" xr:uid="{00000000-0005-0000-0000-000058860000}"/>
    <cellStyle name="Migliaia 58 5 5" xfId="38572" xr:uid="{00000000-0005-0000-0000-000059860000}"/>
    <cellStyle name="Migliaia 58 5 6" xfId="39880" xr:uid="{00000000-0005-0000-0000-00005A860000}"/>
    <cellStyle name="Migliaia 58 5 7" xfId="40366" xr:uid="{00000000-0005-0000-0000-00005B860000}"/>
    <cellStyle name="Migliaia 58 6" xfId="798" xr:uid="{00000000-0005-0000-0000-00005C860000}"/>
    <cellStyle name="Migliaia 58 6 2" xfId="11658" xr:uid="{00000000-0005-0000-0000-00005D860000}"/>
    <cellStyle name="Migliaia 58 6 3" xfId="21728" xr:uid="{00000000-0005-0000-0000-00005E860000}"/>
    <cellStyle name="Migliaia 58 6 4" xfId="39881" xr:uid="{00000000-0005-0000-0000-00005F860000}"/>
    <cellStyle name="Migliaia 58 6 5" xfId="40367" xr:uid="{00000000-0005-0000-0000-000060860000}"/>
    <cellStyle name="Migliaia 58 7" xfId="12235" xr:uid="{00000000-0005-0000-0000-000061860000}"/>
    <cellStyle name="Migliaia 58 7 2" xfId="30420" xr:uid="{00000000-0005-0000-0000-000062860000}"/>
    <cellStyle name="Migliaia 58 8" xfId="19646" xr:uid="{00000000-0005-0000-0000-000063860000}"/>
    <cellStyle name="Migliaia 58 8 2" xfId="37610" xr:uid="{00000000-0005-0000-0000-000064860000}"/>
    <cellStyle name="Migliaia 58 9" xfId="3415" xr:uid="{00000000-0005-0000-0000-000065860000}"/>
    <cellStyle name="Migliaia 58 9 2" xfId="23415" xr:uid="{00000000-0005-0000-0000-000066860000}"/>
    <cellStyle name="Migliaia 59" xfId="799" xr:uid="{00000000-0005-0000-0000-000067860000}"/>
    <cellStyle name="Migliaia 59 10" xfId="21729" xr:uid="{00000000-0005-0000-0000-000068860000}"/>
    <cellStyle name="Migliaia 59 11" xfId="38573" xr:uid="{00000000-0005-0000-0000-000069860000}"/>
    <cellStyle name="Migliaia 59 12" xfId="39323" xr:uid="{00000000-0005-0000-0000-00006A860000}"/>
    <cellStyle name="Migliaia 59 13" xfId="39882" xr:uid="{00000000-0005-0000-0000-00006B860000}"/>
    <cellStyle name="Migliaia 59 14" xfId="40368" xr:uid="{00000000-0005-0000-0000-00006C860000}"/>
    <cellStyle name="Migliaia 59 2" xfId="800" xr:uid="{00000000-0005-0000-0000-00006D860000}"/>
    <cellStyle name="Migliaia 59 2 10" xfId="39883" xr:uid="{00000000-0005-0000-0000-00006E860000}"/>
    <cellStyle name="Migliaia 59 2 11" xfId="40369" xr:uid="{00000000-0005-0000-0000-00006F860000}"/>
    <cellStyle name="Migliaia 59 2 2" xfId="3592" xr:uid="{00000000-0005-0000-0000-000070860000}"/>
    <cellStyle name="Migliaia 59 2 2 2" xfId="12353" xr:uid="{00000000-0005-0000-0000-000071860000}"/>
    <cellStyle name="Migliaia 59 2 2 2 2" xfId="30523" xr:uid="{00000000-0005-0000-0000-000072860000}"/>
    <cellStyle name="Migliaia 59 2 2 3" xfId="20691" xr:uid="{00000000-0005-0000-0000-000073860000}"/>
    <cellStyle name="Migliaia 59 2 2 3 2" xfId="38008" xr:uid="{00000000-0005-0000-0000-000074860000}"/>
    <cellStyle name="Migliaia 59 2 2 4" xfId="23521" xr:uid="{00000000-0005-0000-0000-000075860000}"/>
    <cellStyle name="Migliaia 59 2 2 5" xfId="38963" xr:uid="{00000000-0005-0000-0000-000076860000}"/>
    <cellStyle name="Migliaia 59 2 2 6" xfId="39437" xr:uid="{00000000-0005-0000-0000-000077860000}"/>
    <cellStyle name="Migliaia 59 2 3" xfId="11665" xr:uid="{00000000-0005-0000-0000-000078860000}"/>
    <cellStyle name="Migliaia 59 2 4" xfId="12240" xr:uid="{00000000-0005-0000-0000-000079860000}"/>
    <cellStyle name="Migliaia 59 2 4 2" xfId="30425" xr:uid="{00000000-0005-0000-0000-00007A860000}"/>
    <cellStyle name="Migliaia 59 2 5" xfId="19655" xr:uid="{00000000-0005-0000-0000-00007B860000}"/>
    <cellStyle name="Migliaia 59 2 5 2" xfId="37619" xr:uid="{00000000-0005-0000-0000-00007C860000}"/>
    <cellStyle name="Migliaia 59 2 6" xfId="3420" xr:uid="{00000000-0005-0000-0000-00007D860000}"/>
    <cellStyle name="Migliaia 59 2 6 2" xfId="23420" xr:uid="{00000000-0005-0000-0000-00007E860000}"/>
    <cellStyle name="Migliaia 59 2 7" xfId="21730" xr:uid="{00000000-0005-0000-0000-00007F860000}"/>
    <cellStyle name="Migliaia 59 2 8" xfId="38574" xr:uid="{00000000-0005-0000-0000-000080860000}"/>
    <cellStyle name="Migliaia 59 2 9" xfId="39324" xr:uid="{00000000-0005-0000-0000-000081860000}"/>
    <cellStyle name="Migliaia 59 3" xfId="801" xr:uid="{00000000-0005-0000-0000-000082860000}"/>
    <cellStyle name="Migliaia 59 3 10" xfId="39884" xr:uid="{00000000-0005-0000-0000-000083860000}"/>
    <cellStyle name="Migliaia 59 3 11" xfId="40370" xr:uid="{00000000-0005-0000-0000-000084860000}"/>
    <cellStyle name="Migliaia 59 3 2" xfId="802" xr:uid="{00000000-0005-0000-0000-000085860000}"/>
    <cellStyle name="Migliaia 59 3 2 10" xfId="40371" xr:uid="{00000000-0005-0000-0000-000086860000}"/>
    <cellStyle name="Migliaia 59 3 2 2" xfId="11667" xr:uid="{00000000-0005-0000-0000-000087860000}"/>
    <cellStyle name="Migliaia 59 3 2 3" xfId="12242" xr:uid="{00000000-0005-0000-0000-000088860000}"/>
    <cellStyle name="Migliaia 59 3 2 3 2" xfId="30427" xr:uid="{00000000-0005-0000-0000-000089860000}"/>
    <cellStyle name="Migliaia 59 3 2 4" xfId="19657" xr:uid="{00000000-0005-0000-0000-00008A860000}"/>
    <cellStyle name="Migliaia 59 3 2 4 2" xfId="37621" xr:uid="{00000000-0005-0000-0000-00008B860000}"/>
    <cellStyle name="Migliaia 59 3 2 5" xfId="3422" xr:uid="{00000000-0005-0000-0000-00008C860000}"/>
    <cellStyle name="Migliaia 59 3 2 5 2" xfId="23422" xr:uid="{00000000-0005-0000-0000-00008D860000}"/>
    <cellStyle name="Migliaia 59 3 2 6" xfId="21732" xr:uid="{00000000-0005-0000-0000-00008E860000}"/>
    <cellStyle name="Migliaia 59 3 2 7" xfId="38576" xr:uid="{00000000-0005-0000-0000-00008F860000}"/>
    <cellStyle name="Migliaia 59 3 2 8" xfId="39326" xr:uid="{00000000-0005-0000-0000-000090860000}"/>
    <cellStyle name="Migliaia 59 3 2 9" xfId="39885" xr:uid="{00000000-0005-0000-0000-000091860000}"/>
    <cellStyle name="Migliaia 59 3 3" xfId="11666" xr:uid="{00000000-0005-0000-0000-000092860000}"/>
    <cellStyle name="Migliaia 59 3 3 2" xfId="20693" xr:uid="{00000000-0005-0000-0000-000093860000}"/>
    <cellStyle name="Migliaia 59 3 3 2 2" xfId="38010" xr:uid="{00000000-0005-0000-0000-000094860000}"/>
    <cellStyle name="Migliaia 59 3 3 2 3" xfId="38965" xr:uid="{00000000-0005-0000-0000-000095860000}"/>
    <cellStyle name="Migliaia 59 3 3 3" xfId="19658" xr:uid="{00000000-0005-0000-0000-000096860000}"/>
    <cellStyle name="Migliaia 59 3 3 3 2" xfId="37622" xr:uid="{00000000-0005-0000-0000-000097860000}"/>
    <cellStyle name="Migliaia 59 3 3 4" xfId="38577" xr:uid="{00000000-0005-0000-0000-000098860000}"/>
    <cellStyle name="Migliaia 59 3 4" xfId="12241" xr:uid="{00000000-0005-0000-0000-000099860000}"/>
    <cellStyle name="Migliaia 59 3 4 2" xfId="20692" xr:uid="{00000000-0005-0000-0000-00009A860000}"/>
    <cellStyle name="Migliaia 59 3 4 2 2" xfId="38009" xr:uid="{00000000-0005-0000-0000-00009B860000}"/>
    <cellStyle name="Migliaia 59 3 4 3" xfId="30426" xr:uid="{00000000-0005-0000-0000-00009C860000}"/>
    <cellStyle name="Migliaia 59 3 4 4" xfId="38964" xr:uid="{00000000-0005-0000-0000-00009D860000}"/>
    <cellStyle name="Migliaia 59 3 5" xfId="19656" xr:uid="{00000000-0005-0000-0000-00009E860000}"/>
    <cellStyle name="Migliaia 59 3 5 2" xfId="37620" xr:uid="{00000000-0005-0000-0000-00009F860000}"/>
    <cellStyle name="Migliaia 59 3 6" xfId="3421" xr:uid="{00000000-0005-0000-0000-0000A0860000}"/>
    <cellStyle name="Migliaia 59 3 6 2" xfId="23421" xr:uid="{00000000-0005-0000-0000-0000A1860000}"/>
    <cellStyle name="Migliaia 59 3 7" xfId="21731" xr:uid="{00000000-0005-0000-0000-0000A2860000}"/>
    <cellStyle name="Migliaia 59 3 8" xfId="38575" xr:uid="{00000000-0005-0000-0000-0000A3860000}"/>
    <cellStyle name="Migliaia 59 3 9" xfId="39325" xr:uid="{00000000-0005-0000-0000-0000A4860000}"/>
    <cellStyle name="Migliaia 59 4" xfId="803" xr:uid="{00000000-0005-0000-0000-0000A5860000}"/>
    <cellStyle name="Migliaia 59 4 2" xfId="19660" xr:uid="{00000000-0005-0000-0000-0000A6860000}"/>
    <cellStyle name="Migliaia 59 4 2 2" xfId="20695" xr:uid="{00000000-0005-0000-0000-0000A7860000}"/>
    <cellStyle name="Migliaia 59 4 2 2 2" xfId="38012" xr:uid="{00000000-0005-0000-0000-0000A8860000}"/>
    <cellStyle name="Migliaia 59 4 2 2 3" xfId="38967" xr:uid="{00000000-0005-0000-0000-0000A9860000}"/>
    <cellStyle name="Migliaia 59 4 2 3" xfId="37624" xr:uid="{00000000-0005-0000-0000-0000AA860000}"/>
    <cellStyle name="Migliaia 59 4 2 4" xfId="38579" xr:uid="{00000000-0005-0000-0000-0000AB860000}"/>
    <cellStyle name="Migliaia 59 4 3" xfId="20694" xr:uid="{00000000-0005-0000-0000-0000AC860000}"/>
    <cellStyle name="Migliaia 59 4 3 2" xfId="38011" xr:uid="{00000000-0005-0000-0000-0000AD860000}"/>
    <cellStyle name="Migliaia 59 4 3 3" xfId="38966" xr:uid="{00000000-0005-0000-0000-0000AE860000}"/>
    <cellStyle name="Migliaia 59 4 4" xfId="19659" xr:uid="{00000000-0005-0000-0000-0000AF860000}"/>
    <cellStyle name="Migliaia 59 4 4 2" xfId="37623" xr:uid="{00000000-0005-0000-0000-0000B0860000}"/>
    <cellStyle name="Migliaia 59 4 5" xfId="11668" xr:uid="{00000000-0005-0000-0000-0000B1860000}"/>
    <cellStyle name="Migliaia 59 4 6" xfId="21733" xr:uid="{00000000-0005-0000-0000-0000B2860000}"/>
    <cellStyle name="Migliaia 59 4 7" xfId="38578" xr:uid="{00000000-0005-0000-0000-0000B3860000}"/>
    <cellStyle name="Migliaia 59 4 8" xfId="39886" xr:uid="{00000000-0005-0000-0000-0000B4860000}"/>
    <cellStyle name="Migliaia 59 4 9" xfId="40372" xr:uid="{00000000-0005-0000-0000-0000B5860000}"/>
    <cellStyle name="Migliaia 59 5" xfId="804" xr:uid="{00000000-0005-0000-0000-0000B6860000}"/>
    <cellStyle name="Migliaia 59 5 2" xfId="19661" xr:uid="{00000000-0005-0000-0000-0000B7860000}"/>
    <cellStyle name="Migliaia 59 5 2 2" xfId="37625" xr:uid="{00000000-0005-0000-0000-0000B8860000}"/>
    <cellStyle name="Migliaia 59 5 3" xfId="11669" xr:uid="{00000000-0005-0000-0000-0000B9860000}"/>
    <cellStyle name="Migliaia 59 5 4" xfId="21734" xr:uid="{00000000-0005-0000-0000-0000BA860000}"/>
    <cellStyle name="Migliaia 59 5 5" xfId="38580" xr:uid="{00000000-0005-0000-0000-0000BB860000}"/>
    <cellStyle name="Migliaia 59 5 6" xfId="39887" xr:uid="{00000000-0005-0000-0000-0000BC860000}"/>
    <cellStyle name="Migliaia 59 5 7" xfId="40373" xr:uid="{00000000-0005-0000-0000-0000BD860000}"/>
    <cellStyle name="Migliaia 59 6" xfId="805" xr:uid="{00000000-0005-0000-0000-0000BE860000}"/>
    <cellStyle name="Migliaia 59 6 2" xfId="11664" xr:uid="{00000000-0005-0000-0000-0000BF860000}"/>
    <cellStyle name="Migliaia 59 6 3" xfId="21735" xr:uid="{00000000-0005-0000-0000-0000C0860000}"/>
    <cellStyle name="Migliaia 59 6 4" xfId="39888" xr:uid="{00000000-0005-0000-0000-0000C1860000}"/>
    <cellStyle name="Migliaia 59 6 5" xfId="40374" xr:uid="{00000000-0005-0000-0000-0000C2860000}"/>
    <cellStyle name="Migliaia 59 7" xfId="12239" xr:uid="{00000000-0005-0000-0000-0000C3860000}"/>
    <cellStyle name="Migliaia 59 7 2" xfId="30424" xr:uid="{00000000-0005-0000-0000-0000C4860000}"/>
    <cellStyle name="Migliaia 59 8" xfId="19654" xr:uid="{00000000-0005-0000-0000-0000C5860000}"/>
    <cellStyle name="Migliaia 59 8 2" xfId="37618" xr:uid="{00000000-0005-0000-0000-0000C6860000}"/>
    <cellStyle name="Migliaia 59 9" xfId="3419" xr:uid="{00000000-0005-0000-0000-0000C7860000}"/>
    <cellStyle name="Migliaia 59 9 2" xfId="23419" xr:uid="{00000000-0005-0000-0000-0000C8860000}"/>
    <cellStyle name="Migliaia 6" xfId="806" xr:uid="{00000000-0005-0000-0000-0000C9860000}"/>
    <cellStyle name="Migliaia 6 10" xfId="21736" xr:uid="{00000000-0005-0000-0000-0000CA860000}"/>
    <cellStyle name="Migliaia 6 11" xfId="38581" xr:uid="{00000000-0005-0000-0000-0000CB860000}"/>
    <cellStyle name="Migliaia 6 12" xfId="39327" xr:uid="{00000000-0005-0000-0000-0000CC860000}"/>
    <cellStyle name="Migliaia 6 13" xfId="39889" xr:uid="{00000000-0005-0000-0000-0000CD860000}"/>
    <cellStyle name="Migliaia 6 14" xfId="40375" xr:uid="{00000000-0005-0000-0000-0000CE860000}"/>
    <cellStyle name="Migliaia 6 2" xfId="807" xr:uid="{00000000-0005-0000-0000-0000CF860000}"/>
    <cellStyle name="Migliaia 6 2 10" xfId="39890" xr:uid="{00000000-0005-0000-0000-0000D0860000}"/>
    <cellStyle name="Migliaia 6 2 11" xfId="40376" xr:uid="{00000000-0005-0000-0000-0000D1860000}"/>
    <cellStyle name="Migliaia 6 2 2" xfId="3593" xr:uid="{00000000-0005-0000-0000-0000D2860000}"/>
    <cellStyle name="Migliaia 6 2 2 2" xfId="12354" xr:uid="{00000000-0005-0000-0000-0000D3860000}"/>
    <cellStyle name="Migliaia 6 2 2 2 2" xfId="30524" xr:uid="{00000000-0005-0000-0000-0000D4860000}"/>
    <cellStyle name="Migliaia 6 2 2 3" xfId="20696" xr:uid="{00000000-0005-0000-0000-0000D5860000}"/>
    <cellStyle name="Migliaia 6 2 2 3 2" xfId="38013" xr:uid="{00000000-0005-0000-0000-0000D6860000}"/>
    <cellStyle name="Migliaia 6 2 2 4" xfId="23522" xr:uid="{00000000-0005-0000-0000-0000D7860000}"/>
    <cellStyle name="Migliaia 6 2 2 5" xfId="38968" xr:uid="{00000000-0005-0000-0000-0000D8860000}"/>
    <cellStyle name="Migliaia 6 2 2 6" xfId="39438" xr:uid="{00000000-0005-0000-0000-0000D9860000}"/>
    <cellStyle name="Migliaia 6 2 3" xfId="11671" xr:uid="{00000000-0005-0000-0000-0000DA860000}"/>
    <cellStyle name="Migliaia 6 2 4" xfId="12244" xr:uid="{00000000-0005-0000-0000-0000DB860000}"/>
    <cellStyle name="Migliaia 6 2 4 2" xfId="30429" xr:uid="{00000000-0005-0000-0000-0000DC860000}"/>
    <cellStyle name="Migliaia 6 2 5" xfId="19663" xr:uid="{00000000-0005-0000-0000-0000DD860000}"/>
    <cellStyle name="Migliaia 6 2 5 2" xfId="37627" xr:uid="{00000000-0005-0000-0000-0000DE860000}"/>
    <cellStyle name="Migliaia 6 2 6" xfId="3424" xr:uid="{00000000-0005-0000-0000-0000DF860000}"/>
    <cellStyle name="Migliaia 6 2 6 2" xfId="23424" xr:uid="{00000000-0005-0000-0000-0000E0860000}"/>
    <cellStyle name="Migliaia 6 2 7" xfId="21737" xr:uid="{00000000-0005-0000-0000-0000E1860000}"/>
    <cellStyle name="Migliaia 6 2 8" xfId="38582" xr:uid="{00000000-0005-0000-0000-0000E2860000}"/>
    <cellStyle name="Migliaia 6 2 9" xfId="39328" xr:uid="{00000000-0005-0000-0000-0000E3860000}"/>
    <cellStyle name="Migliaia 6 3" xfId="808" xr:uid="{00000000-0005-0000-0000-0000E4860000}"/>
    <cellStyle name="Migliaia 6 3 10" xfId="39891" xr:uid="{00000000-0005-0000-0000-0000E5860000}"/>
    <cellStyle name="Migliaia 6 3 11" xfId="40377" xr:uid="{00000000-0005-0000-0000-0000E6860000}"/>
    <cellStyle name="Migliaia 6 3 2" xfId="809" xr:uid="{00000000-0005-0000-0000-0000E7860000}"/>
    <cellStyle name="Migliaia 6 3 2 10" xfId="40378" xr:uid="{00000000-0005-0000-0000-0000E8860000}"/>
    <cellStyle name="Migliaia 6 3 2 2" xfId="11673" xr:uid="{00000000-0005-0000-0000-0000E9860000}"/>
    <cellStyle name="Migliaia 6 3 2 3" xfId="12246" xr:uid="{00000000-0005-0000-0000-0000EA860000}"/>
    <cellStyle name="Migliaia 6 3 2 3 2" xfId="30431" xr:uid="{00000000-0005-0000-0000-0000EB860000}"/>
    <cellStyle name="Migliaia 6 3 2 4" xfId="19665" xr:uid="{00000000-0005-0000-0000-0000EC860000}"/>
    <cellStyle name="Migliaia 6 3 2 4 2" xfId="37629" xr:uid="{00000000-0005-0000-0000-0000ED860000}"/>
    <cellStyle name="Migliaia 6 3 2 5" xfId="3426" xr:uid="{00000000-0005-0000-0000-0000EE860000}"/>
    <cellStyle name="Migliaia 6 3 2 5 2" xfId="23426" xr:uid="{00000000-0005-0000-0000-0000EF860000}"/>
    <cellStyle name="Migliaia 6 3 2 6" xfId="21739" xr:uid="{00000000-0005-0000-0000-0000F0860000}"/>
    <cellStyle name="Migliaia 6 3 2 7" xfId="38584" xr:uid="{00000000-0005-0000-0000-0000F1860000}"/>
    <cellStyle name="Migliaia 6 3 2 8" xfId="39330" xr:uid="{00000000-0005-0000-0000-0000F2860000}"/>
    <cellStyle name="Migliaia 6 3 2 9" xfId="39892" xr:uid="{00000000-0005-0000-0000-0000F3860000}"/>
    <cellStyle name="Migliaia 6 3 3" xfId="11672" xr:uid="{00000000-0005-0000-0000-0000F4860000}"/>
    <cellStyle name="Migliaia 6 3 3 2" xfId="20698" xr:uid="{00000000-0005-0000-0000-0000F5860000}"/>
    <cellStyle name="Migliaia 6 3 3 2 2" xfId="38015" xr:uid="{00000000-0005-0000-0000-0000F6860000}"/>
    <cellStyle name="Migliaia 6 3 3 2 3" xfId="38970" xr:uid="{00000000-0005-0000-0000-0000F7860000}"/>
    <cellStyle name="Migliaia 6 3 3 3" xfId="19666" xr:uid="{00000000-0005-0000-0000-0000F8860000}"/>
    <cellStyle name="Migliaia 6 3 3 3 2" xfId="37630" xr:uid="{00000000-0005-0000-0000-0000F9860000}"/>
    <cellStyle name="Migliaia 6 3 3 4" xfId="38585" xr:uid="{00000000-0005-0000-0000-0000FA860000}"/>
    <cellStyle name="Migliaia 6 3 4" xfId="12245" xr:uid="{00000000-0005-0000-0000-0000FB860000}"/>
    <cellStyle name="Migliaia 6 3 4 2" xfId="20697" xr:uid="{00000000-0005-0000-0000-0000FC860000}"/>
    <cellStyle name="Migliaia 6 3 4 2 2" xfId="38014" xr:uid="{00000000-0005-0000-0000-0000FD860000}"/>
    <cellStyle name="Migliaia 6 3 4 3" xfId="30430" xr:uid="{00000000-0005-0000-0000-0000FE860000}"/>
    <cellStyle name="Migliaia 6 3 4 4" xfId="38969" xr:uid="{00000000-0005-0000-0000-0000FF860000}"/>
    <cellStyle name="Migliaia 6 3 5" xfId="19664" xr:uid="{00000000-0005-0000-0000-000000870000}"/>
    <cellStyle name="Migliaia 6 3 5 2" xfId="37628" xr:uid="{00000000-0005-0000-0000-000001870000}"/>
    <cellStyle name="Migliaia 6 3 6" xfId="3425" xr:uid="{00000000-0005-0000-0000-000002870000}"/>
    <cellStyle name="Migliaia 6 3 6 2" xfId="23425" xr:uid="{00000000-0005-0000-0000-000003870000}"/>
    <cellStyle name="Migliaia 6 3 7" xfId="21738" xr:uid="{00000000-0005-0000-0000-000004870000}"/>
    <cellStyle name="Migliaia 6 3 8" xfId="38583" xr:uid="{00000000-0005-0000-0000-000005870000}"/>
    <cellStyle name="Migliaia 6 3 9" xfId="39329" xr:uid="{00000000-0005-0000-0000-000006870000}"/>
    <cellStyle name="Migliaia 6 4" xfId="810" xr:uid="{00000000-0005-0000-0000-000007870000}"/>
    <cellStyle name="Migliaia 6 4 2" xfId="19668" xr:uid="{00000000-0005-0000-0000-000008870000}"/>
    <cellStyle name="Migliaia 6 4 2 2" xfId="20700" xr:uid="{00000000-0005-0000-0000-000009870000}"/>
    <cellStyle name="Migliaia 6 4 2 2 2" xfId="38017" xr:uid="{00000000-0005-0000-0000-00000A870000}"/>
    <cellStyle name="Migliaia 6 4 2 2 3" xfId="38972" xr:uid="{00000000-0005-0000-0000-00000B870000}"/>
    <cellStyle name="Migliaia 6 4 2 3" xfId="37632" xr:uid="{00000000-0005-0000-0000-00000C870000}"/>
    <cellStyle name="Migliaia 6 4 2 4" xfId="38587" xr:uid="{00000000-0005-0000-0000-00000D870000}"/>
    <cellStyle name="Migliaia 6 4 3" xfId="20699" xr:uid="{00000000-0005-0000-0000-00000E870000}"/>
    <cellStyle name="Migliaia 6 4 3 2" xfId="38016" xr:uid="{00000000-0005-0000-0000-00000F870000}"/>
    <cellStyle name="Migliaia 6 4 3 3" xfId="38971" xr:uid="{00000000-0005-0000-0000-000010870000}"/>
    <cellStyle name="Migliaia 6 4 4" xfId="19667" xr:uid="{00000000-0005-0000-0000-000011870000}"/>
    <cellStyle name="Migliaia 6 4 4 2" xfId="37631" xr:uid="{00000000-0005-0000-0000-000012870000}"/>
    <cellStyle name="Migliaia 6 4 5" xfId="11674" xr:uid="{00000000-0005-0000-0000-000013870000}"/>
    <cellStyle name="Migliaia 6 4 6" xfId="21740" xr:uid="{00000000-0005-0000-0000-000014870000}"/>
    <cellStyle name="Migliaia 6 4 7" xfId="38586" xr:uid="{00000000-0005-0000-0000-000015870000}"/>
    <cellStyle name="Migliaia 6 4 8" xfId="39893" xr:uid="{00000000-0005-0000-0000-000016870000}"/>
    <cellStyle name="Migliaia 6 4 9" xfId="40379" xr:uid="{00000000-0005-0000-0000-000017870000}"/>
    <cellStyle name="Migliaia 6 5" xfId="811" xr:uid="{00000000-0005-0000-0000-000018870000}"/>
    <cellStyle name="Migliaia 6 5 2" xfId="19669" xr:uid="{00000000-0005-0000-0000-000019870000}"/>
    <cellStyle name="Migliaia 6 5 2 2" xfId="37633" xr:uid="{00000000-0005-0000-0000-00001A870000}"/>
    <cellStyle name="Migliaia 6 5 3" xfId="11675" xr:uid="{00000000-0005-0000-0000-00001B870000}"/>
    <cellStyle name="Migliaia 6 5 4" xfId="21741" xr:uid="{00000000-0005-0000-0000-00001C870000}"/>
    <cellStyle name="Migliaia 6 5 5" xfId="38588" xr:uid="{00000000-0005-0000-0000-00001D870000}"/>
    <cellStyle name="Migliaia 6 5 6" xfId="39894" xr:uid="{00000000-0005-0000-0000-00001E870000}"/>
    <cellStyle name="Migliaia 6 5 7" xfId="40380" xr:uid="{00000000-0005-0000-0000-00001F870000}"/>
    <cellStyle name="Migliaia 6 6" xfId="812" xr:uid="{00000000-0005-0000-0000-000020870000}"/>
    <cellStyle name="Migliaia 6 6 2" xfId="11670" xr:uid="{00000000-0005-0000-0000-000021870000}"/>
    <cellStyle name="Migliaia 6 6 3" xfId="21742" xr:uid="{00000000-0005-0000-0000-000022870000}"/>
    <cellStyle name="Migliaia 6 6 4" xfId="39895" xr:uid="{00000000-0005-0000-0000-000023870000}"/>
    <cellStyle name="Migliaia 6 6 5" xfId="40381" xr:uid="{00000000-0005-0000-0000-000024870000}"/>
    <cellStyle name="Migliaia 6 7" xfId="12243" xr:uid="{00000000-0005-0000-0000-000025870000}"/>
    <cellStyle name="Migliaia 6 7 2" xfId="30428" xr:uid="{00000000-0005-0000-0000-000026870000}"/>
    <cellStyle name="Migliaia 6 8" xfId="19662" xr:uid="{00000000-0005-0000-0000-000027870000}"/>
    <cellStyle name="Migliaia 6 8 2" xfId="37626" xr:uid="{00000000-0005-0000-0000-000028870000}"/>
    <cellStyle name="Migliaia 6 9" xfId="3423" xr:uid="{00000000-0005-0000-0000-000029870000}"/>
    <cellStyle name="Migliaia 6 9 2" xfId="23423" xr:uid="{00000000-0005-0000-0000-00002A870000}"/>
    <cellStyle name="Migliaia 60" xfId="813" xr:uid="{00000000-0005-0000-0000-00002B870000}"/>
    <cellStyle name="Migliaia 60 10" xfId="21743" xr:uid="{00000000-0005-0000-0000-00002C870000}"/>
    <cellStyle name="Migliaia 60 11" xfId="38589" xr:uid="{00000000-0005-0000-0000-00002D870000}"/>
    <cellStyle name="Migliaia 60 12" xfId="39331" xr:uid="{00000000-0005-0000-0000-00002E870000}"/>
    <cellStyle name="Migliaia 60 13" xfId="39896" xr:uid="{00000000-0005-0000-0000-00002F870000}"/>
    <cellStyle name="Migliaia 60 14" xfId="40382" xr:uid="{00000000-0005-0000-0000-000030870000}"/>
    <cellStyle name="Migliaia 60 2" xfId="814" xr:uid="{00000000-0005-0000-0000-000031870000}"/>
    <cellStyle name="Migliaia 60 2 10" xfId="39897" xr:uid="{00000000-0005-0000-0000-000032870000}"/>
    <cellStyle name="Migliaia 60 2 11" xfId="40383" xr:uid="{00000000-0005-0000-0000-000033870000}"/>
    <cellStyle name="Migliaia 60 2 2" xfId="3594" xr:uid="{00000000-0005-0000-0000-000034870000}"/>
    <cellStyle name="Migliaia 60 2 2 2" xfId="12355" xr:uid="{00000000-0005-0000-0000-000035870000}"/>
    <cellStyle name="Migliaia 60 2 2 2 2" xfId="30525" xr:uid="{00000000-0005-0000-0000-000036870000}"/>
    <cellStyle name="Migliaia 60 2 2 3" xfId="20701" xr:uid="{00000000-0005-0000-0000-000037870000}"/>
    <cellStyle name="Migliaia 60 2 2 3 2" xfId="38018" xr:uid="{00000000-0005-0000-0000-000038870000}"/>
    <cellStyle name="Migliaia 60 2 2 4" xfId="23523" xr:uid="{00000000-0005-0000-0000-000039870000}"/>
    <cellStyle name="Migliaia 60 2 2 5" xfId="38973" xr:uid="{00000000-0005-0000-0000-00003A870000}"/>
    <cellStyle name="Migliaia 60 2 2 6" xfId="39439" xr:uid="{00000000-0005-0000-0000-00003B870000}"/>
    <cellStyle name="Migliaia 60 2 3" xfId="11677" xr:uid="{00000000-0005-0000-0000-00003C870000}"/>
    <cellStyle name="Migliaia 60 2 4" xfId="12248" xr:uid="{00000000-0005-0000-0000-00003D870000}"/>
    <cellStyle name="Migliaia 60 2 4 2" xfId="30433" xr:uid="{00000000-0005-0000-0000-00003E870000}"/>
    <cellStyle name="Migliaia 60 2 5" xfId="19671" xr:uid="{00000000-0005-0000-0000-00003F870000}"/>
    <cellStyle name="Migliaia 60 2 5 2" xfId="37635" xr:uid="{00000000-0005-0000-0000-000040870000}"/>
    <cellStyle name="Migliaia 60 2 6" xfId="3428" xr:uid="{00000000-0005-0000-0000-000041870000}"/>
    <cellStyle name="Migliaia 60 2 6 2" xfId="23428" xr:uid="{00000000-0005-0000-0000-000042870000}"/>
    <cellStyle name="Migliaia 60 2 7" xfId="21744" xr:uid="{00000000-0005-0000-0000-000043870000}"/>
    <cellStyle name="Migliaia 60 2 8" xfId="38590" xr:uid="{00000000-0005-0000-0000-000044870000}"/>
    <cellStyle name="Migliaia 60 2 9" xfId="39332" xr:uid="{00000000-0005-0000-0000-000045870000}"/>
    <cellStyle name="Migliaia 60 3" xfId="815" xr:uid="{00000000-0005-0000-0000-000046870000}"/>
    <cellStyle name="Migliaia 60 3 10" xfId="39898" xr:uid="{00000000-0005-0000-0000-000047870000}"/>
    <cellStyle name="Migliaia 60 3 11" xfId="40384" xr:uid="{00000000-0005-0000-0000-000048870000}"/>
    <cellStyle name="Migliaia 60 3 2" xfId="816" xr:uid="{00000000-0005-0000-0000-000049870000}"/>
    <cellStyle name="Migliaia 60 3 2 10" xfId="40385" xr:uid="{00000000-0005-0000-0000-00004A870000}"/>
    <cellStyle name="Migliaia 60 3 2 2" xfId="11679" xr:uid="{00000000-0005-0000-0000-00004B870000}"/>
    <cellStyle name="Migliaia 60 3 2 3" xfId="12250" xr:uid="{00000000-0005-0000-0000-00004C870000}"/>
    <cellStyle name="Migliaia 60 3 2 3 2" xfId="30435" xr:uid="{00000000-0005-0000-0000-00004D870000}"/>
    <cellStyle name="Migliaia 60 3 2 4" xfId="19673" xr:uid="{00000000-0005-0000-0000-00004E870000}"/>
    <cellStyle name="Migliaia 60 3 2 4 2" xfId="37637" xr:uid="{00000000-0005-0000-0000-00004F870000}"/>
    <cellStyle name="Migliaia 60 3 2 5" xfId="3430" xr:uid="{00000000-0005-0000-0000-000050870000}"/>
    <cellStyle name="Migliaia 60 3 2 5 2" xfId="23430" xr:uid="{00000000-0005-0000-0000-000051870000}"/>
    <cellStyle name="Migliaia 60 3 2 6" xfId="21746" xr:uid="{00000000-0005-0000-0000-000052870000}"/>
    <cellStyle name="Migliaia 60 3 2 7" xfId="38592" xr:uid="{00000000-0005-0000-0000-000053870000}"/>
    <cellStyle name="Migliaia 60 3 2 8" xfId="39334" xr:uid="{00000000-0005-0000-0000-000054870000}"/>
    <cellStyle name="Migliaia 60 3 2 9" xfId="39899" xr:uid="{00000000-0005-0000-0000-000055870000}"/>
    <cellStyle name="Migliaia 60 3 3" xfId="11678" xr:uid="{00000000-0005-0000-0000-000056870000}"/>
    <cellStyle name="Migliaia 60 3 3 2" xfId="20703" xr:uid="{00000000-0005-0000-0000-000057870000}"/>
    <cellStyle name="Migliaia 60 3 3 2 2" xfId="38020" xr:uid="{00000000-0005-0000-0000-000058870000}"/>
    <cellStyle name="Migliaia 60 3 3 2 3" xfId="38975" xr:uid="{00000000-0005-0000-0000-000059870000}"/>
    <cellStyle name="Migliaia 60 3 3 3" xfId="19674" xr:uid="{00000000-0005-0000-0000-00005A870000}"/>
    <cellStyle name="Migliaia 60 3 3 3 2" xfId="37638" xr:uid="{00000000-0005-0000-0000-00005B870000}"/>
    <cellStyle name="Migliaia 60 3 3 4" xfId="38593" xr:uid="{00000000-0005-0000-0000-00005C870000}"/>
    <cellStyle name="Migliaia 60 3 4" xfId="12249" xr:uid="{00000000-0005-0000-0000-00005D870000}"/>
    <cellStyle name="Migliaia 60 3 4 2" xfId="20702" xr:uid="{00000000-0005-0000-0000-00005E870000}"/>
    <cellStyle name="Migliaia 60 3 4 2 2" xfId="38019" xr:uid="{00000000-0005-0000-0000-00005F870000}"/>
    <cellStyle name="Migliaia 60 3 4 3" xfId="30434" xr:uid="{00000000-0005-0000-0000-000060870000}"/>
    <cellStyle name="Migliaia 60 3 4 4" xfId="38974" xr:uid="{00000000-0005-0000-0000-000061870000}"/>
    <cellStyle name="Migliaia 60 3 5" xfId="19672" xr:uid="{00000000-0005-0000-0000-000062870000}"/>
    <cellStyle name="Migliaia 60 3 5 2" xfId="37636" xr:uid="{00000000-0005-0000-0000-000063870000}"/>
    <cellStyle name="Migliaia 60 3 6" xfId="3429" xr:uid="{00000000-0005-0000-0000-000064870000}"/>
    <cellStyle name="Migliaia 60 3 6 2" xfId="23429" xr:uid="{00000000-0005-0000-0000-000065870000}"/>
    <cellStyle name="Migliaia 60 3 7" xfId="21745" xr:uid="{00000000-0005-0000-0000-000066870000}"/>
    <cellStyle name="Migliaia 60 3 8" xfId="38591" xr:uid="{00000000-0005-0000-0000-000067870000}"/>
    <cellStyle name="Migliaia 60 3 9" xfId="39333" xr:uid="{00000000-0005-0000-0000-000068870000}"/>
    <cellStyle name="Migliaia 60 4" xfId="817" xr:uid="{00000000-0005-0000-0000-000069870000}"/>
    <cellStyle name="Migliaia 60 4 2" xfId="19676" xr:uid="{00000000-0005-0000-0000-00006A870000}"/>
    <cellStyle name="Migliaia 60 4 2 2" xfId="20705" xr:uid="{00000000-0005-0000-0000-00006B870000}"/>
    <cellStyle name="Migliaia 60 4 2 2 2" xfId="38022" xr:uid="{00000000-0005-0000-0000-00006C870000}"/>
    <cellStyle name="Migliaia 60 4 2 2 3" xfId="38977" xr:uid="{00000000-0005-0000-0000-00006D870000}"/>
    <cellStyle name="Migliaia 60 4 2 3" xfId="37640" xr:uid="{00000000-0005-0000-0000-00006E870000}"/>
    <cellStyle name="Migliaia 60 4 2 4" xfId="38595" xr:uid="{00000000-0005-0000-0000-00006F870000}"/>
    <cellStyle name="Migliaia 60 4 3" xfId="20704" xr:uid="{00000000-0005-0000-0000-000070870000}"/>
    <cellStyle name="Migliaia 60 4 3 2" xfId="38021" xr:uid="{00000000-0005-0000-0000-000071870000}"/>
    <cellStyle name="Migliaia 60 4 3 3" xfId="38976" xr:uid="{00000000-0005-0000-0000-000072870000}"/>
    <cellStyle name="Migliaia 60 4 4" xfId="19675" xr:uid="{00000000-0005-0000-0000-000073870000}"/>
    <cellStyle name="Migliaia 60 4 4 2" xfId="37639" xr:uid="{00000000-0005-0000-0000-000074870000}"/>
    <cellStyle name="Migliaia 60 4 5" xfId="11680" xr:uid="{00000000-0005-0000-0000-000075870000}"/>
    <cellStyle name="Migliaia 60 4 6" xfId="21747" xr:uid="{00000000-0005-0000-0000-000076870000}"/>
    <cellStyle name="Migliaia 60 4 7" xfId="38594" xr:uid="{00000000-0005-0000-0000-000077870000}"/>
    <cellStyle name="Migliaia 60 4 8" xfId="39900" xr:uid="{00000000-0005-0000-0000-000078870000}"/>
    <cellStyle name="Migliaia 60 4 9" xfId="40386" xr:uid="{00000000-0005-0000-0000-000079870000}"/>
    <cellStyle name="Migliaia 60 5" xfId="818" xr:uid="{00000000-0005-0000-0000-00007A870000}"/>
    <cellStyle name="Migliaia 60 5 2" xfId="19677" xr:uid="{00000000-0005-0000-0000-00007B870000}"/>
    <cellStyle name="Migliaia 60 5 2 2" xfId="37641" xr:uid="{00000000-0005-0000-0000-00007C870000}"/>
    <cellStyle name="Migliaia 60 5 3" xfId="11681" xr:uid="{00000000-0005-0000-0000-00007D870000}"/>
    <cellStyle name="Migliaia 60 5 4" xfId="21748" xr:uid="{00000000-0005-0000-0000-00007E870000}"/>
    <cellStyle name="Migliaia 60 5 5" xfId="38596" xr:uid="{00000000-0005-0000-0000-00007F870000}"/>
    <cellStyle name="Migliaia 60 5 6" xfId="39901" xr:uid="{00000000-0005-0000-0000-000080870000}"/>
    <cellStyle name="Migliaia 60 5 7" xfId="40387" xr:uid="{00000000-0005-0000-0000-000081870000}"/>
    <cellStyle name="Migliaia 60 6" xfId="819" xr:uid="{00000000-0005-0000-0000-000082870000}"/>
    <cellStyle name="Migliaia 60 6 2" xfId="11676" xr:uid="{00000000-0005-0000-0000-000083870000}"/>
    <cellStyle name="Migliaia 60 6 3" xfId="21749" xr:uid="{00000000-0005-0000-0000-000084870000}"/>
    <cellStyle name="Migliaia 60 6 4" xfId="39902" xr:uid="{00000000-0005-0000-0000-000085870000}"/>
    <cellStyle name="Migliaia 60 6 5" xfId="40388" xr:uid="{00000000-0005-0000-0000-000086870000}"/>
    <cellStyle name="Migliaia 60 7" xfId="12247" xr:uid="{00000000-0005-0000-0000-000087870000}"/>
    <cellStyle name="Migliaia 60 7 2" xfId="30432" xr:uid="{00000000-0005-0000-0000-000088870000}"/>
    <cellStyle name="Migliaia 60 8" xfId="19670" xr:uid="{00000000-0005-0000-0000-000089870000}"/>
    <cellStyle name="Migliaia 60 8 2" xfId="37634" xr:uid="{00000000-0005-0000-0000-00008A870000}"/>
    <cellStyle name="Migliaia 60 9" xfId="3427" xr:uid="{00000000-0005-0000-0000-00008B870000}"/>
    <cellStyle name="Migliaia 60 9 2" xfId="23427" xr:uid="{00000000-0005-0000-0000-00008C870000}"/>
    <cellStyle name="Migliaia 61" xfId="820" xr:uid="{00000000-0005-0000-0000-00008D870000}"/>
    <cellStyle name="Migliaia 61 10" xfId="21750" xr:uid="{00000000-0005-0000-0000-00008E870000}"/>
    <cellStyle name="Migliaia 61 11" xfId="38597" xr:uid="{00000000-0005-0000-0000-00008F870000}"/>
    <cellStyle name="Migliaia 61 12" xfId="39335" xr:uid="{00000000-0005-0000-0000-000090870000}"/>
    <cellStyle name="Migliaia 61 13" xfId="39903" xr:uid="{00000000-0005-0000-0000-000091870000}"/>
    <cellStyle name="Migliaia 61 14" xfId="40389" xr:uid="{00000000-0005-0000-0000-000092870000}"/>
    <cellStyle name="Migliaia 61 2" xfId="821" xr:uid="{00000000-0005-0000-0000-000093870000}"/>
    <cellStyle name="Migliaia 61 2 10" xfId="39904" xr:uid="{00000000-0005-0000-0000-000094870000}"/>
    <cellStyle name="Migliaia 61 2 11" xfId="40390" xr:uid="{00000000-0005-0000-0000-000095870000}"/>
    <cellStyle name="Migliaia 61 2 2" xfId="3595" xr:uid="{00000000-0005-0000-0000-000096870000}"/>
    <cellStyle name="Migliaia 61 2 2 2" xfId="12356" xr:uid="{00000000-0005-0000-0000-000097870000}"/>
    <cellStyle name="Migliaia 61 2 2 2 2" xfId="30526" xr:uid="{00000000-0005-0000-0000-000098870000}"/>
    <cellStyle name="Migliaia 61 2 2 3" xfId="20706" xr:uid="{00000000-0005-0000-0000-000099870000}"/>
    <cellStyle name="Migliaia 61 2 2 3 2" xfId="38023" xr:uid="{00000000-0005-0000-0000-00009A870000}"/>
    <cellStyle name="Migliaia 61 2 2 4" xfId="23524" xr:uid="{00000000-0005-0000-0000-00009B870000}"/>
    <cellStyle name="Migliaia 61 2 2 5" xfId="38978" xr:uid="{00000000-0005-0000-0000-00009C870000}"/>
    <cellStyle name="Migliaia 61 2 2 6" xfId="39440" xr:uid="{00000000-0005-0000-0000-00009D870000}"/>
    <cellStyle name="Migliaia 61 2 3" xfId="11683" xr:uid="{00000000-0005-0000-0000-00009E870000}"/>
    <cellStyle name="Migliaia 61 2 4" xfId="12252" xr:uid="{00000000-0005-0000-0000-00009F870000}"/>
    <cellStyle name="Migliaia 61 2 4 2" xfId="30437" xr:uid="{00000000-0005-0000-0000-0000A0870000}"/>
    <cellStyle name="Migliaia 61 2 5" xfId="19679" xr:uid="{00000000-0005-0000-0000-0000A1870000}"/>
    <cellStyle name="Migliaia 61 2 5 2" xfId="37643" xr:uid="{00000000-0005-0000-0000-0000A2870000}"/>
    <cellStyle name="Migliaia 61 2 6" xfId="3432" xr:uid="{00000000-0005-0000-0000-0000A3870000}"/>
    <cellStyle name="Migliaia 61 2 6 2" xfId="23432" xr:uid="{00000000-0005-0000-0000-0000A4870000}"/>
    <cellStyle name="Migliaia 61 2 7" xfId="21751" xr:uid="{00000000-0005-0000-0000-0000A5870000}"/>
    <cellStyle name="Migliaia 61 2 8" xfId="38598" xr:uid="{00000000-0005-0000-0000-0000A6870000}"/>
    <cellStyle name="Migliaia 61 2 9" xfId="39336" xr:uid="{00000000-0005-0000-0000-0000A7870000}"/>
    <cellStyle name="Migliaia 61 3" xfId="822" xr:uid="{00000000-0005-0000-0000-0000A8870000}"/>
    <cellStyle name="Migliaia 61 3 10" xfId="39905" xr:uid="{00000000-0005-0000-0000-0000A9870000}"/>
    <cellStyle name="Migliaia 61 3 11" xfId="40391" xr:uid="{00000000-0005-0000-0000-0000AA870000}"/>
    <cellStyle name="Migliaia 61 3 2" xfId="823" xr:uid="{00000000-0005-0000-0000-0000AB870000}"/>
    <cellStyle name="Migliaia 61 3 2 10" xfId="40392" xr:uid="{00000000-0005-0000-0000-0000AC870000}"/>
    <cellStyle name="Migliaia 61 3 2 2" xfId="11685" xr:uid="{00000000-0005-0000-0000-0000AD870000}"/>
    <cellStyle name="Migliaia 61 3 2 3" xfId="12254" xr:uid="{00000000-0005-0000-0000-0000AE870000}"/>
    <cellStyle name="Migliaia 61 3 2 3 2" xfId="30439" xr:uid="{00000000-0005-0000-0000-0000AF870000}"/>
    <cellStyle name="Migliaia 61 3 2 4" xfId="19681" xr:uid="{00000000-0005-0000-0000-0000B0870000}"/>
    <cellStyle name="Migliaia 61 3 2 4 2" xfId="37645" xr:uid="{00000000-0005-0000-0000-0000B1870000}"/>
    <cellStyle name="Migliaia 61 3 2 5" xfId="3434" xr:uid="{00000000-0005-0000-0000-0000B2870000}"/>
    <cellStyle name="Migliaia 61 3 2 5 2" xfId="23434" xr:uid="{00000000-0005-0000-0000-0000B3870000}"/>
    <cellStyle name="Migliaia 61 3 2 6" xfId="21753" xr:uid="{00000000-0005-0000-0000-0000B4870000}"/>
    <cellStyle name="Migliaia 61 3 2 7" xfId="38600" xr:uid="{00000000-0005-0000-0000-0000B5870000}"/>
    <cellStyle name="Migliaia 61 3 2 8" xfId="39338" xr:uid="{00000000-0005-0000-0000-0000B6870000}"/>
    <cellStyle name="Migliaia 61 3 2 9" xfId="39906" xr:uid="{00000000-0005-0000-0000-0000B7870000}"/>
    <cellStyle name="Migliaia 61 3 3" xfId="11684" xr:uid="{00000000-0005-0000-0000-0000B8870000}"/>
    <cellStyle name="Migliaia 61 3 3 2" xfId="20708" xr:uid="{00000000-0005-0000-0000-0000B9870000}"/>
    <cellStyle name="Migliaia 61 3 3 2 2" xfId="38025" xr:uid="{00000000-0005-0000-0000-0000BA870000}"/>
    <cellStyle name="Migliaia 61 3 3 2 3" xfId="38980" xr:uid="{00000000-0005-0000-0000-0000BB870000}"/>
    <cellStyle name="Migliaia 61 3 3 3" xfId="19682" xr:uid="{00000000-0005-0000-0000-0000BC870000}"/>
    <cellStyle name="Migliaia 61 3 3 3 2" xfId="37646" xr:uid="{00000000-0005-0000-0000-0000BD870000}"/>
    <cellStyle name="Migliaia 61 3 3 4" xfId="38601" xr:uid="{00000000-0005-0000-0000-0000BE870000}"/>
    <cellStyle name="Migliaia 61 3 4" xfId="12253" xr:uid="{00000000-0005-0000-0000-0000BF870000}"/>
    <cellStyle name="Migliaia 61 3 4 2" xfId="20707" xr:uid="{00000000-0005-0000-0000-0000C0870000}"/>
    <cellStyle name="Migliaia 61 3 4 2 2" xfId="38024" xr:uid="{00000000-0005-0000-0000-0000C1870000}"/>
    <cellStyle name="Migliaia 61 3 4 3" xfId="30438" xr:uid="{00000000-0005-0000-0000-0000C2870000}"/>
    <cellStyle name="Migliaia 61 3 4 4" xfId="38979" xr:uid="{00000000-0005-0000-0000-0000C3870000}"/>
    <cellStyle name="Migliaia 61 3 5" xfId="19680" xr:uid="{00000000-0005-0000-0000-0000C4870000}"/>
    <cellStyle name="Migliaia 61 3 5 2" xfId="37644" xr:uid="{00000000-0005-0000-0000-0000C5870000}"/>
    <cellStyle name="Migliaia 61 3 6" xfId="3433" xr:uid="{00000000-0005-0000-0000-0000C6870000}"/>
    <cellStyle name="Migliaia 61 3 6 2" xfId="23433" xr:uid="{00000000-0005-0000-0000-0000C7870000}"/>
    <cellStyle name="Migliaia 61 3 7" xfId="21752" xr:uid="{00000000-0005-0000-0000-0000C8870000}"/>
    <cellStyle name="Migliaia 61 3 8" xfId="38599" xr:uid="{00000000-0005-0000-0000-0000C9870000}"/>
    <cellStyle name="Migliaia 61 3 9" xfId="39337" xr:uid="{00000000-0005-0000-0000-0000CA870000}"/>
    <cellStyle name="Migliaia 61 4" xfId="824" xr:uid="{00000000-0005-0000-0000-0000CB870000}"/>
    <cellStyle name="Migliaia 61 4 2" xfId="19684" xr:uid="{00000000-0005-0000-0000-0000CC870000}"/>
    <cellStyle name="Migliaia 61 4 2 2" xfId="20710" xr:uid="{00000000-0005-0000-0000-0000CD870000}"/>
    <cellStyle name="Migliaia 61 4 2 2 2" xfId="38027" xr:uid="{00000000-0005-0000-0000-0000CE870000}"/>
    <cellStyle name="Migliaia 61 4 2 2 3" xfId="38982" xr:uid="{00000000-0005-0000-0000-0000CF870000}"/>
    <cellStyle name="Migliaia 61 4 2 3" xfId="37648" xr:uid="{00000000-0005-0000-0000-0000D0870000}"/>
    <cellStyle name="Migliaia 61 4 2 4" xfId="38603" xr:uid="{00000000-0005-0000-0000-0000D1870000}"/>
    <cellStyle name="Migliaia 61 4 3" xfId="20709" xr:uid="{00000000-0005-0000-0000-0000D2870000}"/>
    <cellStyle name="Migliaia 61 4 3 2" xfId="38026" xr:uid="{00000000-0005-0000-0000-0000D3870000}"/>
    <cellStyle name="Migliaia 61 4 3 3" xfId="38981" xr:uid="{00000000-0005-0000-0000-0000D4870000}"/>
    <cellStyle name="Migliaia 61 4 4" xfId="19683" xr:uid="{00000000-0005-0000-0000-0000D5870000}"/>
    <cellStyle name="Migliaia 61 4 4 2" xfId="37647" xr:uid="{00000000-0005-0000-0000-0000D6870000}"/>
    <cellStyle name="Migliaia 61 4 5" xfId="11686" xr:uid="{00000000-0005-0000-0000-0000D7870000}"/>
    <cellStyle name="Migliaia 61 4 6" xfId="21754" xr:uid="{00000000-0005-0000-0000-0000D8870000}"/>
    <cellStyle name="Migliaia 61 4 7" xfId="38602" xr:uid="{00000000-0005-0000-0000-0000D9870000}"/>
    <cellStyle name="Migliaia 61 4 8" xfId="39907" xr:uid="{00000000-0005-0000-0000-0000DA870000}"/>
    <cellStyle name="Migliaia 61 4 9" xfId="40393" xr:uid="{00000000-0005-0000-0000-0000DB870000}"/>
    <cellStyle name="Migliaia 61 5" xfId="825" xr:uid="{00000000-0005-0000-0000-0000DC870000}"/>
    <cellStyle name="Migliaia 61 5 2" xfId="19685" xr:uid="{00000000-0005-0000-0000-0000DD870000}"/>
    <cellStyle name="Migliaia 61 5 2 2" xfId="37649" xr:uid="{00000000-0005-0000-0000-0000DE870000}"/>
    <cellStyle name="Migliaia 61 5 3" xfId="11687" xr:uid="{00000000-0005-0000-0000-0000DF870000}"/>
    <cellStyle name="Migliaia 61 5 4" xfId="21755" xr:uid="{00000000-0005-0000-0000-0000E0870000}"/>
    <cellStyle name="Migliaia 61 5 5" xfId="38604" xr:uid="{00000000-0005-0000-0000-0000E1870000}"/>
    <cellStyle name="Migliaia 61 5 6" xfId="39908" xr:uid="{00000000-0005-0000-0000-0000E2870000}"/>
    <cellStyle name="Migliaia 61 5 7" xfId="40394" xr:uid="{00000000-0005-0000-0000-0000E3870000}"/>
    <cellStyle name="Migliaia 61 6" xfId="826" xr:uid="{00000000-0005-0000-0000-0000E4870000}"/>
    <cellStyle name="Migliaia 61 6 2" xfId="11682" xr:uid="{00000000-0005-0000-0000-0000E5870000}"/>
    <cellStyle name="Migliaia 61 6 3" xfId="21756" xr:uid="{00000000-0005-0000-0000-0000E6870000}"/>
    <cellStyle name="Migliaia 61 6 4" xfId="39909" xr:uid="{00000000-0005-0000-0000-0000E7870000}"/>
    <cellStyle name="Migliaia 61 6 5" xfId="40395" xr:uid="{00000000-0005-0000-0000-0000E8870000}"/>
    <cellStyle name="Migliaia 61 7" xfId="12251" xr:uid="{00000000-0005-0000-0000-0000E9870000}"/>
    <cellStyle name="Migliaia 61 7 2" xfId="30436" xr:uid="{00000000-0005-0000-0000-0000EA870000}"/>
    <cellStyle name="Migliaia 61 8" xfId="19678" xr:uid="{00000000-0005-0000-0000-0000EB870000}"/>
    <cellStyle name="Migliaia 61 8 2" xfId="37642" xr:uid="{00000000-0005-0000-0000-0000EC870000}"/>
    <cellStyle name="Migliaia 61 9" xfId="3431" xr:uid="{00000000-0005-0000-0000-0000ED870000}"/>
    <cellStyle name="Migliaia 61 9 2" xfId="23431" xr:uid="{00000000-0005-0000-0000-0000EE870000}"/>
    <cellStyle name="Migliaia 7" xfId="827" xr:uid="{00000000-0005-0000-0000-0000EF870000}"/>
    <cellStyle name="Migliaia 7 10" xfId="21757" xr:uid="{00000000-0005-0000-0000-0000F0870000}"/>
    <cellStyle name="Migliaia 7 11" xfId="38605" xr:uid="{00000000-0005-0000-0000-0000F1870000}"/>
    <cellStyle name="Migliaia 7 12" xfId="39339" xr:uid="{00000000-0005-0000-0000-0000F2870000}"/>
    <cellStyle name="Migliaia 7 13" xfId="39910" xr:uid="{00000000-0005-0000-0000-0000F3870000}"/>
    <cellStyle name="Migliaia 7 14" xfId="40396" xr:uid="{00000000-0005-0000-0000-0000F4870000}"/>
    <cellStyle name="Migliaia 7 2" xfId="828" xr:uid="{00000000-0005-0000-0000-0000F5870000}"/>
    <cellStyle name="Migliaia 7 2 10" xfId="39911" xr:uid="{00000000-0005-0000-0000-0000F6870000}"/>
    <cellStyle name="Migliaia 7 2 11" xfId="40397" xr:uid="{00000000-0005-0000-0000-0000F7870000}"/>
    <cellStyle name="Migliaia 7 2 2" xfId="3596" xr:uid="{00000000-0005-0000-0000-0000F8870000}"/>
    <cellStyle name="Migliaia 7 2 2 2" xfId="12357" xr:uid="{00000000-0005-0000-0000-0000F9870000}"/>
    <cellStyle name="Migliaia 7 2 2 2 2" xfId="30527" xr:uid="{00000000-0005-0000-0000-0000FA870000}"/>
    <cellStyle name="Migliaia 7 2 2 3" xfId="20711" xr:uid="{00000000-0005-0000-0000-0000FB870000}"/>
    <cellStyle name="Migliaia 7 2 2 3 2" xfId="38028" xr:uid="{00000000-0005-0000-0000-0000FC870000}"/>
    <cellStyle name="Migliaia 7 2 2 4" xfId="23525" xr:uid="{00000000-0005-0000-0000-0000FD870000}"/>
    <cellStyle name="Migliaia 7 2 2 5" xfId="38983" xr:uid="{00000000-0005-0000-0000-0000FE870000}"/>
    <cellStyle name="Migliaia 7 2 2 6" xfId="39441" xr:uid="{00000000-0005-0000-0000-0000FF870000}"/>
    <cellStyle name="Migliaia 7 2 3" xfId="11689" xr:uid="{00000000-0005-0000-0000-000000880000}"/>
    <cellStyle name="Migliaia 7 2 4" xfId="12256" xr:uid="{00000000-0005-0000-0000-000001880000}"/>
    <cellStyle name="Migliaia 7 2 4 2" xfId="30441" xr:uid="{00000000-0005-0000-0000-000002880000}"/>
    <cellStyle name="Migliaia 7 2 5" xfId="19687" xr:uid="{00000000-0005-0000-0000-000003880000}"/>
    <cellStyle name="Migliaia 7 2 5 2" xfId="37651" xr:uid="{00000000-0005-0000-0000-000004880000}"/>
    <cellStyle name="Migliaia 7 2 6" xfId="3436" xr:uid="{00000000-0005-0000-0000-000005880000}"/>
    <cellStyle name="Migliaia 7 2 6 2" xfId="23436" xr:uid="{00000000-0005-0000-0000-000006880000}"/>
    <cellStyle name="Migliaia 7 2 7" xfId="21758" xr:uid="{00000000-0005-0000-0000-000007880000}"/>
    <cellStyle name="Migliaia 7 2 8" xfId="38606" xr:uid="{00000000-0005-0000-0000-000008880000}"/>
    <cellStyle name="Migliaia 7 2 9" xfId="39340" xr:uid="{00000000-0005-0000-0000-000009880000}"/>
    <cellStyle name="Migliaia 7 3" xfId="829" xr:uid="{00000000-0005-0000-0000-00000A880000}"/>
    <cellStyle name="Migliaia 7 3 10" xfId="39912" xr:uid="{00000000-0005-0000-0000-00000B880000}"/>
    <cellStyle name="Migliaia 7 3 11" xfId="40398" xr:uid="{00000000-0005-0000-0000-00000C880000}"/>
    <cellStyle name="Migliaia 7 3 2" xfId="830" xr:uid="{00000000-0005-0000-0000-00000D880000}"/>
    <cellStyle name="Migliaia 7 3 2 10" xfId="40399" xr:uid="{00000000-0005-0000-0000-00000E880000}"/>
    <cellStyle name="Migliaia 7 3 2 2" xfId="11691" xr:uid="{00000000-0005-0000-0000-00000F880000}"/>
    <cellStyle name="Migliaia 7 3 2 3" xfId="12258" xr:uid="{00000000-0005-0000-0000-000010880000}"/>
    <cellStyle name="Migliaia 7 3 2 3 2" xfId="30443" xr:uid="{00000000-0005-0000-0000-000011880000}"/>
    <cellStyle name="Migliaia 7 3 2 4" xfId="19689" xr:uid="{00000000-0005-0000-0000-000012880000}"/>
    <cellStyle name="Migliaia 7 3 2 4 2" xfId="37653" xr:uid="{00000000-0005-0000-0000-000013880000}"/>
    <cellStyle name="Migliaia 7 3 2 5" xfId="3438" xr:uid="{00000000-0005-0000-0000-000014880000}"/>
    <cellStyle name="Migliaia 7 3 2 5 2" xfId="23438" xr:uid="{00000000-0005-0000-0000-000015880000}"/>
    <cellStyle name="Migliaia 7 3 2 6" xfId="21760" xr:uid="{00000000-0005-0000-0000-000016880000}"/>
    <cellStyle name="Migliaia 7 3 2 7" xfId="38608" xr:uid="{00000000-0005-0000-0000-000017880000}"/>
    <cellStyle name="Migliaia 7 3 2 8" xfId="39342" xr:uid="{00000000-0005-0000-0000-000018880000}"/>
    <cellStyle name="Migliaia 7 3 2 9" xfId="39913" xr:uid="{00000000-0005-0000-0000-000019880000}"/>
    <cellStyle name="Migliaia 7 3 3" xfId="11690" xr:uid="{00000000-0005-0000-0000-00001A880000}"/>
    <cellStyle name="Migliaia 7 3 3 2" xfId="20713" xr:uid="{00000000-0005-0000-0000-00001B880000}"/>
    <cellStyle name="Migliaia 7 3 3 2 2" xfId="38030" xr:uid="{00000000-0005-0000-0000-00001C880000}"/>
    <cellStyle name="Migliaia 7 3 3 2 3" xfId="38985" xr:uid="{00000000-0005-0000-0000-00001D880000}"/>
    <cellStyle name="Migliaia 7 3 3 3" xfId="19690" xr:uid="{00000000-0005-0000-0000-00001E880000}"/>
    <cellStyle name="Migliaia 7 3 3 3 2" xfId="37654" xr:uid="{00000000-0005-0000-0000-00001F880000}"/>
    <cellStyle name="Migliaia 7 3 3 4" xfId="38609" xr:uid="{00000000-0005-0000-0000-000020880000}"/>
    <cellStyle name="Migliaia 7 3 4" xfId="12257" xr:uid="{00000000-0005-0000-0000-000021880000}"/>
    <cellStyle name="Migliaia 7 3 4 2" xfId="20712" xr:uid="{00000000-0005-0000-0000-000022880000}"/>
    <cellStyle name="Migliaia 7 3 4 2 2" xfId="38029" xr:uid="{00000000-0005-0000-0000-000023880000}"/>
    <cellStyle name="Migliaia 7 3 4 3" xfId="30442" xr:uid="{00000000-0005-0000-0000-000024880000}"/>
    <cellStyle name="Migliaia 7 3 4 4" xfId="38984" xr:uid="{00000000-0005-0000-0000-000025880000}"/>
    <cellStyle name="Migliaia 7 3 5" xfId="19688" xr:uid="{00000000-0005-0000-0000-000026880000}"/>
    <cellStyle name="Migliaia 7 3 5 2" xfId="37652" xr:uid="{00000000-0005-0000-0000-000027880000}"/>
    <cellStyle name="Migliaia 7 3 6" xfId="3437" xr:uid="{00000000-0005-0000-0000-000028880000}"/>
    <cellStyle name="Migliaia 7 3 6 2" xfId="23437" xr:uid="{00000000-0005-0000-0000-000029880000}"/>
    <cellStyle name="Migliaia 7 3 7" xfId="21759" xr:uid="{00000000-0005-0000-0000-00002A880000}"/>
    <cellStyle name="Migliaia 7 3 8" xfId="38607" xr:uid="{00000000-0005-0000-0000-00002B880000}"/>
    <cellStyle name="Migliaia 7 3 9" xfId="39341" xr:uid="{00000000-0005-0000-0000-00002C880000}"/>
    <cellStyle name="Migliaia 7 4" xfId="831" xr:uid="{00000000-0005-0000-0000-00002D880000}"/>
    <cellStyle name="Migliaia 7 4 2" xfId="19692" xr:uid="{00000000-0005-0000-0000-00002E880000}"/>
    <cellStyle name="Migliaia 7 4 2 2" xfId="20715" xr:uid="{00000000-0005-0000-0000-00002F880000}"/>
    <cellStyle name="Migliaia 7 4 2 2 2" xfId="38032" xr:uid="{00000000-0005-0000-0000-000030880000}"/>
    <cellStyle name="Migliaia 7 4 2 2 3" xfId="38987" xr:uid="{00000000-0005-0000-0000-000031880000}"/>
    <cellStyle name="Migliaia 7 4 2 3" xfId="37656" xr:uid="{00000000-0005-0000-0000-000032880000}"/>
    <cellStyle name="Migliaia 7 4 2 4" xfId="38611" xr:uid="{00000000-0005-0000-0000-000033880000}"/>
    <cellStyle name="Migliaia 7 4 3" xfId="20714" xr:uid="{00000000-0005-0000-0000-000034880000}"/>
    <cellStyle name="Migliaia 7 4 3 2" xfId="38031" xr:uid="{00000000-0005-0000-0000-000035880000}"/>
    <cellStyle name="Migliaia 7 4 3 3" xfId="38986" xr:uid="{00000000-0005-0000-0000-000036880000}"/>
    <cellStyle name="Migliaia 7 4 4" xfId="19691" xr:uid="{00000000-0005-0000-0000-000037880000}"/>
    <cellStyle name="Migliaia 7 4 4 2" xfId="37655" xr:uid="{00000000-0005-0000-0000-000038880000}"/>
    <cellStyle name="Migliaia 7 4 5" xfId="11692" xr:uid="{00000000-0005-0000-0000-000039880000}"/>
    <cellStyle name="Migliaia 7 4 6" xfId="21761" xr:uid="{00000000-0005-0000-0000-00003A880000}"/>
    <cellStyle name="Migliaia 7 4 7" xfId="38610" xr:uid="{00000000-0005-0000-0000-00003B880000}"/>
    <cellStyle name="Migliaia 7 4 8" xfId="39914" xr:uid="{00000000-0005-0000-0000-00003C880000}"/>
    <cellStyle name="Migliaia 7 4 9" xfId="40400" xr:uid="{00000000-0005-0000-0000-00003D880000}"/>
    <cellStyle name="Migliaia 7 5" xfId="832" xr:uid="{00000000-0005-0000-0000-00003E880000}"/>
    <cellStyle name="Migliaia 7 5 2" xfId="19693" xr:uid="{00000000-0005-0000-0000-00003F880000}"/>
    <cellStyle name="Migliaia 7 5 2 2" xfId="37657" xr:uid="{00000000-0005-0000-0000-000040880000}"/>
    <cellStyle name="Migliaia 7 5 3" xfId="11693" xr:uid="{00000000-0005-0000-0000-000041880000}"/>
    <cellStyle name="Migliaia 7 5 4" xfId="21762" xr:uid="{00000000-0005-0000-0000-000042880000}"/>
    <cellStyle name="Migliaia 7 5 5" xfId="38612" xr:uid="{00000000-0005-0000-0000-000043880000}"/>
    <cellStyle name="Migliaia 7 5 6" xfId="39915" xr:uid="{00000000-0005-0000-0000-000044880000}"/>
    <cellStyle name="Migliaia 7 5 7" xfId="40401" xr:uid="{00000000-0005-0000-0000-000045880000}"/>
    <cellStyle name="Migliaia 7 6" xfId="833" xr:uid="{00000000-0005-0000-0000-000046880000}"/>
    <cellStyle name="Migliaia 7 6 2" xfId="11688" xr:uid="{00000000-0005-0000-0000-000047880000}"/>
    <cellStyle name="Migliaia 7 6 3" xfId="21763" xr:uid="{00000000-0005-0000-0000-000048880000}"/>
    <cellStyle name="Migliaia 7 6 4" xfId="39916" xr:uid="{00000000-0005-0000-0000-000049880000}"/>
    <cellStyle name="Migliaia 7 6 5" xfId="40402" xr:uid="{00000000-0005-0000-0000-00004A880000}"/>
    <cellStyle name="Migliaia 7 7" xfId="12255" xr:uid="{00000000-0005-0000-0000-00004B880000}"/>
    <cellStyle name="Migliaia 7 7 2" xfId="30440" xr:uid="{00000000-0005-0000-0000-00004C880000}"/>
    <cellStyle name="Migliaia 7 8" xfId="19686" xr:uid="{00000000-0005-0000-0000-00004D880000}"/>
    <cellStyle name="Migliaia 7 8 2" xfId="37650" xr:uid="{00000000-0005-0000-0000-00004E880000}"/>
    <cellStyle name="Migliaia 7 9" xfId="3435" xr:uid="{00000000-0005-0000-0000-00004F880000}"/>
    <cellStyle name="Migliaia 7 9 2" xfId="23435" xr:uid="{00000000-0005-0000-0000-000050880000}"/>
    <cellStyle name="Migliaia 8" xfId="834" xr:uid="{00000000-0005-0000-0000-000051880000}"/>
    <cellStyle name="Migliaia 8 10" xfId="21764" xr:uid="{00000000-0005-0000-0000-000052880000}"/>
    <cellStyle name="Migliaia 8 11" xfId="38613" xr:uid="{00000000-0005-0000-0000-000053880000}"/>
    <cellStyle name="Migliaia 8 12" xfId="39343" xr:uid="{00000000-0005-0000-0000-000054880000}"/>
    <cellStyle name="Migliaia 8 13" xfId="39917" xr:uid="{00000000-0005-0000-0000-000055880000}"/>
    <cellStyle name="Migliaia 8 14" xfId="40403" xr:uid="{00000000-0005-0000-0000-000056880000}"/>
    <cellStyle name="Migliaia 8 2" xfId="835" xr:uid="{00000000-0005-0000-0000-000057880000}"/>
    <cellStyle name="Migliaia 8 2 10" xfId="39918" xr:uid="{00000000-0005-0000-0000-000058880000}"/>
    <cellStyle name="Migliaia 8 2 11" xfId="40404" xr:uid="{00000000-0005-0000-0000-000059880000}"/>
    <cellStyle name="Migliaia 8 2 2" xfId="3597" xr:uid="{00000000-0005-0000-0000-00005A880000}"/>
    <cellStyle name="Migliaia 8 2 2 2" xfId="12358" xr:uid="{00000000-0005-0000-0000-00005B880000}"/>
    <cellStyle name="Migliaia 8 2 2 2 2" xfId="30528" xr:uid="{00000000-0005-0000-0000-00005C880000}"/>
    <cellStyle name="Migliaia 8 2 2 3" xfId="20716" xr:uid="{00000000-0005-0000-0000-00005D880000}"/>
    <cellStyle name="Migliaia 8 2 2 3 2" xfId="38033" xr:uid="{00000000-0005-0000-0000-00005E880000}"/>
    <cellStyle name="Migliaia 8 2 2 4" xfId="23526" xr:uid="{00000000-0005-0000-0000-00005F880000}"/>
    <cellStyle name="Migliaia 8 2 2 5" xfId="38988" xr:uid="{00000000-0005-0000-0000-000060880000}"/>
    <cellStyle name="Migliaia 8 2 2 6" xfId="39442" xr:uid="{00000000-0005-0000-0000-000061880000}"/>
    <cellStyle name="Migliaia 8 2 3" xfId="11695" xr:uid="{00000000-0005-0000-0000-000062880000}"/>
    <cellStyle name="Migliaia 8 2 4" xfId="12260" xr:uid="{00000000-0005-0000-0000-000063880000}"/>
    <cellStyle name="Migliaia 8 2 4 2" xfId="30445" xr:uid="{00000000-0005-0000-0000-000064880000}"/>
    <cellStyle name="Migliaia 8 2 5" xfId="19695" xr:uid="{00000000-0005-0000-0000-000065880000}"/>
    <cellStyle name="Migliaia 8 2 5 2" xfId="37659" xr:uid="{00000000-0005-0000-0000-000066880000}"/>
    <cellStyle name="Migliaia 8 2 6" xfId="3440" xr:uid="{00000000-0005-0000-0000-000067880000}"/>
    <cellStyle name="Migliaia 8 2 6 2" xfId="23440" xr:uid="{00000000-0005-0000-0000-000068880000}"/>
    <cellStyle name="Migliaia 8 2 7" xfId="21765" xr:uid="{00000000-0005-0000-0000-000069880000}"/>
    <cellStyle name="Migliaia 8 2 8" xfId="38614" xr:uid="{00000000-0005-0000-0000-00006A880000}"/>
    <cellStyle name="Migliaia 8 2 9" xfId="39344" xr:uid="{00000000-0005-0000-0000-00006B880000}"/>
    <cellStyle name="Migliaia 8 3" xfId="836" xr:uid="{00000000-0005-0000-0000-00006C880000}"/>
    <cellStyle name="Migliaia 8 3 10" xfId="39919" xr:uid="{00000000-0005-0000-0000-00006D880000}"/>
    <cellStyle name="Migliaia 8 3 11" xfId="40405" xr:uid="{00000000-0005-0000-0000-00006E880000}"/>
    <cellStyle name="Migliaia 8 3 2" xfId="837" xr:uid="{00000000-0005-0000-0000-00006F880000}"/>
    <cellStyle name="Migliaia 8 3 2 10" xfId="40406" xr:uid="{00000000-0005-0000-0000-000070880000}"/>
    <cellStyle name="Migliaia 8 3 2 2" xfId="11697" xr:uid="{00000000-0005-0000-0000-000071880000}"/>
    <cellStyle name="Migliaia 8 3 2 3" xfId="12262" xr:uid="{00000000-0005-0000-0000-000072880000}"/>
    <cellStyle name="Migliaia 8 3 2 3 2" xfId="30447" xr:uid="{00000000-0005-0000-0000-000073880000}"/>
    <cellStyle name="Migliaia 8 3 2 4" xfId="19697" xr:uid="{00000000-0005-0000-0000-000074880000}"/>
    <cellStyle name="Migliaia 8 3 2 4 2" xfId="37661" xr:uid="{00000000-0005-0000-0000-000075880000}"/>
    <cellStyle name="Migliaia 8 3 2 5" xfId="3442" xr:uid="{00000000-0005-0000-0000-000076880000}"/>
    <cellStyle name="Migliaia 8 3 2 5 2" xfId="23442" xr:uid="{00000000-0005-0000-0000-000077880000}"/>
    <cellStyle name="Migliaia 8 3 2 6" xfId="21767" xr:uid="{00000000-0005-0000-0000-000078880000}"/>
    <cellStyle name="Migliaia 8 3 2 7" xfId="38616" xr:uid="{00000000-0005-0000-0000-000079880000}"/>
    <cellStyle name="Migliaia 8 3 2 8" xfId="39346" xr:uid="{00000000-0005-0000-0000-00007A880000}"/>
    <cellStyle name="Migliaia 8 3 2 9" xfId="39920" xr:uid="{00000000-0005-0000-0000-00007B880000}"/>
    <cellStyle name="Migliaia 8 3 3" xfId="11696" xr:uid="{00000000-0005-0000-0000-00007C880000}"/>
    <cellStyle name="Migliaia 8 3 3 2" xfId="20718" xr:uid="{00000000-0005-0000-0000-00007D880000}"/>
    <cellStyle name="Migliaia 8 3 3 2 2" xfId="38035" xr:uid="{00000000-0005-0000-0000-00007E880000}"/>
    <cellStyle name="Migliaia 8 3 3 2 3" xfId="38990" xr:uid="{00000000-0005-0000-0000-00007F880000}"/>
    <cellStyle name="Migliaia 8 3 3 3" xfId="19698" xr:uid="{00000000-0005-0000-0000-000080880000}"/>
    <cellStyle name="Migliaia 8 3 3 3 2" xfId="37662" xr:uid="{00000000-0005-0000-0000-000081880000}"/>
    <cellStyle name="Migliaia 8 3 3 4" xfId="38617" xr:uid="{00000000-0005-0000-0000-000082880000}"/>
    <cellStyle name="Migliaia 8 3 4" xfId="12261" xr:uid="{00000000-0005-0000-0000-000083880000}"/>
    <cellStyle name="Migliaia 8 3 4 2" xfId="20717" xr:uid="{00000000-0005-0000-0000-000084880000}"/>
    <cellStyle name="Migliaia 8 3 4 2 2" xfId="38034" xr:uid="{00000000-0005-0000-0000-000085880000}"/>
    <cellStyle name="Migliaia 8 3 4 3" xfId="30446" xr:uid="{00000000-0005-0000-0000-000086880000}"/>
    <cellStyle name="Migliaia 8 3 4 4" xfId="38989" xr:uid="{00000000-0005-0000-0000-000087880000}"/>
    <cellStyle name="Migliaia 8 3 5" xfId="19696" xr:uid="{00000000-0005-0000-0000-000088880000}"/>
    <cellStyle name="Migliaia 8 3 5 2" xfId="37660" xr:uid="{00000000-0005-0000-0000-000089880000}"/>
    <cellStyle name="Migliaia 8 3 6" xfId="3441" xr:uid="{00000000-0005-0000-0000-00008A880000}"/>
    <cellStyle name="Migliaia 8 3 6 2" xfId="23441" xr:uid="{00000000-0005-0000-0000-00008B880000}"/>
    <cellStyle name="Migliaia 8 3 7" xfId="21766" xr:uid="{00000000-0005-0000-0000-00008C880000}"/>
    <cellStyle name="Migliaia 8 3 8" xfId="38615" xr:uid="{00000000-0005-0000-0000-00008D880000}"/>
    <cellStyle name="Migliaia 8 3 9" xfId="39345" xr:uid="{00000000-0005-0000-0000-00008E880000}"/>
    <cellStyle name="Migliaia 8 4" xfId="838" xr:uid="{00000000-0005-0000-0000-00008F880000}"/>
    <cellStyle name="Migliaia 8 4 2" xfId="19700" xr:uid="{00000000-0005-0000-0000-000090880000}"/>
    <cellStyle name="Migliaia 8 4 2 2" xfId="20720" xr:uid="{00000000-0005-0000-0000-000091880000}"/>
    <cellStyle name="Migliaia 8 4 2 2 2" xfId="38037" xr:uid="{00000000-0005-0000-0000-000092880000}"/>
    <cellStyle name="Migliaia 8 4 2 2 3" xfId="38992" xr:uid="{00000000-0005-0000-0000-000093880000}"/>
    <cellStyle name="Migliaia 8 4 2 3" xfId="37664" xr:uid="{00000000-0005-0000-0000-000094880000}"/>
    <cellStyle name="Migliaia 8 4 2 4" xfId="38619" xr:uid="{00000000-0005-0000-0000-000095880000}"/>
    <cellStyle name="Migliaia 8 4 3" xfId="20719" xr:uid="{00000000-0005-0000-0000-000096880000}"/>
    <cellStyle name="Migliaia 8 4 3 2" xfId="38036" xr:uid="{00000000-0005-0000-0000-000097880000}"/>
    <cellStyle name="Migliaia 8 4 3 3" xfId="38991" xr:uid="{00000000-0005-0000-0000-000098880000}"/>
    <cellStyle name="Migliaia 8 4 4" xfId="19699" xr:uid="{00000000-0005-0000-0000-000099880000}"/>
    <cellStyle name="Migliaia 8 4 4 2" xfId="37663" xr:uid="{00000000-0005-0000-0000-00009A880000}"/>
    <cellStyle name="Migliaia 8 4 5" xfId="11698" xr:uid="{00000000-0005-0000-0000-00009B880000}"/>
    <cellStyle name="Migliaia 8 4 6" xfId="21768" xr:uid="{00000000-0005-0000-0000-00009C880000}"/>
    <cellStyle name="Migliaia 8 4 7" xfId="38618" xr:uid="{00000000-0005-0000-0000-00009D880000}"/>
    <cellStyle name="Migliaia 8 4 8" xfId="39921" xr:uid="{00000000-0005-0000-0000-00009E880000}"/>
    <cellStyle name="Migliaia 8 4 9" xfId="40407" xr:uid="{00000000-0005-0000-0000-00009F880000}"/>
    <cellStyle name="Migliaia 8 5" xfId="839" xr:uid="{00000000-0005-0000-0000-0000A0880000}"/>
    <cellStyle name="Migliaia 8 5 2" xfId="19701" xr:uid="{00000000-0005-0000-0000-0000A1880000}"/>
    <cellStyle name="Migliaia 8 5 2 2" xfId="37665" xr:uid="{00000000-0005-0000-0000-0000A2880000}"/>
    <cellStyle name="Migliaia 8 5 3" xfId="11699" xr:uid="{00000000-0005-0000-0000-0000A3880000}"/>
    <cellStyle name="Migliaia 8 5 4" xfId="21769" xr:uid="{00000000-0005-0000-0000-0000A4880000}"/>
    <cellStyle name="Migliaia 8 5 5" xfId="38620" xr:uid="{00000000-0005-0000-0000-0000A5880000}"/>
    <cellStyle name="Migliaia 8 5 6" xfId="39922" xr:uid="{00000000-0005-0000-0000-0000A6880000}"/>
    <cellStyle name="Migliaia 8 5 7" xfId="40408" xr:uid="{00000000-0005-0000-0000-0000A7880000}"/>
    <cellStyle name="Migliaia 8 6" xfId="840" xr:uid="{00000000-0005-0000-0000-0000A8880000}"/>
    <cellStyle name="Migliaia 8 6 2" xfId="11694" xr:uid="{00000000-0005-0000-0000-0000A9880000}"/>
    <cellStyle name="Migliaia 8 6 3" xfId="21770" xr:uid="{00000000-0005-0000-0000-0000AA880000}"/>
    <cellStyle name="Migliaia 8 6 4" xfId="39923" xr:uid="{00000000-0005-0000-0000-0000AB880000}"/>
    <cellStyle name="Migliaia 8 6 5" xfId="40409" xr:uid="{00000000-0005-0000-0000-0000AC880000}"/>
    <cellStyle name="Migliaia 8 7" xfId="12259" xr:uid="{00000000-0005-0000-0000-0000AD880000}"/>
    <cellStyle name="Migliaia 8 7 2" xfId="30444" xr:uid="{00000000-0005-0000-0000-0000AE880000}"/>
    <cellStyle name="Migliaia 8 8" xfId="19694" xr:uid="{00000000-0005-0000-0000-0000AF880000}"/>
    <cellStyle name="Migliaia 8 8 2" xfId="37658" xr:uid="{00000000-0005-0000-0000-0000B0880000}"/>
    <cellStyle name="Migliaia 8 9" xfId="3439" xr:uid="{00000000-0005-0000-0000-0000B1880000}"/>
    <cellStyle name="Migliaia 8 9 2" xfId="23439" xr:uid="{00000000-0005-0000-0000-0000B2880000}"/>
    <cellStyle name="Migliaia 9" xfId="841" xr:uid="{00000000-0005-0000-0000-0000B3880000}"/>
    <cellStyle name="Migliaia 9 10" xfId="21771" xr:uid="{00000000-0005-0000-0000-0000B4880000}"/>
    <cellStyle name="Migliaia 9 11" xfId="38621" xr:uid="{00000000-0005-0000-0000-0000B5880000}"/>
    <cellStyle name="Migliaia 9 12" xfId="39347" xr:uid="{00000000-0005-0000-0000-0000B6880000}"/>
    <cellStyle name="Migliaia 9 13" xfId="39924" xr:uid="{00000000-0005-0000-0000-0000B7880000}"/>
    <cellStyle name="Migliaia 9 14" xfId="40410" xr:uid="{00000000-0005-0000-0000-0000B8880000}"/>
    <cellStyle name="Migliaia 9 2" xfId="842" xr:uid="{00000000-0005-0000-0000-0000B9880000}"/>
    <cellStyle name="Migliaia 9 2 10" xfId="39925" xr:uid="{00000000-0005-0000-0000-0000BA880000}"/>
    <cellStyle name="Migliaia 9 2 11" xfId="40411" xr:uid="{00000000-0005-0000-0000-0000BB880000}"/>
    <cellStyle name="Migliaia 9 2 2" xfId="3598" xr:uid="{00000000-0005-0000-0000-0000BC880000}"/>
    <cellStyle name="Migliaia 9 2 2 2" xfId="12359" xr:uid="{00000000-0005-0000-0000-0000BD880000}"/>
    <cellStyle name="Migliaia 9 2 2 2 2" xfId="30529" xr:uid="{00000000-0005-0000-0000-0000BE880000}"/>
    <cellStyle name="Migliaia 9 2 2 3" xfId="20721" xr:uid="{00000000-0005-0000-0000-0000BF880000}"/>
    <cellStyle name="Migliaia 9 2 2 3 2" xfId="38038" xr:uid="{00000000-0005-0000-0000-0000C0880000}"/>
    <cellStyle name="Migliaia 9 2 2 4" xfId="23527" xr:uid="{00000000-0005-0000-0000-0000C1880000}"/>
    <cellStyle name="Migliaia 9 2 2 5" xfId="38993" xr:uid="{00000000-0005-0000-0000-0000C2880000}"/>
    <cellStyle name="Migliaia 9 2 2 6" xfId="39443" xr:uid="{00000000-0005-0000-0000-0000C3880000}"/>
    <cellStyle name="Migliaia 9 2 3" xfId="11701" xr:uid="{00000000-0005-0000-0000-0000C4880000}"/>
    <cellStyle name="Migliaia 9 2 4" xfId="12264" xr:uid="{00000000-0005-0000-0000-0000C5880000}"/>
    <cellStyle name="Migliaia 9 2 4 2" xfId="30449" xr:uid="{00000000-0005-0000-0000-0000C6880000}"/>
    <cellStyle name="Migliaia 9 2 5" xfId="19703" xr:uid="{00000000-0005-0000-0000-0000C7880000}"/>
    <cellStyle name="Migliaia 9 2 5 2" xfId="37667" xr:uid="{00000000-0005-0000-0000-0000C8880000}"/>
    <cellStyle name="Migliaia 9 2 6" xfId="3444" xr:uid="{00000000-0005-0000-0000-0000C9880000}"/>
    <cellStyle name="Migliaia 9 2 6 2" xfId="23444" xr:uid="{00000000-0005-0000-0000-0000CA880000}"/>
    <cellStyle name="Migliaia 9 2 7" xfId="21772" xr:uid="{00000000-0005-0000-0000-0000CB880000}"/>
    <cellStyle name="Migliaia 9 2 8" xfId="38622" xr:uid="{00000000-0005-0000-0000-0000CC880000}"/>
    <cellStyle name="Migliaia 9 2 9" xfId="39348" xr:uid="{00000000-0005-0000-0000-0000CD880000}"/>
    <cellStyle name="Migliaia 9 3" xfId="843" xr:uid="{00000000-0005-0000-0000-0000CE880000}"/>
    <cellStyle name="Migliaia 9 3 10" xfId="39926" xr:uid="{00000000-0005-0000-0000-0000CF880000}"/>
    <cellStyle name="Migliaia 9 3 11" xfId="40412" xr:uid="{00000000-0005-0000-0000-0000D0880000}"/>
    <cellStyle name="Migliaia 9 3 2" xfId="844" xr:uid="{00000000-0005-0000-0000-0000D1880000}"/>
    <cellStyle name="Migliaia 9 3 2 10" xfId="40413" xr:uid="{00000000-0005-0000-0000-0000D2880000}"/>
    <cellStyle name="Migliaia 9 3 2 2" xfId="11703" xr:uid="{00000000-0005-0000-0000-0000D3880000}"/>
    <cellStyle name="Migliaia 9 3 2 3" xfId="12266" xr:uid="{00000000-0005-0000-0000-0000D4880000}"/>
    <cellStyle name="Migliaia 9 3 2 3 2" xfId="30451" xr:uid="{00000000-0005-0000-0000-0000D5880000}"/>
    <cellStyle name="Migliaia 9 3 2 4" xfId="19705" xr:uid="{00000000-0005-0000-0000-0000D6880000}"/>
    <cellStyle name="Migliaia 9 3 2 4 2" xfId="37669" xr:uid="{00000000-0005-0000-0000-0000D7880000}"/>
    <cellStyle name="Migliaia 9 3 2 5" xfId="3446" xr:uid="{00000000-0005-0000-0000-0000D8880000}"/>
    <cellStyle name="Migliaia 9 3 2 5 2" xfId="23446" xr:uid="{00000000-0005-0000-0000-0000D9880000}"/>
    <cellStyle name="Migliaia 9 3 2 6" xfId="21774" xr:uid="{00000000-0005-0000-0000-0000DA880000}"/>
    <cellStyle name="Migliaia 9 3 2 7" xfId="38624" xr:uid="{00000000-0005-0000-0000-0000DB880000}"/>
    <cellStyle name="Migliaia 9 3 2 8" xfId="39350" xr:uid="{00000000-0005-0000-0000-0000DC880000}"/>
    <cellStyle name="Migliaia 9 3 2 9" xfId="39927" xr:uid="{00000000-0005-0000-0000-0000DD880000}"/>
    <cellStyle name="Migliaia 9 3 3" xfId="11702" xr:uid="{00000000-0005-0000-0000-0000DE880000}"/>
    <cellStyle name="Migliaia 9 3 3 2" xfId="20723" xr:uid="{00000000-0005-0000-0000-0000DF880000}"/>
    <cellStyle name="Migliaia 9 3 3 2 2" xfId="38040" xr:uid="{00000000-0005-0000-0000-0000E0880000}"/>
    <cellStyle name="Migliaia 9 3 3 2 3" xfId="38995" xr:uid="{00000000-0005-0000-0000-0000E1880000}"/>
    <cellStyle name="Migliaia 9 3 3 3" xfId="19706" xr:uid="{00000000-0005-0000-0000-0000E2880000}"/>
    <cellStyle name="Migliaia 9 3 3 3 2" xfId="37670" xr:uid="{00000000-0005-0000-0000-0000E3880000}"/>
    <cellStyle name="Migliaia 9 3 3 4" xfId="38625" xr:uid="{00000000-0005-0000-0000-0000E4880000}"/>
    <cellStyle name="Migliaia 9 3 4" xfId="12265" xr:uid="{00000000-0005-0000-0000-0000E5880000}"/>
    <cellStyle name="Migliaia 9 3 4 2" xfId="20722" xr:uid="{00000000-0005-0000-0000-0000E6880000}"/>
    <cellStyle name="Migliaia 9 3 4 2 2" xfId="38039" xr:uid="{00000000-0005-0000-0000-0000E7880000}"/>
    <cellStyle name="Migliaia 9 3 4 3" xfId="30450" xr:uid="{00000000-0005-0000-0000-0000E8880000}"/>
    <cellStyle name="Migliaia 9 3 4 4" xfId="38994" xr:uid="{00000000-0005-0000-0000-0000E9880000}"/>
    <cellStyle name="Migliaia 9 3 5" xfId="19704" xr:uid="{00000000-0005-0000-0000-0000EA880000}"/>
    <cellStyle name="Migliaia 9 3 5 2" xfId="37668" xr:uid="{00000000-0005-0000-0000-0000EB880000}"/>
    <cellStyle name="Migliaia 9 3 6" xfId="3445" xr:uid="{00000000-0005-0000-0000-0000EC880000}"/>
    <cellStyle name="Migliaia 9 3 6 2" xfId="23445" xr:uid="{00000000-0005-0000-0000-0000ED880000}"/>
    <cellStyle name="Migliaia 9 3 7" xfId="21773" xr:uid="{00000000-0005-0000-0000-0000EE880000}"/>
    <cellStyle name="Migliaia 9 3 8" xfId="38623" xr:uid="{00000000-0005-0000-0000-0000EF880000}"/>
    <cellStyle name="Migliaia 9 3 9" xfId="39349" xr:uid="{00000000-0005-0000-0000-0000F0880000}"/>
    <cellStyle name="Migliaia 9 4" xfId="845" xr:uid="{00000000-0005-0000-0000-0000F1880000}"/>
    <cellStyle name="Migliaia 9 4 2" xfId="19708" xr:uid="{00000000-0005-0000-0000-0000F2880000}"/>
    <cellStyle name="Migliaia 9 4 2 2" xfId="20725" xr:uid="{00000000-0005-0000-0000-0000F3880000}"/>
    <cellStyle name="Migliaia 9 4 2 2 2" xfId="38042" xr:uid="{00000000-0005-0000-0000-0000F4880000}"/>
    <cellStyle name="Migliaia 9 4 2 2 3" xfId="38997" xr:uid="{00000000-0005-0000-0000-0000F5880000}"/>
    <cellStyle name="Migliaia 9 4 2 3" xfId="37672" xr:uid="{00000000-0005-0000-0000-0000F6880000}"/>
    <cellStyle name="Migliaia 9 4 2 4" xfId="38627" xr:uid="{00000000-0005-0000-0000-0000F7880000}"/>
    <cellStyle name="Migliaia 9 4 3" xfId="20724" xr:uid="{00000000-0005-0000-0000-0000F8880000}"/>
    <cellStyle name="Migliaia 9 4 3 2" xfId="38041" xr:uid="{00000000-0005-0000-0000-0000F9880000}"/>
    <cellStyle name="Migliaia 9 4 3 3" xfId="38996" xr:uid="{00000000-0005-0000-0000-0000FA880000}"/>
    <cellStyle name="Migliaia 9 4 4" xfId="19707" xr:uid="{00000000-0005-0000-0000-0000FB880000}"/>
    <cellStyle name="Migliaia 9 4 4 2" xfId="37671" xr:uid="{00000000-0005-0000-0000-0000FC880000}"/>
    <cellStyle name="Migliaia 9 4 5" xfId="11704" xr:uid="{00000000-0005-0000-0000-0000FD880000}"/>
    <cellStyle name="Migliaia 9 4 6" xfId="21775" xr:uid="{00000000-0005-0000-0000-0000FE880000}"/>
    <cellStyle name="Migliaia 9 4 7" xfId="38626" xr:uid="{00000000-0005-0000-0000-0000FF880000}"/>
    <cellStyle name="Migliaia 9 4 8" xfId="39928" xr:uid="{00000000-0005-0000-0000-000000890000}"/>
    <cellStyle name="Migliaia 9 4 9" xfId="40414" xr:uid="{00000000-0005-0000-0000-000001890000}"/>
    <cellStyle name="Migliaia 9 5" xfId="846" xr:uid="{00000000-0005-0000-0000-000002890000}"/>
    <cellStyle name="Migliaia 9 5 2" xfId="19709" xr:uid="{00000000-0005-0000-0000-000003890000}"/>
    <cellStyle name="Migliaia 9 5 2 2" xfId="37673" xr:uid="{00000000-0005-0000-0000-000004890000}"/>
    <cellStyle name="Migliaia 9 5 3" xfId="11705" xr:uid="{00000000-0005-0000-0000-000005890000}"/>
    <cellStyle name="Migliaia 9 5 4" xfId="21776" xr:uid="{00000000-0005-0000-0000-000006890000}"/>
    <cellStyle name="Migliaia 9 5 5" xfId="38628" xr:uid="{00000000-0005-0000-0000-000007890000}"/>
    <cellStyle name="Migliaia 9 5 6" xfId="39929" xr:uid="{00000000-0005-0000-0000-000008890000}"/>
    <cellStyle name="Migliaia 9 5 7" xfId="40415" xr:uid="{00000000-0005-0000-0000-000009890000}"/>
    <cellStyle name="Migliaia 9 6" xfId="847" xr:uid="{00000000-0005-0000-0000-00000A890000}"/>
    <cellStyle name="Migliaia 9 6 2" xfId="11700" xr:uid="{00000000-0005-0000-0000-00000B890000}"/>
    <cellStyle name="Migliaia 9 6 3" xfId="21777" xr:uid="{00000000-0005-0000-0000-00000C890000}"/>
    <cellStyle name="Migliaia 9 6 4" xfId="39930" xr:uid="{00000000-0005-0000-0000-00000D890000}"/>
    <cellStyle name="Migliaia 9 6 5" xfId="40416" xr:uid="{00000000-0005-0000-0000-00000E890000}"/>
    <cellStyle name="Migliaia 9 7" xfId="12263" xr:uid="{00000000-0005-0000-0000-00000F890000}"/>
    <cellStyle name="Migliaia 9 7 2" xfId="30448" xr:uid="{00000000-0005-0000-0000-000010890000}"/>
    <cellStyle name="Migliaia 9 8" xfId="19702" xr:uid="{00000000-0005-0000-0000-000011890000}"/>
    <cellStyle name="Migliaia 9 8 2" xfId="37666" xr:uid="{00000000-0005-0000-0000-000012890000}"/>
    <cellStyle name="Migliaia 9 9" xfId="3443" xr:uid="{00000000-0005-0000-0000-000013890000}"/>
    <cellStyle name="Migliaia 9 9 2" xfId="23443" xr:uid="{00000000-0005-0000-0000-000014890000}"/>
    <cellStyle name="Neutral" xfId="3110" builtinId="28" customBuiltin="1"/>
    <cellStyle name="Neutral 2" xfId="2154" xr:uid="{00000000-0005-0000-0000-000016890000}"/>
    <cellStyle name="Neutral 2 2" xfId="7375" xr:uid="{00000000-0005-0000-0000-000017890000}"/>
    <cellStyle name="Neutral 3" xfId="7376" xr:uid="{00000000-0005-0000-0000-000018890000}"/>
    <cellStyle name="Neutral 4" xfId="7377" xr:uid="{00000000-0005-0000-0000-000019890000}"/>
    <cellStyle name="Neutral 5" xfId="7378" xr:uid="{00000000-0005-0000-0000-00001A890000}"/>
    <cellStyle name="Neutral 5 2" xfId="9316" xr:uid="{00000000-0005-0000-0000-00001B890000}"/>
    <cellStyle name="Neutral 6" xfId="7605" xr:uid="{00000000-0005-0000-0000-00001C890000}"/>
    <cellStyle name="Neutral 7" xfId="7374" xr:uid="{00000000-0005-0000-0000-00001D890000}"/>
    <cellStyle name="Neutrale" xfId="848" xr:uid="{00000000-0005-0000-0000-00001E890000}"/>
    <cellStyle name="New prices" xfId="3457" xr:uid="{00000000-0005-0000-0000-00001F890000}"/>
    <cellStyle name="Normal" xfId="0" builtinId="0"/>
    <cellStyle name="Normal 10" xfId="849" xr:uid="{00000000-0005-0000-0000-000021890000}"/>
    <cellStyle name="Normal 10 2" xfId="2155" xr:uid="{00000000-0005-0000-0000-000022890000}"/>
    <cellStyle name="Normal 10 2 2" xfId="2156" xr:uid="{00000000-0005-0000-0000-000023890000}"/>
    <cellStyle name="Normal 10 2 2 2" xfId="2157" xr:uid="{00000000-0005-0000-0000-000024890000}"/>
    <cellStyle name="Normal 10 2 2 2 2" xfId="22217" xr:uid="{00000000-0005-0000-0000-000025890000}"/>
    <cellStyle name="Normal 10 2 2 3" xfId="11090" xr:uid="{00000000-0005-0000-0000-000026890000}"/>
    <cellStyle name="Normal 10 2 2 4" xfId="22216" xr:uid="{00000000-0005-0000-0000-000027890000}"/>
    <cellStyle name="Normal 10 2 3" xfId="2158" xr:uid="{00000000-0005-0000-0000-000028890000}"/>
    <cellStyle name="Normal 10 2 3 2" xfId="2159" xr:uid="{00000000-0005-0000-0000-000029890000}"/>
    <cellStyle name="Normal 10 2 3 2 2" xfId="22219" xr:uid="{00000000-0005-0000-0000-00002A890000}"/>
    <cellStyle name="Normal 10 2 3 3" xfId="7380" xr:uid="{00000000-0005-0000-0000-00002B890000}"/>
    <cellStyle name="Normal 10 2 3 4" xfId="22218" xr:uid="{00000000-0005-0000-0000-00002C890000}"/>
    <cellStyle name="Normal 10 2 4" xfId="2160" xr:uid="{00000000-0005-0000-0000-00002D890000}"/>
    <cellStyle name="Normal 10 2 4 2" xfId="18954" xr:uid="{00000000-0005-0000-0000-00002E890000}"/>
    <cellStyle name="Normal 10 2 4 2 2" xfId="37113" xr:uid="{00000000-0005-0000-0000-00002F890000}"/>
    <cellStyle name="Normal 10 2 4 3" xfId="11180" xr:uid="{00000000-0005-0000-0000-000030890000}"/>
    <cellStyle name="Normal 10 2 4 3 2" xfId="30112" xr:uid="{00000000-0005-0000-0000-000031890000}"/>
    <cellStyle name="Normal 10 2 4 4" xfId="22220" xr:uid="{00000000-0005-0000-0000-000032890000}"/>
    <cellStyle name="Normal 10 2 5" xfId="12293" xr:uid="{00000000-0005-0000-0000-000033890000}"/>
    <cellStyle name="Normal 10 2 5 2" xfId="30464" xr:uid="{00000000-0005-0000-0000-000034890000}"/>
    <cellStyle name="Normal 10 2 6" xfId="3473" xr:uid="{00000000-0005-0000-0000-000035890000}"/>
    <cellStyle name="Normal 10 2 6 2" xfId="23462" xr:uid="{00000000-0005-0000-0000-000036890000}"/>
    <cellStyle name="Normal 10 2 7" xfId="22215" xr:uid="{00000000-0005-0000-0000-000037890000}"/>
    <cellStyle name="Normal 10 2 8" xfId="39378" xr:uid="{00000000-0005-0000-0000-000038890000}"/>
    <cellStyle name="Normal 10 3" xfId="2161" xr:uid="{00000000-0005-0000-0000-000039890000}"/>
    <cellStyle name="Normal 10 3 2" xfId="2162" xr:uid="{00000000-0005-0000-0000-00003A890000}"/>
    <cellStyle name="Normal 10 3 2 2" xfId="18844" xr:uid="{00000000-0005-0000-0000-00003B890000}"/>
    <cellStyle name="Normal 10 3 2 2 2" xfId="37004" xr:uid="{00000000-0005-0000-0000-00003C890000}"/>
    <cellStyle name="Normal 10 3 2 3" xfId="10965" xr:uid="{00000000-0005-0000-0000-00003D890000}"/>
    <cellStyle name="Normal 10 3 2 3 2" xfId="30003" xr:uid="{00000000-0005-0000-0000-00003E890000}"/>
    <cellStyle name="Normal 10 3 2 4" xfId="22222" xr:uid="{00000000-0005-0000-0000-00003F890000}"/>
    <cellStyle name="Normal 10 3 3" xfId="7381" xr:uid="{00000000-0005-0000-0000-000040890000}"/>
    <cellStyle name="Normal 10 3 3 2" xfId="15490" xr:uid="{00000000-0005-0000-0000-000041890000}"/>
    <cellStyle name="Normal 10 3 3 2 2" xfId="33656" xr:uid="{00000000-0005-0000-0000-000042890000}"/>
    <cellStyle name="Normal 10 3 3 3" xfId="26654" xr:uid="{00000000-0005-0000-0000-000043890000}"/>
    <cellStyle name="Normal 10 3 4" xfId="21224" xr:uid="{00000000-0005-0000-0000-000044890000}"/>
    <cellStyle name="Normal 10 3 5" xfId="3599" xr:uid="{00000000-0005-0000-0000-000045890000}"/>
    <cellStyle name="Normal 10 3 6" xfId="22221" xr:uid="{00000000-0005-0000-0000-000046890000}"/>
    <cellStyle name="Normal 10 4" xfId="2163" xr:uid="{00000000-0005-0000-0000-000047890000}"/>
    <cellStyle name="Normal 10 4 2" xfId="2164" xr:uid="{00000000-0005-0000-0000-000048890000}"/>
    <cellStyle name="Normal 10 4 2 2" xfId="16230" xr:uid="{00000000-0005-0000-0000-000049890000}"/>
    <cellStyle name="Normal 10 4 2 2 2" xfId="34390" xr:uid="{00000000-0005-0000-0000-00004A890000}"/>
    <cellStyle name="Normal 10 4 2 3" xfId="22224" xr:uid="{00000000-0005-0000-0000-00004B890000}"/>
    <cellStyle name="Normal 10 4 3" xfId="8313" xr:uid="{00000000-0005-0000-0000-00004C890000}"/>
    <cellStyle name="Normal 10 4 3 2" xfId="27389" xr:uid="{00000000-0005-0000-0000-00004D890000}"/>
    <cellStyle name="Normal 10 4 4" xfId="22223" xr:uid="{00000000-0005-0000-0000-00004E890000}"/>
    <cellStyle name="Normal 10 5" xfId="2165" xr:uid="{00000000-0005-0000-0000-00004F890000}"/>
    <cellStyle name="Normal 10 5 2" xfId="2166" xr:uid="{00000000-0005-0000-0000-000050890000}"/>
    <cellStyle name="Normal 10 5 2 2" xfId="15489" xr:uid="{00000000-0005-0000-0000-000051890000}"/>
    <cellStyle name="Normal 10 5 2 2 2" xfId="33655" xr:uid="{00000000-0005-0000-0000-000052890000}"/>
    <cellStyle name="Normal 10 5 2 3" xfId="22226" xr:uid="{00000000-0005-0000-0000-000053890000}"/>
    <cellStyle name="Normal 10 5 3" xfId="7379" xr:uid="{00000000-0005-0000-0000-000054890000}"/>
    <cellStyle name="Normal 10 5 3 2" xfId="26653" xr:uid="{00000000-0005-0000-0000-000055890000}"/>
    <cellStyle name="Normal 10 5 4" xfId="22225" xr:uid="{00000000-0005-0000-0000-000056890000}"/>
    <cellStyle name="Normal 10 6" xfId="2167" xr:uid="{00000000-0005-0000-0000-000057890000}"/>
    <cellStyle name="Normal 10 6 2" xfId="22227" xr:uid="{00000000-0005-0000-0000-000058890000}"/>
    <cellStyle name="Normal 11" xfId="2168" xr:uid="{00000000-0005-0000-0000-000059890000}"/>
    <cellStyle name="Normal 11 10" xfId="38634" xr:uid="{00000000-0005-0000-0000-00005A890000}"/>
    <cellStyle name="Normal 11 2" xfId="2169" xr:uid="{00000000-0005-0000-0000-00005B890000}"/>
    <cellStyle name="Normal 11 2 2" xfId="2170" xr:uid="{00000000-0005-0000-0000-00005C890000}"/>
    <cellStyle name="Normal 11 2 2 2" xfId="2171" xr:uid="{00000000-0005-0000-0000-00005D890000}"/>
    <cellStyle name="Normal 11 2 2 2 2" xfId="21217" xr:uid="{00000000-0005-0000-0000-00005E890000}"/>
    <cellStyle name="Normal 11 2 2 2 2 2" xfId="38068" xr:uid="{00000000-0005-0000-0000-00005F890000}"/>
    <cellStyle name="Normal 11 2 2 2 3" xfId="22231" xr:uid="{00000000-0005-0000-0000-000060890000}"/>
    <cellStyle name="Normal 11 2 2 3" xfId="11091" xr:uid="{00000000-0005-0000-0000-000061890000}"/>
    <cellStyle name="Normal 11 2 2 4" xfId="22230" xr:uid="{00000000-0005-0000-0000-000062890000}"/>
    <cellStyle name="Normal 11 2 2 5" xfId="39023" xr:uid="{00000000-0005-0000-0000-000063890000}"/>
    <cellStyle name="Normal 11 2 3" xfId="2172" xr:uid="{00000000-0005-0000-0000-000064890000}"/>
    <cellStyle name="Normal 11 2 3 2" xfId="2173" xr:uid="{00000000-0005-0000-0000-000065890000}"/>
    <cellStyle name="Normal 11 2 3 2 2" xfId="22233" xr:uid="{00000000-0005-0000-0000-000066890000}"/>
    <cellStyle name="Normal 11 2 3 3" xfId="21170" xr:uid="{00000000-0005-0000-0000-000067890000}"/>
    <cellStyle name="Normal 11 2 3 3 2" xfId="38048" xr:uid="{00000000-0005-0000-0000-000068890000}"/>
    <cellStyle name="Normal 11 2 3 4" xfId="22232" xr:uid="{00000000-0005-0000-0000-000069890000}"/>
    <cellStyle name="Normal 11 2 4" xfId="2174" xr:uid="{00000000-0005-0000-0000-00006A890000}"/>
    <cellStyle name="Normal 11 2 4 2" xfId="2175" xr:uid="{00000000-0005-0000-0000-00006B890000}"/>
    <cellStyle name="Normal 11 2 4 2 2" xfId="22235" xr:uid="{00000000-0005-0000-0000-00006C890000}"/>
    <cellStyle name="Normal 11 2 4 3" xfId="22234" xr:uid="{00000000-0005-0000-0000-00006D890000}"/>
    <cellStyle name="Normal 11 2 5" xfId="2176" xr:uid="{00000000-0005-0000-0000-00006E890000}"/>
    <cellStyle name="Normal 11 2 5 2" xfId="22236" xr:uid="{00000000-0005-0000-0000-00006F890000}"/>
    <cellStyle name="Normal 11 2 6" xfId="7383" xr:uid="{00000000-0005-0000-0000-000070890000}"/>
    <cellStyle name="Normal 11 2 7" xfId="22229" xr:uid="{00000000-0005-0000-0000-000071890000}"/>
    <cellStyle name="Normal 11 2 8" xfId="39003" xr:uid="{00000000-0005-0000-0000-000072890000}"/>
    <cellStyle name="Normal 11 3" xfId="2177" xr:uid="{00000000-0005-0000-0000-000073890000}"/>
    <cellStyle name="Normal 11 3 2" xfId="2178" xr:uid="{00000000-0005-0000-0000-000074890000}"/>
    <cellStyle name="Normal 11 3 2 2" xfId="2179" xr:uid="{00000000-0005-0000-0000-000075890000}"/>
    <cellStyle name="Normal 11 3 2 2 2" xfId="18732" xr:uid="{00000000-0005-0000-0000-000076890000}"/>
    <cellStyle name="Normal 11 3 2 2 2 2" xfId="36892" xr:uid="{00000000-0005-0000-0000-000077890000}"/>
    <cellStyle name="Normal 11 3 2 2 3" xfId="10849" xr:uid="{00000000-0005-0000-0000-000078890000}"/>
    <cellStyle name="Normal 11 3 2 2 3 2" xfId="29891" xr:uid="{00000000-0005-0000-0000-000079890000}"/>
    <cellStyle name="Normal 11 3 2 2 4" xfId="22239" xr:uid="{00000000-0005-0000-0000-00007A890000}"/>
    <cellStyle name="Normal 11 3 2 3" xfId="15492" xr:uid="{00000000-0005-0000-0000-00007B890000}"/>
    <cellStyle name="Normal 11 3 2 3 2" xfId="33658" xr:uid="{00000000-0005-0000-0000-00007C890000}"/>
    <cellStyle name="Normal 11 3 2 4" xfId="7385" xr:uid="{00000000-0005-0000-0000-00007D890000}"/>
    <cellStyle name="Normal 11 3 2 4 2" xfId="26656" xr:uid="{00000000-0005-0000-0000-00007E890000}"/>
    <cellStyle name="Normal 11 3 2 5" xfId="22238" xr:uid="{00000000-0005-0000-0000-00007F890000}"/>
    <cellStyle name="Normal 11 3 3" xfId="2180" xr:uid="{00000000-0005-0000-0000-000080890000}"/>
    <cellStyle name="Normal 11 3 3 2" xfId="2181" xr:uid="{00000000-0005-0000-0000-000081890000}"/>
    <cellStyle name="Normal 11 3 3 2 2" xfId="16231" xr:uid="{00000000-0005-0000-0000-000082890000}"/>
    <cellStyle name="Normal 11 3 3 2 2 2" xfId="34391" xr:uid="{00000000-0005-0000-0000-000083890000}"/>
    <cellStyle name="Normal 11 3 3 2 3" xfId="22241" xr:uid="{00000000-0005-0000-0000-000084890000}"/>
    <cellStyle name="Normal 11 3 3 3" xfId="8314" xr:uid="{00000000-0005-0000-0000-000085890000}"/>
    <cellStyle name="Normal 11 3 3 3 2" xfId="27390" xr:uid="{00000000-0005-0000-0000-000086890000}"/>
    <cellStyle name="Normal 11 3 3 4" xfId="22240" xr:uid="{00000000-0005-0000-0000-000087890000}"/>
    <cellStyle name="Normal 11 3 4" xfId="2182" xr:uid="{00000000-0005-0000-0000-000088890000}"/>
    <cellStyle name="Normal 11 3 4 2" xfId="15491" xr:uid="{00000000-0005-0000-0000-000089890000}"/>
    <cellStyle name="Normal 11 3 4 2 2" xfId="33657" xr:uid="{00000000-0005-0000-0000-00008A890000}"/>
    <cellStyle name="Normal 11 3 4 3" xfId="22242" xr:uid="{00000000-0005-0000-0000-00008B890000}"/>
    <cellStyle name="Normal 11 3 5" xfId="21198" xr:uid="{00000000-0005-0000-0000-00008C890000}"/>
    <cellStyle name="Normal 11 3 5 2" xfId="38058" xr:uid="{00000000-0005-0000-0000-00008D890000}"/>
    <cellStyle name="Normal 11 3 6" xfId="7384" xr:uid="{00000000-0005-0000-0000-00008E890000}"/>
    <cellStyle name="Normal 11 3 6 2" xfId="26655" xr:uid="{00000000-0005-0000-0000-00008F890000}"/>
    <cellStyle name="Normal 11 3 7" xfId="22237" xr:uid="{00000000-0005-0000-0000-000090890000}"/>
    <cellStyle name="Normal 11 3 8" xfId="39013" xr:uid="{00000000-0005-0000-0000-000091890000}"/>
    <cellStyle name="Normal 11 4" xfId="2183" xr:uid="{00000000-0005-0000-0000-000092890000}"/>
    <cellStyle name="Normal 11 4 2" xfId="2184" xr:uid="{00000000-0005-0000-0000-000093890000}"/>
    <cellStyle name="Normal 11 4 2 2" xfId="22244" xr:uid="{00000000-0005-0000-0000-000094890000}"/>
    <cellStyle name="Normal 11 4 3" xfId="7382" xr:uid="{00000000-0005-0000-0000-000095890000}"/>
    <cellStyle name="Normal 11 4 4" xfId="22243" xr:uid="{00000000-0005-0000-0000-000096890000}"/>
    <cellStyle name="Normal 11 5" xfId="2185" xr:uid="{00000000-0005-0000-0000-000097890000}"/>
    <cellStyle name="Normal 11 5 2" xfId="2186" xr:uid="{00000000-0005-0000-0000-000098890000}"/>
    <cellStyle name="Normal 11 5 2 2" xfId="22246" xr:uid="{00000000-0005-0000-0000-000099890000}"/>
    <cellStyle name="Normal 11 5 3" xfId="20167" xr:uid="{00000000-0005-0000-0000-00009A890000}"/>
    <cellStyle name="Normal 11 5 3 2" xfId="37679" xr:uid="{00000000-0005-0000-0000-00009B890000}"/>
    <cellStyle name="Normal 11 5 4" xfId="22245" xr:uid="{00000000-0005-0000-0000-00009C890000}"/>
    <cellStyle name="Normal 11 6" xfId="2187" xr:uid="{00000000-0005-0000-0000-00009D890000}"/>
    <cellStyle name="Normal 11 6 2" xfId="2188" xr:uid="{00000000-0005-0000-0000-00009E890000}"/>
    <cellStyle name="Normal 11 6 2 2" xfId="22248" xr:uid="{00000000-0005-0000-0000-00009F890000}"/>
    <cellStyle name="Normal 11 6 3" xfId="22247" xr:uid="{00000000-0005-0000-0000-0000A0890000}"/>
    <cellStyle name="Normal 11 7" xfId="2189" xr:uid="{00000000-0005-0000-0000-0000A1890000}"/>
    <cellStyle name="Normal 11 7 2" xfId="22249" xr:uid="{00000000-0005-0000-0000-0000A2890000}"/>
    <cellStyle name="Normal 11 8" xfId="3476" xr:uid="{00000000-0005-0000-0000-0000A3890000}"/>
    <cellStyle name="Normal 11 9" xfId="22228" xr:uid="{00000000-0005-0000-0000-0000A4890000}"/>
    <cellStyle name="Normal 12" xfId="2190" xr:uid="{00000000-0005-0000-0000-0000A5890000}"/>
    <cellStyle name="Normal 12 2" xfId="2191" xr:uid="{00000000-0005-0000-0000-0000A6890000}"/>
    <cellStyle name="Normal 12 2 2" xfId="2192" xr:uid="{00000000-0005-0000-0000-0000A7890000}"/>
    <cellStyle name="Normal 12 2 2 2" xfId="2193" xr:uid="{00000000-0005-0000-0000-0000A8890000}"/>
    <cellStyle name="Normal 12 2 2 2 2" xfId="22253" xr:uid="{00000000-0005-0000-0000-0000A9890000}"/>
    <cellStyle name="Normal 12 2 2 3" xfId="11092" xr:uid="{00000000-0005-0000-0000-0000AA890000}"/>
    <cellStyle name="Normal 12 2 2 4" xfId="22252" xr:uid="{00000000-0005-0000-0000-0000AB890000}"/>
    <cellStyle name="Normal 12 2 3" xfId="2194" xr:uid="{00000000-0005-0000-0000-0000AC890000}"/>
    <cellStyle name="Normal 12 2 3 2" xfId="2195" xr:uid="{00000000-0005-0000-0000-0000AD890000}"/>
    <cellStyle name="Normal 12 2 3 2 2" xfId="22255" xr:uid="{00000000-0005-0000-0000-0000AE890000}"/>
    <cellStyle name="Normal 12 2 3 3" xfId="22254" xr:uid="{00000000-0005-0000-0000-0000AF890000}"/>
    <cellStyle name="Normal 12 2 4" xfId="2196" xr:uid="{00000000-0005-0000-0000-0000B0890000}"/>
    <cellStyle name="Normal 12 2 4 2" xfId="22256" xr:uid="{00000000-0005-0000-0000-0000B1890000}"/>
    <cellStyle name="Normal 12 2 5" xfId="7387" xr:uid="{00000000-0005-0000-0000-0000B2890000}"/>
    <cellStyle name="Normal 12 2 6" xfId="22251" xr:uid="{00000000-0005-0000-0000-0000B3890000}"/>
    <cellStyle name="Normal 12 3" xfId="2197" xr:uid="{00000000-0005-0000-0000-0000B4890000}"/>
    <cellStyle name="Normal 12 3 2" xfId="2198" xr:uid="{00000000-0005-0000-0000-0000B5890000}"/>
    <cellStyle name="Normal 12 3 2 2" xfId="18393" xr:uid="{00000000-0005-0000-0000-0000B6890000}"/>
    <cellStyle name="Normal 12 3 2 2 2" xfId="36553" xr:uid="{00000000-0005-0000-0000-0000B7890000}"/>
    <cellStyle name="Normal 12 3 2 3" xfId="10499" xr:uid="{00000000-0005-0000-0000-0000B8890000}"/>
    <cellStyle name="Normal 12 3 2 3 2" xfId="29552" xr:uid="{00000000-0005-0000-0000-0000B9890000}"/>
    <cellStyle name="Normal 12 3 2 4" xfId="22258" xr:uid="{00000000-0005-0000-0000-0000BA890000}"/>
    <cellStyle name="Normal 12 3 3" xfId="15494" xr:uid="{00000000-0005-0000-0000-0000BB890000}"/>
    <cellStyle name="Normal 12 3 3 2" xfId="33660" xr:uid="{00000000-0005-0000-0000-0000BC890000}"/>
    <cellStyle name="Normal 12 3 4" xfId="7388" xr:uid="{00000000-0005-0000-0000-0000BD890000}"/>
    <cellStyle name="Normal 12 3 4 2" xfId="26658" xr:uid="{00000000-0005-0000-0000-0000BE890000}"/>
    <cellStyle name="Normal 12 3 5" xfId="22257" xr:uid="{00000000-0005-0000-0000-0000BF890000}"/>
    <cellStyle name="Normal 12 4" xfId="2199" xr:uid="{00000000-0005-0000-0000-0000C0890000}"/>
    <cellStyle name="Normal 12 4 2" xfId="2200" xr:uid="{00000000-0005-0000-0000-0000C1890000}"/>
    <cellStyle name="Normal 12 4 2 2" xfId="16232" xr:uid="{00000000-0005-0000-0000-0000C2890000}"/>
    <cellStyle name="Normal 12 4 2 2 2" xfId="34392" xr:uid="{00000000-0005-0000-0000-0000C3890000}"/>
    <cellStyle name="Normal 12 4 2 3" xfId="22260" xr:uid="{00000000-0005-0000-0000-0000C4890000}"/>
    <cellStyle name="Normal 12 4 3" xfId="8315" xr:uid="{00000000-0005-0000-0000-0000C5890000}"/>
    <cellStyle name="Normal 12 4 3 2" xfId="27391" xr:uid="{00000000-0005-0000-0000-0000C6890000}"/>
    <cellStyle name="Normal 12 4 4" xfId="22259" xr:uid="{00000000-0005-0000-0000-0000C7890000}"/>
    <cellStyle name="Normal 12 5" xfId="2201" xr:uid="{00000000-0005-0000-0000-0000C8890000}"/>
    <cellStyle name="Normal 12 5 2" xfId="2202" xr:uid="{00000000-0005-0000-0000-0000C9890000}"/>
    <cellStyle name="Normal 12 5 2 2" xfId="22262" xr:uid="{00000000-0005-0000-0000-0000CA890000}"/>
    <cellStyle name="Normal 12 5 3" xfId="15493" xr:uid="{00000000-0005-0000-0000-0000CB890000}"/>
    <cellStyle name="Normal 12 5 3 2" xfId="33659" xr:uid="{00000000-0005-0000-0000-0000CC890000}"/>
    <cellStyle name="Normal 12 5 4" xfId="22261" xr:uid="{00000000-0005-0000-0000-0000CD890000}"/>
    <cellStyle name="Normal 12 6" xfId="2203" xr:uid="{00000000-0005-0000-0000-0000CE890000}"/>
    <cellStyle name="Normal 12 6 2" xfId="22263" xr:uid="{00000000-0005-0000-0000-0000CF890000}"/>
    <cellStyle name="Normal 12 7" xfId="7386" xr:uid="{00000000-0005-0000-0000-0000D0890000}"/>
    <cellStyle name="Normal 12 7 2" xfId="26657" xr:uid="{00000000-0005-0000-0000-0000D1890000}"/>
    <cellStyle name="Normal 12 8" xfId="22250" xr:uid="{00000000-0005-0000-0000-0000D2890000}"/>
    <cellStyle name="Normal 13" xfId="2204" xr:uid="{00000000-0005-0000-0000-0000D3890000}"/>
    <cellStyle name="Normal 13 2" xfId="2205" xr:uid="{00000000-0005-0000-0000-0000D4890000}"/>
    <cellStyle name="Normal 13 2 2" xfId="2206" xr:uid="{00000000-0005-0000-0000-0000D5890000}"/>
    <cellStyle name="Normal 13 2 2 2" xfId="2207" xr:uid="{00000000-0005-0000-0000-0000D6890000}"/>
    <cellStyle name="Normal 13 2 2 2 2" xfId="18328" xr:uid="{00000000-0005-0000-0000-0000D7890000}"/>
    <cellStyle name="Normal 13 2 2 2 2 2" xfId="36488" xr:uid="{00000000-0005-0000-0000-0000D8890000}"/>
    <cellStyle name="Normal 13 2 2 2 3" xfId="22267" xr:uid="{00000000-0005-0000-0000-0000D9890000}"/>
    <cellStyle name="Normal 13 2 2 3" xfId="10427" xr:uid="{00000000-0005-0000-0000-0000DA890000}"/>
    <cellStyle name="Normal 13 2 2 3 2" xfId="29487" xr:uid="{00000000-0005-0000-0000-0000DB890000}"/>
    <cellStyle name="Normal 13 2 2 4" xfId="22266" xr:uid="{00000000-0005-0000-0000-0000DC890000}"/>
    <cellStyle name="Normal 13 2 3" xfId="2208" xr:uid="{00000000-0005-0000-0000-0000DD890000}"/>
    <cellStyle name="Normal 13 2 3 2" xfId="2209" xr:uid="{00000000-0005-0000-0000-0000DE890000}"/>
    <cellStyle name="Normal 13 2 3 2 2" xfId="22269" xr:uid="{00000000-0005-0000-0000-0000DF890000}"/>
    <cellStyle name="Normal 13 2 3 3" xfId="15496" xr:uid="{00000000-0005-0000-0000-0000E0890000}"/>
    <cellStyle name="Normal 13 2 3 3 2" xfId="33662" xr:uid="{00000000-0005-0000-0000-0000E1890000}"/>
    <cellStyle name="Normal 13 2 3 4" xfId="22268" xr:uid="{00000000-0005-0000-0000-0000E2890000}"/>
    <cellStyle name="Normal 13 2 4" xfId="2210" xr:uid="{00000000-0005-0000-0000-0000E3890000}"/>
    <cellStyle name="Normal 13 2 4 2" xfId="22270" xr:uid="{00000000-0005-0000-0000-0000E4890000}"/>
    <cellStyle name="Normal 13 2 5" xfId="7390" xr:uid="{00000000-0005-0000-0000-0000E5890000}"/>
    <cellStyle name="Normal 13 2 5 2" xfId="26660" xr:uid="{00000000-0005-0000-0000-0000E6890000}"/>
    <cellStyle name="Normal 13 2 6" xfId="22265" xr:uid="{00000000-0005-0000-0000-0000E7890000}"/>
    <cellStyle name="Normal 13 3" xfId="2211" xr:uid="{00000000-0005-0000-0000-0000E8890000}"/>
    <cellStyle name="Normal 13 3 2" xfId="2212" xr:uid="{00000000-0005-0000-0000-0000E9890000}"/>
    <cellStyle name="Normal 13 3 2 2" xfId="17614" xr:uid="{00000000-0005-0000-0000-0000EA890000}"/>
    <cellStyle name="Normal 13 3 2 2 2" xfId="35774" xr:uid="{00000000-0005-0000-0000-0000EB890000}"/>
    <cellStyle name="Normal 13 3 2 3" xfId="9704" xr:uid="{00000000-0005-0000-0000-0000EC890000}"/>
    <cellStyle name="Normal 13 3 2 3 2" xfId="28773" xr:uid="{00000000-0005-0000-0000-0000ED890000}"/>
    <cellStyle name="Normal 13 3 2 4" xfId="22272" xr:uid="{00000000-0005-0000-0000-0000EE890000}"/>
    <cellStyle name="Normal 13 3 3" xfId="15497" xr:uid="{00000000-0005-0000-0000-0000EF890000}"/>
    <cellStyle name="Normal 13 3 3 2" xfId="33663" xr:uid="{00000000-0005-0000-0000-0000F0890000}"/>
    <cellStyle name="Normal 13 3 4" xfId="7391" xr:uid="{00000000-0005-0000-0000-0000F1890000}"/>
    <cellStyle name="Normal 13 3 4 2" xfId="26661" xr:uid="{00000000-0005-0000-0000-0000F2890000}"/>
    <cellStyle name="Normal 13 3 5" xfId="22271" xr:uid="{00000000-0005-0000-0000-0000F3890000}"/>
    <cellStyle name="Normal 13 4" xfId="2213" xr:uid="{00000000-0005-0000-0000-0000F4890000}"/>
    <cellStyle name="Normal 13 4 2" xfId="2214" xr:uid="{00000000-0005-0000-0000-0000F5890000}"/>
    <cellStyle name="Normal 13 4 2 2" xfId="16233" xr:uid="{00000000-0005-0000-0000-0000F6890000}"/>
    <cellStyle name="Normal 13 4 2 2 2" xfId="34393" xr:uid="{00000000-0005-0000-0000-0000F7890000}"/>
    <cellStyle name="Normal 13 4 2 3" xfId="22274" xr:uid="{00000000-0005-0000-0000-0000F8890000}"/>
    <cellStyle name="Normal 13 4 3" xfId="8316" xr:uid="{00000000-0005-0000-0000-0000F9890000}"/>
    <cellStyle name="Normal 13 4 3 2" xfId="27392" xr:uid="{00000000-0005-0000-0000-0000FA890000}"/>
    <cellStyle name="Normal 13 4 4" xfId="22273" xr:uid="{00000000-0005-0000-0000-0000FB890000}"/>
    <cellStyle name="Normal 13 5" xfId="2215" xr:uid="{00000000-0005-0000-0000-0000FC890000}"/>
    <cellStyle name="Normal 13 5 2" xfId="2216" xr:uid="{00000000-0005-0000-0000-0000FD890000}"/>
    <cellStyle name="Normal 13 5 2 2" xfId="22276" xr:uid="{00000000-0005-0000-0000-0000FE890000}"/>
    <cellStyle name="Normal 13 5 3" xfId="15495" xr:uid="{00000000-0005-0000-0000-0000FF890000}"/>
    <cellStyle name="Normal 13 5 3 2" xfId="33661" xr:uid="{00000000-0005-0000-0000-0000008A0000}"/>
    <cellStyle name="Normal 13 5 4" xfId="22275" xr:uid="{00000000-0005-0000-0000-0000018A0000}"/>
    <cellStyle name="Normal 13 6" xfId="2217" xr:uid="{00000000-0005-0000-0000-0000028A0000}"/>
    <cellStyle name="Normal 13 6 2" xfId="21219" xr:uid="{00000000-0005-0000-0000-0000038A0000}"/>
    <cellStyle name="Normal 13 6 2 2" xfId="38070" xr:uid="{00000000-0005-0000-0000-0000048A0000}"/>
    <cellStyle name="Normal 13 6 3" xfId="22277" xr:uid="{00000000-0005-0000-0000-0000058A0000}"/>
    <cellStyle name="Normal 13 7" xfId="7389" xr:uid="{00000000-0005-0000-0000-0000068A0000}"/>
    <cellStyle name="Normal 13 7 2" xfId="26659" xr:uid="{00000000-0005-0000-0000-0000078A0000}"/>
    <cellStyle name="Normal 13 8" xfId="22264" xr:uid="{00000000-0005-0000-0000-0000088A0000}"/>
    <cellStyle name="Normal 13 9" xfId="39025" xr:uid="{00000000-0005-0000-0000-0000098A0000}"/>
    <cellStyle name="Normal 14" xfId="2218" xr:uid="{00000000-0005-0000-0000-00000A8A0000}"/>
    <cellStyle name="Normal 14 2" xfId="7393" xr:uid="{00000000-0005-0000-0000-00000B8A0000}"/>
    <cellStyle name="Normal 14 2 2" xfId="7394" xr:uid="{00000000-0005-0000-0000-00000C8A0000}"/>
    <cellStyle name="Normal 14 2 2 2" xfId="10428" xr:uid="{00000000-0005-0000-0000-00000D8A0000}"/>
    <cellStyle name="Normal 14 2 2 2 2" xfId="18329" xr:uid="{00000000-0005-0000-0000-00000E8A0000}"/>
    <cellStyle name="Normal 14 2 2 2 2 2" xfId="36489" xr:uid="{00000000-0005-0000-0000-00000F8A0000}"/>
    <cellStyle name="Normal 14 2 2 2 3" xfId="29488" xr:uid="{00000000-0005-0000-0000-0000108A0000}"/>
    <cellStyle name="Normal 14 2 2 3" xfId="15499" xr:uid="{00000000-0005-0000-0000-0000118A0000}"/>
    <cellStyle name="Normal 14 2 2 3 2" xfId="33665" xr:uid="{00000000-0005-0000-0000-0000128A0000}"/>
    <cellStyle name="Normal 14 2 2 4" xfId="26663" xr:uid="{00000000-0005-0000-0000-0000138A0000}"/>
    <cellStyle name="Normal 14 2 3" xfId="8919" xr:uid="{00000000-0005-0000-0000-0000148A0000}"/>
    <cellStyle name="Normal 14 2 3 2" xfId="16833" xr:uid="{00000000-0005-0000-0000-0000158A0000}"/>
    <cellStyle name="Normal 14 2 3 2 2" xfId="34993" xr:uid="{00000000-0005-0000-0000-0000168A0000}"/>
    <cellStyle name="Normal 14 2 3 3" xfId="27992" xr:uid="{00000000-0005-0000-0000-0000178A0000}"/>
    <cellStyle name="Normal 14 2 4" xfId="15498" xr:uid="{00000000-0005-0000-0000-0000188A0000}"/>
    <cellStyle name="Normal 14 2 4 2" xfId="33664" xr:uid="{00000000-0005-0000-0000-0000198A0000}"/>
    <cellStyle name="Normal 14 2 5" xfId="26662" xr:uid="{00000000-0005-0000-0000-00001A8A0000}"/>
    <cellStyle name="Normal 14 3" xfId="7395" xr:uid="{00000000-0005-0000-0000-00001B8A0000}"/>
    <cellStyle name="Normal 14 3 2" xfId="9705" xr:uid="{00000000-0005-0000-0000-00001C8A0000}"/>
    <cellStyle name="Normal 14 3 2 2" xfId="17615" xr:uid="{00000000-0005-0000-0000-00001D8A0000}"/>
    <cellStyle name="Normal 14 3 2 2 2" xfId="35775" xr:uid="{00000000-0005-0000-0000-00001E8A0000}"/>
    <cellStyle name="Normal 14 3 2 3" xfId="28774" xr:uid="{00000000-0005-0000-0000-00001F8A0000}"/>
    <cellStyle name="Normal 14 3 3" xfId="15500" xr:uid="{00000000-0005-0000-0000-0000208A0000}"/>
    <cellStyle name="Normal 14 3 3 2" xfId="33666" xr:uid="{00000000-0005-0000-0000-0000218A0000}"/>
    <cellStyle name="Normal 14 3 4" xfId="26664" xr:uid="{00000000-0005-0000-0000-0000228A0000}"/>
    <cellStyle name="Normal 14 4" xfId="7392" xr:uid="{00000000-0005-0000-0000-0000238A0000}"/>
    <cellStyle name="Normal 15" xfId="2219" xr:uid="{00000000-0005-0000-0000-0000248A0000}"/>
    <cellStyle name="Normal 15 2" xfId="2220" xr:uid="{00000000-0005-0000-0000-0000258A0000}"/>
    <cellStyle name="Normal 15 2 2" xfId="2221" xr:uid="{00000000-0005-0000-0000-0000268A0000}"/>
    <cellStyle name="Normal 15 2 2 2" xfId="2222" xr:uid="{00000000-0005-0000-0000-0000278A0000}"/>
    <cellStyle name="Normal 15 2 2 2 2" xfId="2223" xr:uid="{00000000-0005-0000-0000-0000288A0000}"/>
    <cellStyle name="Normal 15 2 2 2 2 2" xfId="22281" xr:uid="{00000000-0005-0000-0000-0000298A0000}"/>
    <cellStyle name="Normal 15 2 2 2 3" xfId="10429" xr:uid="{00000000-0005-0000-0000-00002A8A0000}"/>
    <cellStyle name="Normal 15 2 2 2 4" xfId="22280" xr:uid="{00000000-0005-0000-0000-00002B8A0000}"/>
    <cellStyle name="Normal 15 2 2 3" xfId="2224" xr:uid="{00000000-0005-0000-0000-00002C8A0000}"/>
    <cellStyle name="Normal 15 2 2 3 2" xfId="2225" xr:uid="{00000000-0005-0000-0000-00002D8A0000}"/>
    <cellStyle name="Normal 15 2 2 3 2 2" xfId="22283" xr:uid="{00000000-0005-0000-0000-00002E8A0000}"/>
    <cellStyle name="Normal 15 2 2 3 3" xfId="22282" xr:uid="{00000000-0005-0000-0000-00002F8A0000}"/>
    <cellStyle name="Normal 15 2 2 4" xfId="2226" xr:uid="{00000000-0005-0000-0000-0000308A0000}"/>
    <cellStyle name="Normal 15 2 2 4 2" xfId="2227" xr:uid="{00000000-0005-0000-0000-0000318A0000}"/>
    <cellStyle name="Normal 15 2 2 4 2 2" xfId="22285" xr:uid="{00000000-0005-0000-0000-0000328A0000}"/>
    <cellStyle name="Normal 15 2 2 4 3" xfId="22284" xr:uid="{00000000-0005-0000-0000-0000338A0000}"/>
    <cellStyle name="Normal 15 2 2 5" xfId="2228" xr:uid="{00000000-0005-0000-0000-0000348A0000}"/>
    <cellStyle name="Normal 15 2 2 5 2" xfId="22286" xr:uid="{00000000-0005-0000-0000-0000358A0000}"/>
    <cellStyle name="Normal 15 2 2 6" xfId="7396" xr:uid="{00000000-0005-0000-0000-0000368A0000}"/>
    <cellStyle name="Normal 15 2 2 7" xfId="22279" xr:uid="{00000000-0005-0000-0000-0000378A0000}"/>
    <cellStyle name="Normal 15 2 3" xfId="2229" xr:uid="{00000000-0005-0000-0000-0000388A0000}"/>
    <cellStyle name="Normal 15 2 3 2" xfId="2230" xr:uid="{00000000-0005-0000-0000-0000398A0000}"/>
    <cellStyle name="Normal 15 2 3 2 2" xfId="2231" xr:uid="{00000000-0005-0000-0000-00003A8A0000}"/>
    <cellStyle name="Normal 15 2 3 2 2 2" xfId="22289" xr:uid="{00000000-0005-0000-0000-00003B8A0000}"/>
    <cellStyle name="Normal 15 2 3 2 3" xfId="22288" xr:uid="{00000000-0005-0000-0000-00003C8A0000}"/>
    <cellStyle name="Normal 15 2 3 3" xfId="2232" xr:uid="{00000000-0005-0000-0000-00003D8A0000}"/>
    <cellStyle name="Normal 15 2 3 3 2" xfId="2233" xr:uid="{00000000-0005-0000-0000-00003E8A0000}"/>
    <cellStyle name="Normal 15 2 3 3 2 2" xfId="22291" xr:uid="{00000000-0005-0000-0000-00003F8A0000}"/>
    <cellStyle name="Normal 15 2 3 3 3" xfId="22290" xr:uid="{00000000-0005-0000-0000-0000408A0000}"/>
    <cellStyle name="Normal 15 2 3 4" xfId="2234" xr:uid="{00000000-0005-0000-0000-0000418A0000}"/>
    <cellStyle name="Normal 15 2 3 4 2" xfId="2235" xr:uid="{00000000-0005-0000-0000-0000428A0000}"/>
    <cellStyle name="Normal 15 2 3 4 2 2" xfId="22293" xr:uid="{00000000-0005-0000-0000-0000438A0000}"/>
    <cellStyle name="Normal 15 2 3 4 3" xfId="22292" xr:uid="{00000000-0005-0000-0000-0000448A0000}"/>
    <cellStyle name="Normal 15 2 3 5" xfId="2236" xr:uid="{00000000-0005-0000-0000-0000458A0000}"/>
    <cellStyle name="Normal 15 2 3 5 2" xfId="22294" xr:uid="{00000000-0005-0000-0000-0000468A0000}"/>
    <cellStyle name="Normal 15 2 3 6" xfId="11094" xr:uid="{00000000-0005-0000-0000-0000478A0000}"/>
    <cellStyle name="Normal 15 2 3 7" xfId="22287" xr:uid="{00000000-0005-0000-0000-0000488A0000}"/>
    <cellStyle name="Normal 15 3" xfId="2237" xr:uid="{00000000-0005-0000-0000-0000498A0000}"/>
    <cellStyle name="Normal 15 3 2" xfId="7398" xr:uid="{00000000-0005-0000-0000-00004A8A0000}"/>
    <cellStyle name="Normal 15 3 3" xfId="9706" xr:uid="{00000000-0005-0000-0000-00004B8A0000}"/>
    <cellStyle name="Normal 15 3 4" xfId="7397" xr:uid="{00000000-0005-0000-0000-00004C8A0000}"/>
    <cellStyle name="Normal 15 4" xfId="2238" xr:uid="{00000000-0005-0000-0000-00004D8A0000}"/>
    <cellStyle name="Normal 15 4 2" xfId="2239" xr:uid="{00000000-0005-0000-0000-00004E8A0000}"/>
    <cellStyle name="Normal 15 4 2 2" xfId="22296" xr:uid="{00000000-0005-0000-0000-00004F8A0000}"/>
    <cellStyle name="Normal 15 4 3" xfId="11093" xr:uid="{00000000-0005-0000-0000-0000508A0000}"/>
    <cellStyle name="Normal 15 4 4" xfId="22295" xr:uid="{00000000-0005-0000-0000-0000518A0000}"/>
    <cellStyle name="Normal 15 5" xfId="2240" xr:uid="{00000000-0005-0000-0000-0000528A0000}"/>
    <cellStyle name="Normal 15 5 2" xfId="2241" xr:uid="{00000000-0005-0000-0000-0000538A0000}"/>
    <cellStyle name="Normal 15 5 2 2" xfId="22298" xr:uid="{00000000-0005-0000-0000-0000548A0000}"/>
    <cellStyle name="Normal 15 5 3" xfId="22297" xr:uid="{00000000-0005-0000-0000-0000558A0000}"/>
    <cellStyle name="Normal 15 6" xfId="2242" xr:uid="{00000000-0005-0000-0000-0000568A0000}"/>
    <cellStyle name="Normal 15 6 2" xfId="22299" xr:uid="{00000000-0005-0000-0000-0000578A0000}"/>
    <cellStyle name="Normal 15 7" xfId="22278" xr:uid="{00000000-0005-0000-0000-0000588A0000}"/>
    <cellStyle name="Normal 15_Trends fuels" xfId="2243" xr:uid="{00000000-0005-0000-0000-0000598A0000}"/>
    <cellStyle name="Normal 16" xfId="2244" xr:uid="{00000000-0005-0000-0000-00005A8A0000}"/>
    <cellStyle name="Normal 16 2" xfId="2245" xr:uid="{00000000-0005-0000-0000-00005B8A0000}"/>
    <cellStyle name="Normal 16 2 2" xfId="2246" xr:uid="{00000000-0005-0000-0000-00005C8A0000}"/>
    <cellStyle name="Normal 16 2 2 2" xfId="22302" xr:uid="{00000000-0005-0000-0000-00005D8A0000}"/>
    <cellStyle name="Normal 16 2 3" xfId="7400" xr:uid="{00000000-0005-0000-0000-00005E8A0000}"/>
    <cellStyle name="Normal 16 2 4" xfId="22301" xr:uid="{00000000-0005-0000-0000-00005F8A0000}"/>
    <cellStyle name="Normal 16 3" xfId="2247" xr:uid="{00000000-0005-0000-0000-0000608A0000}"/>
    <cellStyle name="Normal 16 3 2" xfId="2248" xr:uid="{00000000-0005-0000-0000-0000618A0000}"/>
    <cellStyle name="Normal 16 3 2 2" xfId="22304" xr:uid="{00000000-0005-0000-0000-0000628A0000}"/>
    <cellStyle name="Normal 16 3 3" xfId="11095" xr:uid="{00000000-0005-0000-0000-0000638A0000}"/>
    <cellStyle name="Normal 16 3 4" xfId="22303" xr:uid="{00000000-0005-0000-0000-0000648A0000}"/>
    <cellStyle name="Normal 16 4" xfId="2249" xr:uid="{00000000-0005-0000-0000-0000658A0000}"/>
    <cellStyle name="Normal 16 4 2" xfId="2250" xr:uid="{00000000-0005-0000-0000-0000668A0000}"/>
    <cellStyle name="Normal 16 4 2 2" xfId="22306" xr:uid="{00000000-0005-0000-0000-0000678A0000}"/>
    <cellStyle name="Normal 16 4 3" xfId="22305" xr:uid="{00000000-0005-0000-0000-0000688A0000}"/>
    <cellStyle name="Normal 16 5" xfId="2251" xr:uid="{00000000-0005-0000-0000-0000698A0000}"/>
    <cellStyle name="Normal 16 5 2" xfId="22307" xr:uid="{00000000-0005-0000-0000-00006A8A0000}"/>
    <cellStyle name="Normal 16 6" xfId="7399" xr:uid="{00000000-0005-0000-0000-00006B8A0000}"/>
    <cellStyle name="Normal 16 7" xfId="22300" xr:uid="{00000000-0005-0000-0000-00006C8A0000}"/>
    <cellStyle name="Normal 17" xfId="2252" xr:uid="{00000000-0005-0000-0000-00006D8A0000}"/>
    <cellStyle name="Normal 17 2" xfId="2253" xr:uid="{00000000-0005-0000-0000-00006E8A0000}"/>
    <cellStyle name="Normal 17 2 2" xfId="2254" xr:uid="{00000000-0005-0000-0000-00006F8A0000}"/>
    <cellStyle name="Normal 17 2 2 2" xfId="17616" xr:uid="{00000000-0005-0000-0000-0000708A0000}"/>
    <cellStyle name="Normal 17 2 2 2 2" xfId="35776" xr:uid="{00000000-0005-0000-0000-0000718A0000}"/>
    <cellStyle name="Normal 17 2 2 3" xfId="9715" xr:uid="{00000000-0005-0000-0000-0000728A0000}"/>
    <cellStyle name="Normal 17 2 2 3 2" xfId="28775" xr:uid="{00000000-0005-0000-0000-0000738A0000}"/>
    <cellStyle name="Normal 17 2 2 4" xfId="22310" xr:uid="{00000000-0005-0000-0000-0000748A0000}"/>
    <cellStyle name="Normal 17 2 3" xfId="15501" xr:uid="{00000000-0005-0000-0000-0000758A0000}"/>
    <cellStyle name="Normal 17 2 3 2" xfId="33667" xr:uid="{00000000-0005-0000-0000-0000768A0000}"/>
    <cellStyle name="Normal 17 2 4" xfId="7402" xr:uid="{00000000-0005-0000-0000-0000778A0000}"/>
    <cellStyle name="Normal 17 2 4 2" xfId="26665" xr:uid="{00000000-0005-0000-0000-0000788A0000}"/>
    <cellStyle name="Normal 17 2 5" xfId="22309" xr:uid="{00000000-0005-0000-0000-0000798A0000}"/>
    <cellStyle name="Normal 17 3" xfId="2255" xr:uid="{00000000-0005-0000-0000-00007A8A0000}"/>
    <cellStyle name="Normal 17 3 2" xfId="2256" xr:uid="{00000000-0005-0000-0000-00007B8A0000}"/>
    <cellStyle name="Normal 17 3 2 2" xfId="22312" xr:uid="{00000000-0005-0000-0000-00007C8A0000}"/>
    <cellStyle name="Normal 17 3 3" xfId="11096" xr:uid="{00000000-0005-0000-0000-00007D8A0000}"/>
    <cellStyle name="Normal 17 3 4" xfId="22311" xr:uid="{00000000-0005-0000-0000-00007E8A0000}"/>
    <cellStyle name="Normal 17 4" xfId="2257" xr:uid="{00000000-0005-0000-0000-00007F8A0000}"/>
    <cellStyle name="Normal 17 4 2" xfId="2258" xr:uid="{00000000-0005-0000-0000-0000808A0000}"/>
    <cellStyle name="Normal 17 4 2 2" xfId="22314" xr:uid="{00000000-0005-0000-0000-0000818A0000}"/>
    <cellStyle name="Normal 17 4 3" xfId="22313" xr:uid="{00000000-0005-0000-0000-0000828A0000}"/>
    <cellStyle name="Normal 17 5" xfId="2259" xr:uid="{00000000-0005-0000-0000-0000838A0000}"/>
    <cellStyle name="Normal 17 5 2" xfId="22315" xr:uid="{00000000-0005-0000-0000-0000848A0000}"/>
    <cellStyle name="Normal 17 6" xfId="7401" xr:uid="{00000000-0005-0000-0000-0000858A0000}"/>
    <cellStyle name="Normal 17 7" xfId="22308" xr:uid="{00000000-0005-0000-0000-0000868A0000}"/>
    <cellStyle name="Normal 18" xfId="2260" xr:uid="{00000000-0005-0000-0000-0000878A0000}"/>
    <cellStyle name="Normal 18 2" xfId="2261" xr:uid="{00000000-0005-0000-0000-0000888A0000}"/>
    <cellStyle name="Normal 18 2 2" xfId="2262" xr:uid="{00000000-0005-0000-0000-0000898A0000}"/>
    <cellStyle name="Normal 18 2 2 2" xfId="22318" xr:uid="{00000000-0005-0000-0000-00008A8A0000}"/>
    <cellStyle name="Normal 18 2 3" xfId="11097" xr:uid="{00000000-0005-0000-0000-00008B8A0000}"/>
    <cellStyle name="Normal 18 2 4" xfId="22317" xr:uid="{00000000-0005-0000-0000-00008C8A0000}"/>
    <cellStyle name="Normal 18 3" xfId="2263" xr:uid="{00000000-0005-0000-0000-00008D8A0000}"/>
    <cellStyle name="Normal 18 3 2" xfId="2264" xr:uid="{00000000-0005-0000-0000-00008E8A0000}"/>
    <cellStyle name="Normal 18 3 2 2" xfId="22320" xr:uid="{00000000-0005-0000-0000-00008F8A0000}"/>
    <cellStyle name="Normal 18 3 3" xfId="22319" xr:uid="{00000000-0005-0000-0000-0000908A0000}"/>
    <cellStyle name="Normal 18 4" xfId="2265" xr:uid="{00000000-0005-0000-0000-0000918A0000}"/>
    <cellStyle name="Normal 18 4 2" xfId="2266" xr:uid="{00000000-0005-0000-0000-0000928A0000}"/>
    <cellStyle name="Normal 18 4 2 2" xfId="22322" xr:uid="{00000000-0005-0000-0000-0000938A0000}"/>
    <cellStyle name="Normal 18 4 3" xfId="22321" xr:uid="{00000000-0005-0000-0000-0000948A0000}"/>
    <cellStyle name="Normal 18 5" xfId="2267" xr:uid="{00000000-0005-0000-0000-0000958A0000}"/>
    <cellStyle name="Normal 18 5 2" xfId="22323" xr:uid="{00000000-0005-0000-0000-0000968A0000}"/>
    <cellStyle name="Normal 18 6" xfId="7403" xr:uid="{00000000-0005-0000-0000-0000978A0000}"/>
    <cellStyle name="Normal 18 7" xfId="22316" xr:uid="{00000000-0005-0000-0000-0000988A0000}"/>
    <cellStyle name="Normal 19" xfId="2268" xr:uid="{00000000-0005-0000-0000-0000998A0000}"/>
    <cellStyle name="Normal 19 2" xfId="2269" xr:uid="{00000000-0005-0000-0000-00009A8A0000}"/>
    <cellStyle name="Normal 19 2 2" xfId="2270" xr:uid="{00000000-0005-0000-0000-00009B8A0000}"/>
    <cellStyle name="Normal 19 2 2 2" xfId="22325" xr:uid="{00000000-0005-0000-0000-00009C8A0000}"/>
    <cellStyle name="Normal 19 2 3" xfId="7405" xr:uid="{00000000-0005-0000-0000-00009D8A0000}"/>
    <cellStyle name="Normal 19 2 4" xfId="22324" xr:uid="{00000000-0005-0000-0000-00009E8A0000}"/>
    <cellStyle name="Normal 19 3" xfId="8920" xr:uid="{00000000-0005-0000-0000-00009F8A0000}"/>
    <cellStyle name="Normal 19 4" xfId="7404" xr:uid="{00000000-0005-0000-0000-0000A08A0000}"/>
    <cellStyle name="Normal 2" xfId="850" xr:uid="{00000000-0005-0000-0000-0000A18A0000}"/>
    <cellStyle name="Normal 2 10" xfId="2271" xr:uid="{00000000-0005-0000-0000-0000A28A0000}"/>
    <cellStyle name="Normal 2 11" xfId="2272" xr:uid="{00000000-0005-0000-0000-0000A38A0000}"/>
    <cellStyle name="Normal 2 11 2" xfId="2273" xr:uid="{00000000-0005-0000-0000-0000A48A0000}"/>
    <cellStyle name="Normal 2 11 2 2" xfId="2274" xr:uid="{00000000-0005-0000-0000-0000A58A0000}"/>
    <cellStyle name="Normal 2 11 2 2 2" xfId="22328" xr:uid="{00000000-0005-0000-0000-0000A68A0000}"/>
    <cellStyle name="Normal 2 11 2 3" xfId="22327" xr:uid="{00000000-0005-0000-0000-0000A78A0000}"/>
    <cellStyle name="Normal 2 11 3" xfId="2275" xr:uid="{00000000-0005-0000-0000-0000A88A0000}"/>
    <cellStyle name="Normal 2 11 3 2" xfId="22329" xr:uid="{00000000-0005-0000-0000-0000A98A0000}"/>
    <cellStyle name="Normal 2 11 4" xfId="22326" xr:uid="{00000000-0005-0000-0000-0000AA8A0000}"/>
    <cellStyle name="Normal 2 12" xfId="2276" xr:uid="{00000000-0005-0000-0000-0000AB8A0000}"/>
    <cellStyle name="Normal 2 12 2" xfId="2277" xr:uid="{00000000-0005-0000-0000-0000AC8A0000}"/>
    <cellStyle name="Normal 2 12 2 2" xfId="22331" xr:uid="{00000000-0005-0000-0000-0000AD8A0000}"/>
    <cellStyle name="Normal 2 12 3" xfId="22330" xr:uid="{00000000-0005-0000-0000-0000AE8A0000}"/>
    <cellStyle name="Normal 2 13" xfId="2278" xr:uid="{00000000-0005-0000-0000-0000AF8A0000}"/>
    <cellStyle name="Normal 2 13 2" xfId="2279" xr:uid="{00000000-0005-0000-0000-0000B08A0000}"/>
    <cellStyle name="Normal 2 13 2 2" xfId="22333" xr:uid="{00000000-0005-0000-0000-0000B18A0000}"/>
    <cellStyle name="Normal 2 13 3" xfId="22332" xr:uid="{00000000-0005-0000-0000-0000B28A0000}"/>
    <cellStyle name="Normal 2 14" xfId="2280" xr:uid="{00000000-0005-0000-0000-0000B38A0000}"/>
    <cellStyle name="Normal 2 14 2" xfId="2281" xr:uid="{00000000-0005-0000-0000-0000B48A0000}"/>
    <cellStyle name="Normal 2 14 2 2" xfId="22335" xr:uid="{00000000-0005-0000-0000-0000B58A0000}"/>
    <cellStyle name="Normal 2 14 3" xfId="22334" xr:uid="{00000000-0005-0000-0000-0000B68A0000}"/>
    <cellStyle name="Normal 2 2" xfId="851" xr:uid="{00000000-0005-0000-0000-0000B78A0000}"/>
    <cellStyle name="Normal 2 2 2" xfId="2282" xr:uid="{00000000-0005-0000-0000-0000B88A0000}"/>
    <cellStyle name="Normal 2 2 2 2" xfId="2283" xr:uid="{00000000-0005-0000-0000-0000B98A0000}"/>
    <cellStyle name="Normal 2 2 2 2 2" xfId="2284" xr:uid="{00000000-0005-0000-0000-0000BA8A0000}"/>
    <cellStyle name="Normal 2 2 2 2 2 2" xfId="2285" xr:uid="{00000000-0005-0000-0000-0000BB8A0000}"/>
    <cellStyle name="Normal 2 2 2 2 2 2 2" xfId="22339" xr:uid="{00000000-0005-0000-0000-0000BC8A0000}"/>
    <cellStyle name="Normal 2 2 2 2 2 3" xfId="11100" xr:uid="{00000000-0005-0000-0000-0000BD8A0000}"/>
    <cellStyle name="Normal 2 2 2 2 2 4" xfId="22338" xr:uid="{00000000-0005-0000-0000-0000BE8A0000}"/>
    <cellStyle name="Normal 2 2 2 2 3" xfId="2286" xr:uid="{00000000-0005-0000-0000-0000BF8A0000}"/>
    <cellStyle name="Normal 2 2 2 2 3 2" xfId="19710" xr:uid="{00000000-0005-0000-0000-0000C08A0000}"/>
    <cellStyle name="Normal 2 2 2 2 3 3" xfId="22340" xr:uid="{00000000-0005-0000-0000-0000C18A0000}"/>
    <cellStyle name="Normal 2 2 2 2 4" xfId="7409" xr:uid="{00000000-0005-0000-0000-0000C28A0000}"/>
    <cellStyle name="Normal 2 2 2 2 5" xfId="22337" xr:uid="{00000000-0005-0000-0000-0000C38A0000}"/>
    <cellStyle name="Normal 2 2 2 3" xfId="2287" xr:uid="{00000000-0005-0000-0000-0000C48A0000}"/>
    <cellStyle name="Normal 2 2 2 3 2" xfId="2288" xr:uid="{00000000-0005-0000-0000-0000C58A0000}"/>
    <cellStyle name="Normal 2 2 2 3 2 2" xfId="2289" xr:uid="{00000000-0005-0000-0000-0000C68A0000}"/>
    <cellStyle name="Normal 2 2 2 3 2 2 2" xfId="11102" xr:uid="{00000000-0005-0000-0000-0000C78A0000}"/>
    <cellStyle name="Normal 2 2 2 3 2 2 3" xfId="22343" xr:uid="{00000000-0005-0000-0000-0000C88A0000}"/>
    <cellStyle name="Normal 2 2 2 3 2 3" xfId="7411" xr:uid="{00000000-0005-0000-0000-0000C98A0000}"/>
    <cellStyle name="Normal 2 2 2 3 2 4" xfId="22342" xr:uid="{00000000-0005-0000-0000-0000CA8A0000}"/>
    <cellStyle name="Normal 2 2 2 3 3" xfId="2290" xr:uid="{00000000-0005-0000-0000-0000CB8A0000}"/>
    <cellStyle name="Normal 2 2 2 3 3 2" xfId="11101" xr:uid="{00000000-0005-0000-0000-0000CC8A0000}"/>
    <cellStyle name="Normal 2 2 2 3 3 3" xfId="22344" xr:uid="{00000000-0005-0000-0000-0000CD8A0000}"/>
    <cellStyle name="Normal 2 2 2 3 4" xfId="7410" xr:uid="{00000000-0005-0000-0000-0000CE8A0000}"/>
    <cellStyle name="Normal 2 2 2 3 5" xfId="22341" xr:uid="{00000000-0005-0000-0000-0000CF8A0000}"/>
    <cellStyle name="Normal 2 2 2 4" xfId="2291" xr:uid="{00000000-0005-0000-0000-0000D08A0000}"/>
    <cellStyle name="Normal 2 2 2 4 2" xfId="2292" xr:uid="{00000000-0005-0000-0000-0000D18A0000}"/>
    <cellStyle name="Normal 2 2 2 4 2 2" xfId="18917" xr:uid="{00000000-0005-0000-0000-0000D28A0000}"/>
    <cellStyle name="Normal 2 2 2 4 2 2 2" xfId="37077" xr:uid="{00000000-0005-0000-0000-0000D38A0000}"/>
    <cellStyle name="Normal 2 2 2 4 2 3" xfId="22346" xr:uid="{00000000-0005-0000-0000-0000D48A0000}"/>
    <cellStyle name="Normal 2 2 2 4 3" xfId="21232" xr:uid="{00000000-0005-0000-0000-0000D58A0000}"/>
    <cellStyle name="Normal 2 2 2 4 3 2" xfId="38079" xr:uid="{00000000-0005-0000-0000-0000D68A0000}"/>
    <cellStyle name="Normal 2 2 2 4 4" xfId="11068" xr:uid="{00000000-0005-0000-0000-0000D78A0000}"/>
    <cellStyle name="Normal 2 2 2 4 4 2" xfId="30076" xr:uid="{00000000-0005-0000-0000-0000D88A0000}"/>
    <cellStyle name="Normal 2 2 2 4 5" xfId="22345" xr:uid="{00000000-0005-0000-0000-0000D98A0000}"/>
    <cellStyle name="Normal 2 2 2 4 6" xfId="39034" xr:uid="{00000000-0005-0000-0000-0000DA8A0000}"/>
    <cellStyle name="Normal 2 2 2 5" xfId="2293" xr:uid="{00000000-0005-0000-0000-0000DB8A0000}"/>
    <cellStyle name="Normal 2 2 2 5 2" xfId="2294" xr:uid="{00000000-0005-0000-0000-0000DC8A0000}"/>
    <cellStyle name="Normal 2 2 2 5 2 2" xfId="22348" xr:uid="{00000000-0005-0000-0000-0000DD8A0000}"/>
    <cellStyle name="Normal 2 2 2 5 3" xfId="11099" xr:uid="{00000000-0005-0000-0000-0000DE8A0000}"/>
    <cellStyle name="Normal 2 2 2 5 4" xfId="22347" xr:uid="{00000000-0005-0000-0000-0000DF8A0000}"/>
    <cellStyle name="Normal 2 2 2 6" xfId="2295" xr:uid="{00000000-0005-0000-0000-0000E08A0000}"/>
    <cellStyle name="Normal 2 2 2 6 2" xfId="22349" xr:uid="{00000000-0005-0000-0000-0000E18A0000}"/>
    <cellStyle name="Normal 2 2 2 7" xfId="7408" xr:uid="{00000000-0005-0000-0000-0000E28A0000}"/>
    <cellStyle name="Normal 2 2 2 8" xfId="22336" xr:uid="{00000000-0005-0000-0000-0000E38A0000}"/>
    <cellStyle name="Normal 2 2 3" xfId="2296" xr:uid="{00000000-0005-0000-0000-0000E48A0000}"/>
    <cellStyle name="Normal 2 2 3 2" xfId="2297" xr:uid="{00000000-0005-0000-0000-0000E58A0000}"/>
    <cellStyle name="Normal 2 2 3 2 2" xfId="2298" xr:uid="{00000000-0005-0000-0000-0000E68A0000}"/>
    <cellStyle name="Normal 2 2 3 2 2 2" xfId="18366" xr:uid="{00000000-0005-0000-0000-0000E78A0000}"/>
    <cellStyle name="Normal 2 2 3 2 2 2 2" xfId="36526" xr:uid="{00000000-0005-0000-0000-0000E88A0000}"/>
    <cellStyle name="Normal 2 2 3 2 2 3" xfId="10469" xr:uid="{00000000-0005-0000-0000-0000E98A0000}"/>
    <cellStyle name="Normal 2 2 3 2 2 3 2" xfId="29525" xr:uid="{00000000-0005-0000-0000-0000EA8A0000}"/>
    <cellStyle name="Normal 2 2 3 2 2 4" xfId="22352" xr:uid="{00000000-0005-0000-0000-0000EB8A0000}"/>
    <cellStyle name="Normal 2 2 3 2 3" xfId="15504" xr:uid="{00000000-0005-0000-0000-0000EC8A0000}"/>
    <cellStyle name="Normal 2 2 3 2 3 2" xfId="33670" xr:uid="{00000000-0005-0000-0000-0000ED8A0000}"/>
    <cellStyle name="Normal 2 2 3 2 4" xfId="7413" xr:uid="{00000000-0005-0000-0000-0000EE8A0000}"/>
    <cellStyle name="Normal 2 2 3 2 4 2" xfId="26668" xr:uid="{00000000-0005-0000-0000-0000EF8A0000}"/>
    <cellStyle name="Normal 2 2 3 2 5" xfId="22351" xr:uid="{00000000-0005-0000-0000-0000F08A0000}"/>
    <cellStyle name="Normal 2 2 3 3" xfId="2299" xr:uid="{00000000-0005-0000-0000-0000F18A0000}"/>
    <cellStyle name="Normal 2 2 3 3 2" xfId="16235" xr:uid="{00000000-0005-0000-0000-0000F28A0000}"/>
    <cellStyle name="Normal 2 2 3 3 2 2" xfId="34395" xr:uid="{00000000-0005-0000-0000-0000F38A0000}"/>
    <cellStyle name="Normal 2 2 3 3 3" xfId="8318" xr:uid="{00000000-0005-0000-0000-0000F48A0000}"/>
    <cellStyle name="Normal 2 2 3 3 3 2" xfId="27394" xr:uid="{00000000-0005-0000-0000-0000F58A0000}"/>
    <cellStyle name="Normal 2 2 3 3 4" xfId="22353" xr:uid="{00000000-0005-0000-0000-0000F68A0000}"/>
    <cellStyle name="Normal 2 2 3 4" xfId="15503" xr:uid="{00000000-0005-0000-0000-0000F78A0000}"/>
    <cellStyle name="Normal 2 2 3 4 2" xfId="33669" xr:uid="{00000000-0005-0000-0000-0000F88A0000}"/>
    <cellStyle name="Normal 2 2 3 5" xfId="21226" xr:uid="{00000000-0005-0000-0000-0000F98A0000}"/>
    <cellStyle name="Normal 2 2 3 5 2" xfId="38075" xr:uid="{00000000-0005-0000-0000-0000FA8A0000}"/>
    <cellStyle name="Normal 2 2 3 6" xfId="7412" xr:uid="{00000000-0005-0000-0000-0000FB8A0000}"/>
    <cellStyle name="Normal 2 2 3 6 2" xfId="26667" xr:uid="{00000000-0005-0000-0000-0000FC8A0000}"/>
    <cellStyle name="Normal 2 2 3 7" xfId="22350" xr:uid="{00000000-0005-0000-0000-0000FD8A0000}"/>
    <cellStyle name="Normal 2 2 3 8" xfId="39030" xr:uid="{00000000-0005-0000-0000-0000FE8A0000}"/>
    <cellStyle name="Normal 2 2 4" xfId="2300" xr:uid="{00000000-0005-0000-0000-0000FF8A0000}"/>
    <cellStyle name="Normal 2 2 4 2" xfId="2301" xr:uid="{00000000-0005-0000-0000-0000008B0000}"/>
    <cellStyle name="Normal 2 2 4 2 2" xfId="2302" xr:uid="{00000000-0005-0000-0000-0000018B0000}"/>
    <cellStyle name="Normal 2 2 4 2 2 2" xfId="22356" xr:uid="{00000000-0005-0000-0000-0000028B0000}"/>
    <cellStyle name="Normal 2 2 4 2 3" xfId="11098" xr:uid="{00000000-0005-0000-0000-0000038B0000}"/>
    <cellStyle name="Normal 2 2 4 2 4" xfId="22355" xr:uid="{00000000-0005-0000-0000-0000048B0000}"/>
    <cellStyle name="Normal 2 2 4 3" xfId="2303" xr:uid="{00000000-0005-0000-0000-0000058B0000}"/>
    <cellStyle name="Normal 2 2 4 3 2" xfId="22357" xr:uid="{00000000-0005-0000-0000-0000068B0000}"/>
    <cellStyle name="Normal 2 2 4 4" xfId="7407" xr:uid="{00000000-0005-0000-0000-0000078B0000}"/>
    <cellStyle name="Normal 2 2 4 5" xfId="22354" xr:uid="{00000000-0005-0000-0000-0000088B0000}"/>
    <cellStyle name="Normal 2 2 5" xfId="2304" xr:uid="{00000000-0005-0000-0000-0000098B0000}"/>
    <cellStyle name="Normal 2 2 5 2" xfId="2305" xr:uid="{00000000-0005-0000-0000-00000A8B0000}"/>
    <cellStyle name="Normal 2 2 5 2 2" xfId="12380" xr:uid="{00000000-0005-0000-0000-00000B8B0000}"/>
    <cellStyle name="Normal 2 2 5 2 2 2" xfId="30547" xr:uid="{00000000-0005-0000-0000-00000C8B0000}"/>
    <cellStyle name="Normal 2 2 5 2 3" xfId="22359" xr:uid="{00000000-0005-0000-0000-00000D8B0000}"/>
    <cellStyle name="Normal 2 2 5 3" xfId="3825" xr:uid="{00000000-0005-0000-0000-00000E8B0000}"/>
    <cellStyle name="Normal 2 2 5 3 2" xfId="23545" xr:uid="{00000000-0005-0000-0000-00000F8B0000}"/>
    <cellStyle name="Normal 2 2 5 4" xfId="22358" xr:uid="{00000000-0005-0000-0000-0000108B0000}"/>
    <cellStyle name="Normal 2 2 6" xfId="2306" xr:uid="{00000000-0005-0000-0000-0000118B0000}"/>
    <cellStyle name="Normal 2 2 6 2" xfId="2307" xr:uid="{00000000-0005-0000-0000-0000128B0000}"/>
    <cellStyle name="Normal 2 2 6 2 2" xfId="22361" xr:uid="{00000000-0005-0000-0000-0000138B0000}"/>
    <cellStyle name="Normal 2 2 6 3" xfId="22360" xr:uid="{00000000-0005-0000-0000-0000148B0000}"/>
    <cellStyle name="Normal 2 2 7" xfId="2308" xr:uid="{00000000-0005-0000-0000-0000158B0000}"/>
    <cellStyle name="Normal 2 2 8" xfId="2309" xr:uid="{00000000-0005-0000-0000-0000168B0000}"/>
    <cellStyle name="Normal 2 2 8 2" xfId="22362" xr:uid="{00000000-0005-0000-0000-0000178B0000}"/>
    <cellStyle name="Normal 2 3" xfId="852" xr:uid="{00000000-0005-0000-0000-0000188B0000}"/>
    <cellStyle name="Normal 2 3 10" xfId="19711" xr:uid="{00000000-0005-0000-0000-0000198B0000}"/>
    <cellStyle name="Normal 2 3 11" xfId="3464" xr:uid="{00000000-0005-0000-0000-00001A8B0000}"/>
    <cellStyle name="Normal 2 3 11 2" xfId="23453" xr:uid="{00000000-0005-0000-0000-00001B8B0000}"/>
    <cellStyle name="Normal 2 3 12" xfId="39369" xr:uid="{00000000-0005-0000-0000-00001C8B0000}"/>
    <cellStyle name="Normal 2 3 2" xfId="2310" xr:uid="{00000000-0005-0000-0000-00001D8B0000}"/>
    <cellStyle name="Normal 2 3 2 2" xfId="2311" xr:uid="{00000000-0005-0000-0000-00001E8B0000}"/>
    <cellStyle name="Normal 2 3 2 2 2" xfId="2312" xr:uid="{00000000-0005-0000-0000-00001F8B0000}"/>
    <cellStyle name="Normal 2 3 2 2 2 2" xfId="17972" xr:uid="{00000000-0005-0000-0000-0000208B0000}"/>
    <cellStyle name="Normal 2 3 2 2 2 2 2" xfId="36132" xr:uid="{00000000-0005-0000-0000-0000218B0000}"/>
    <cellStyle name="Normal 2 3 2 2 2 3" xfId="10071" xr:uid="{00000000-0005-0000-0000-0000228B0000}"/>
    <cellStyle name="Normal 2 3 2 2 2 3 2" xfId="29131" xr:uid="{00000000-0005-0000-0000-0000238B0000}"/>
    <cellStyle name="Normal 2 3 2 2 2 4" xfId="22365" xr:uid="{00000000-0005-0000-0000-0000248B0000}"/>
    <cellStyle name="Normal 2 3 2 2 3" xfId="15507" xr:uid="{00000000-0005-0000-0000-0000258B0000}"/>
    <cellStyle name="Normal 2 3 2 2 3 2" xfId="33673" xr:uid="{00000000-0005-0000-0000-0000268B0000}"/>
    <cellStyle name="Normal 2 3 2 2 4" xfId="7416" xr:uid="{00000000-0005-0000-0000-0000278B0000}"/>
    <cellStyle name="Normal 2 3 2 2 4 2" xfId="26671" xr:uid="{00000000-0005-0000-0000-0000288B0000}"/>
    <cellStyle name="Normal 2 3 2 2 5" xfId="22364" xr:uid="{00000000-0005-0000-0000-0000298B0000}"/>
    <cellStyle name="Normal 2 3 2 3" xfId="2313" xr:uid="{00000000-0005-0000-0000-00002A8B0000}"/>
    <cellStyle name="Normal 2 3 2 3 2" xfId="2314" xr:uid="{00000000-0005-0000-0000-00002B8B0000}"/>
    <cellStyle name="Normal 2 3 2 3 2 2" xfId="17219" xr:uid="{00000000-0005-0000-0000-00002C8B0000}"/>
    <cellStyle name="Normal 2 3 2 3 2 2 2" xfId="35379" xr:uid="{00000000-0005-0000-0000-00002D8B0000}"/>
    <cellStyle name="Normal 2 3 2 3 2 3" xfId="9308" xr:uid="{00000000-0005-0000-0000-00002E8B0000}"/>
    <cellStyle name="Normal 2 3 2 3 2 3 2" xfId="28378" xr:uid="{00000000-0005-0000-0000-00002F8B0000}"/>
    <cellStyle name="Normal 2 3 2 3 2 4" xfId="22367" xr:uid="{00000000-0005-0000-0000-0000308B0000}"/>
    <cellStyle name="Normal 2 3 2 3 3" xfId="15508" xr:uid="{00000000-0005-0000-0000-0000318B0000}"/>
    <cellStyle name="Normal 2 3 2 3 3 2" xfId="33674" xr:uid="{00000000-0005-0000-0000-0000328B0000}"/>
    <cellStyle name="Normal 2 3 2 3 4" xfId="7417" xr:uid="{00000000-0005-0000-0000-0000338B0000}"/>
    <cellStyle name="Normal 2 3 2 3 4 2" xfId="26672" xr:uid="{00000000-0005-0000-0000-0000348B0000}"/>
    <cellStyle name="Normal 2 3 2 3 5" xfId="22366" xr:uid="{00000000-0005-0000-0000-0000358B0000}"/>
    <cellStyle name="Normal 2 3 2 4" xfId="2315" xr:uid="{00000000-0005-0000-0000-0000368B0000}"/>
    <cellStyle name="Normal 2 3 2 4 2" xfId="16237" xr:uid="{00000000-0005-0000-0000-0000378B0000}"/>
    <cellStyle name="Normal 2 3 2 4 2 2" xfId="34397" xr:uid="{00000000-0005-0000-0000-0000388B0000}"/>
    <cellStyle name="Normal 2 3 2 4 3" xfId="8320" xr:uid="{00000000-0005-0000-0000-0000398B0000}"/>
    <cellStyle name="Normal 2 3 2 4 3 2" xfId="27396" xr:uid="{00000000-0005-0000-0000-00003A8B0000}"/>
    <cellStyle name="Normal 2 3 2 4 4" xfId="22368" xr:uid="{00000000-0005-0000-0000-00003B8B0000}"/>
    <cellStyle name="Normal 2 3 2 5" xfId="15506" xr:uid="{00000000-0005-0000-0000-00003C8B0000}"/>
    <cellStyle name="Normal 2 3 2 5 2" xfId="33672" xr:uid="{00000000-0005-0000-0000-00003D8B0000}"/>
    <cellStyle name="Normal 2 3 2 6" xfId="7415" xr:uid="{00000000-0005-0000-0000-00003E8B0000}"/>
    <cellStyle name="Normal 2 3 2 6 2" xfId="26670" xr:uid="{00000000-0005-0000-0000-00003F8B0000}"/>
    <cellStyle name="Normal 2 3 2 7" xfId="22363" xr:uid="{00000000-0005-0000-0000-0000408B0000}"/>
    <cellStyle name="Normal 2 3 3" xfId="2316" xr:uid="{00000000-0005-0000-0000-0000418B0000}"/>
    <cellStyle name="Normal 2 3 3 2" xfId="2317" xr:uid="{00000000-0005-0000-0000-0000428B0000}"/>
    <cellStyle name="Normal 2 3 3 2 2" xfId="17736" xr:uid="{00000000-0005-0000-0000-0000438B0000}"/>
    <cellStyle name="Normal 2 3 3 2 2 2" xfId="35896" xr:uid="{00000000-0005-0000-0000-0000448B0000}"/>
    <cellStyle name="Normal 2 3 3 2 3" xfId="9835" xr:uid="{00000000-0005-0000-0000-0000458B0000}"/>
    <cellStyle name="Normal 2 3 3 2 3 2" xfId="28895" xr:uid="{00000000-0005-0000-0000-0000468B0000}"/>
    <cellStyle name="Normal 2 3 3 2 4" xfId="22370" xr:uid="{00000000-0005-0000-0000-0000478B0000}"/>
    <cellStyle name="Normal 2 3 3 3" xfId="15509" xr:uid="{00000000-0005-0000-0000-0000488B0000}"/>
    <cellStyle name="Normal 2 3 3 3 2" xfId="33675" xr:uid="{00000000-0005-0000-0000-0000498B0000}"/>
    <cellStyle name="Normal 2 3 3 4" xfId="7418" xr:uid="{00000000-0005-0000-0000-00004A8B0000}"/>
    <cellStyle name="Normal 2 3 3 4 2" xfId="26673" xr:uid="{00000000-0005-0000-0000-00004B8B0000}"/>
    <cellStyle name="Normal 2 3 3 5" xfId="22369" xr:uid="{00000000-0005-0000-0000-00004C8B0000}"/>
    <cellStyle name="Normal 2 3 4" xfId="2318" xr:uid="{00000000-0005-0000-0000-00004D8B0000}"/>
    <cellStyle name="Normal 2 3 4 2" xfId="2319" xr:uid="{00000000-0005-0000-0000-00004E8B0000}"/>
    <cellStyle name="Normal 2 3 4 2 2" xfId="16976" xr:uid="{00000000-0005-0000-0000-00004F8B0000}"/>
    <cellStyle name="Normal 2 3 4 2 2 2" xfId="35136" xr:uid="{00000000-0005-0000-0000-0000508B0000}"/>
    <cellStyle name="Normal 2 3 4 2 3" xfId="9065" xr:uid="{00000000-0005-0000-0000-0000518B0000}"/>
    <cellStyle name="Normal 2 3 4 2 3 2" xfId="28135" xr:uid="{00000000-0005-0000-0000-0000528B0000}"/>
    <cellStyle name="Normal 2 3 4 2 4" xfId="22372" xr:uid="{00000000-0005-0000-0000-0000538B0000}"/>
    <cellStyle name="Normal 2 3 4 3" xfId="15510" xr:uid="{00000000-0005-0000-0000-0000548B0000}"/>
    <cellStyle name="Normal 2 3 4 3 2" xfId="33676" xr:uid="{00000000-0005-0000-0000-0000558B0000}"/>
    <cellStyle name="Normal 2 3 4 4" xfId="7419" xr:uid="{00000000-0005-0000-0000-0000568B0000}"/>
    <cellStyle name="Normal 2 3 4 4 2" xfId="26674" xr:uid="{00000000-0005-0000-0000-0000578B0000}"/>
    <cellStyle name="Normal 2 3 4 5" xfId="22371" xr:uid="{00000000-0005-0000-0000-0000588B0000}"/>
    <cellStyle name="Normal 2 3 5" xfId="2320" xr:uid="{00000000-0005-0000-0000-0000598B0000}"/>
    <cellStyle name="Normal 2 3 5 2" xfId="2321" xr:uid="{00000000-0005-0000-0000-00005A8B0000}"/>
    <cellStyle name="Normal 2 3 5 2 2" xfId="16236" xr:uid="{00000000-0005-0000-0000-00005B8B0000}"/>
    <cellStyle name="Normal 2 3 5 2 2 2" xfId="34396" xr:uid="{00000000-0005-0000-0000-00005C8B0000}"/>
    <cellStyle name="Normal 2 3 5 2 3" xfId="22374" xr:uid="{00000000-0005-0000-0000-00005D8B0000}"/>
    <cellStyle name="Normal 2 3 5 3" xfId="8319" xr:uid="{00000000-0005-0000-0000-00005E8B0000}"/>
    <cellStyle name="Normal 2 3 5 3 2" xfId="27395" xr:uid="{00000000-0005-0000-0000-00005F8B0000}"/>
    <cellStyle name="Normal 2 3 5 4" xfId="22373" xr:uid="{00000000-0005-0000-0000-0000608B0000}"/>
    <cellStyle name="Normal 2 3 6" xfId="2322" xr:uid="{00000000-0005-0000-0000-0000618B0000}"/>
    <cellStyle name="Normal 2 3 6 2" xfId="2323" xr:uid="{00000000-0005-0000-0000-0000628B0000}"/>
    <cellStyle name="Normal 2 3 6 2 2" xfId="15505" xr:uid="{00000000-0005-0000-0000-0000638B0000}"/>
    <cellStyle name="Normal 2 3 6 2 2 2" xfId="33671" xr:uid="{00000000-0005-0000-0000-0000648B0000}"/>
    <cellStyle name="Normal 2 3 6 2 3" xfId="22376" xr:uid="{00000000-0005-0000-0000-0000658B0000}"/>
    <cellStyle name="Normal 2 3 6 3" xfId="7414" xr:uid="{00000000-0005-0000-0000-0000668B0000}"/>
    <cellStyle name="Normal 2 3 6 3 2" xfId="26669" xr:uid="{00000000-0005-0000-0000-0000678B0000}"/>
    <cellStyle name="Normal 2 3 6 4" xfId="22375" xr:uid="{00000000-0005-0000-0000-0000688B0000}"/>
    <cellStyle name="Normal 2 3 7" xfId="2324" xr:uid="{00000000-0005-0000-0000-0000698B0000}"/>
    <cellStyle name="Normal 2 3 7 2" xfId="2325" xr:uid="{00000000-0005-0000-0000-00006A8B0000}"/>
    <cellStyle name="Normal 2 3 7 2 2" xfId="18945" xr:uid="{00000000-0005-0000-0000-00006B8B0000}"/>
    <cellStyle name="Normal 2 3 7 2 2 2" xfId="37104" xr:uid="{00000000-0005-0000-0000-00006C8B0000}"/>
    <cellStyle name="Normal 2 3 7 2 3" xfId="22378" xr:uid="{00000000-0005-0000-0000-00006D8B0000}"/>
    <cellStyle name="Normal 2 3 7 3" xfId="11171" xr:uid="{00000000-0005-0000-0000-00006E8B0000}"/>
    <cellStyle name="Normal 2 3 7 3 2" xfId="30103" xr:uid="{00000000-0005-0000-0000-00006F8B0000}"/>
    <cellStyle name="Normal 2 3 7 4" xfId="22377" xr:uid="{00000000-0005-0000-0000-0000708B0000}"/>
    <cellStyle name="Normal 2 3 8" xfId="11706" xr:uid="{00000000-0005-0000-0000-0000718B0000}"/>
    <cellStyle name="Normal 2 3 9" xfId="12284" xr:uid="{00000000-0005-0000-0000-0000728B0000}"/>
    <cellStyle name="Normal 2 3 9 2" xfId="30455" xr:uid="{00000000-0005-0000-0000-0000738B0000}"/>
    <cellStyle name="Normal 2 4" xfId="853" xr:uid="{00000000-0005-0000-0000-0000748B0000}"/>
    <cellStyle name="Normal 2 4 2" xfId="2326" xr:uid="{00000000-0005-0000-0000-0000758B0000}"/>
    <cellStyle name="Normal 2 4 2 2" xfId="2327" xr:uid="{00000000-0005-0000-0000-0000768B0000}"/>
    <cellStyle name="Normal 2 4 2 2 2" xfId="2328" xr:uid="{00000000-0005-0000-0000-0000778B0000}"/>
    <cellStyle name="Normal 2 4 2 2 2 2" xfId="18326" xr:uid="{00000000-0005-0000-0000-0000788B0000}"/>
    <cellStyle name="Normal 2 4 2 2 2 2 2" xfId="36486" xr:uid="{00000000-0005-0000-0000-0000798B0000}"/>
    <cellStyle name="Normal 2 4 2 2 2 3" xfId="22381" xr:uid="{00000000-0005-0000-0000-00007A8B0000}"/>
    <cellStyle name="Normal 2 4 2 2 3" xfId="10425" xr:uid="{00000000-0005-0000-0000-00007B8B0000}"/>
    <cellStyle name="Normal 2 4 2 2 3 2" xfId="29485" xr:uid="{00000000-0005-0000-0000-00007C8B0000}"/>
    <cellStyle name="Normal 2 4 2 2 4" xfId="22380" xr:uid="{00000000-0005-0000-0000-00007D8B0000}"/>
    <cellStyle name="Normal 2 4 2 3" xfId="2329" xr:uid="{00000000-0005-0000-0000-00007E8B0000}"/>
    <cellStyle name="Normal 2 4 2 3 2" xfId="2330" xr:uid="{00000000-0005-0000-0000-00007F8B0000}"/>
    <cellStyle name="Normal 2 4 2 3 2 2" xfId="22383" xr:uid="{00000000-0005-0000-0000-0000808B0000}"/>
    <cellStyle name="Normal 2 4 2 3 3" xfId="15512" xr:uid="{00000000-0005-0000-0000-0000818B0000}"/>
    <cellStyle name="Normal 2 4 2 3 3 2" xfId="33678" xr:uid="{00000000-0005-0000-0000-0000828B0000}"/>
    <cellStyle name="Normal 2 4 2 3 4" xfId="22382" xr:uid="{00000000-0005-0000-0000-0000838B0000}"/>
    <cellStyle name="Normal 2 4 2 4" xfId="2331" xr:uid="{00000000-0005-0000-0000-0000848B0000}"/>
    <cellStyle name="Normal 2 4 2 4 2" xfId="20726" xr:uid="{00000000-0005-0000-0000-0000858B0000}"/>
    <cellStyle name="Normal 2 4 2 4 3" xfId="22384" xr:uid="{00000000-0005-0000-0000-0000868B0000}"/>
    <cellStyle name="Normal 2 4 2 5" xfId="7421" xr:uid="{00000000-0005-0000-0000-0000878B0000}"/>
    <cellStyle name="Normal 2 4 2 5 2" xfId="26676" xr:uid="{00000000-0005-0000-0000-0000888B0000}"/>
    <cellStyle name="Normal 2 4 2 6" xfId="22379" xr:uid="{00000000-0005-0000-0000-0000898B0000}"/>
    <cellStyle name="Normal 2 4 3" xfId="2332" xr:uid="{00000000-0005-0000-0000-00008A8B0000}"/>
    <cellStyle name="Normal 2 4 3 2" xfId="2333" xr:uid="{00000000-0005-0000-0000-00008B8B0000}"/>
    <cellStyle name="Normal 2 4 3 2 2" xfId="17612" xr:uid="{00000000-0005-0000-0000-00008C8B0000}"/>
    <cellStyle name="Normal 2 4 3 2 2 2" xfId="35772" xr:uid="{00000000-0005-0000-0000-00008D8B0000}"/>
    <cellStyle name="Normal 2 4 3 2 3" xfId="9702" xr:uid="{00000000-0005-0000-0000-00008E8B0000}"/>
    <cellStyle name="Normal 2 4 3 2 3 2" xfId="28771" xr:uid="{00000000-0005-0000-0000-00008F8B0000}"/>
    <cellStyle name="Normal 2 4 3 2 4" xfId="22386" xr:uid="{00000000-0005-0000-0000-0000908B0000}"/>
    <cellStyle name="Normal 2 4 3 3" xfId="15513" xr:uid="{00000000-0005-0000-0000-0000918B0000}"/>
    <cellStyle name="Normal 2 4 3 3 2" xfId="33679" xr:uid="{00000000-0005-0000-0000-0000928B0000}"/>
    <cellStyle name="Normal 2 4 3 4" xfId="7422" xr:uid="{00000000-0005-0000-0000-0000938B0000}"/>
    <cellStyle name="Normal 2 4 3 4 2" xfId="26677" xr:uid="{00000000-0005-0000-0000-0000948B0000}"/>
    <cellStyle name="Normal 2 4 3 5" xfId="22385" xr:uid="{00000000-0005-0000-0000-0000958B0000}"/>
    <cellStyle name="Normal 2 4 4" xfId="2334" xr:uid="{00000000-0005-0000-0000-0000968B0000}"/>
    <cellStyle name="Normal 2 4 4 2" xfId="2335" xr:uid="{00000000-0005-0000-0000-0000978B0000}"/>
    <cellStyle name="Normal 2 4 4 2 2" xfId="16238" xr:uid="{00000000-0005-0000-0000-0000988B0000}"/>
    <cellStyle name="Normal 2 4 4 2 2 2" xfId="34398" xr:uid="{00000000-0005-0000-0000-0000998B0000}"/>
    <cellStyle name="Normal 2 4 4 2 3" xfId="22388" xr:uid="{00000000-0005-0000-0000-00009A8B0000}"/>
    <cellStyle name="Normal 2 4 4 3" xfId="8321" xr:uid="{00000000-0005-0000-0000-00009B8B0000}"/>
    <cellStyle name="Normal 2 4 4 3 2" xfId="27397" xr:uid="{00000000-0005-0000-0000-00009C8B0000}"/>
    <cellStyle name="Normal 2 4 4 4" xfId="22387" xr:uid="{00000000-0005-0000-0000-00009D8B0000}"/>
    <cellStyle name="Normal 2 4 5" xfId="2336" xr:uid="{00000000-0005-0000-0000-00009E8B0000}"/>
    <cellStyle name="Normal 2 4 5 2" xfId="2337" xr:uid="{00000000-0005-0000-0000-00009F8B0000}"/>
    <cellStyle name="Normal 2 4 5 2 2" xfId="15511" xr:uid="{00000000-0005-0000-0000-0000A08B0000}"/>
    <cellStyle name="Normal 2 4 5 2 2 2" xfId="33677" xr:uid="{00000000-0005-0000-0000-0000A18B0000}"/>
    <cellStyle name="Normal 2 4 5 2 3" xfId="22390" xr:uid="{00000000-0005-0000-0000-0000A28B0000}"/>
    <cellStyle name="Normal 2 4 5 3" xfId="7420" xr:uid="{00000000-0005-0000-0000-0000A38B0000}"/>
    <cellStyle name="Normal 2 4 5 3 2" xfId="26675" xr:uid="{00000000-0005-0000-0000-0000A48B0000}"/>
    <cellStyle name="Normal 2 4 5 4" xfId="22389" xr:uid="{00000000-0005-0000-0000-0000A58B0000}"/>
    <cellStyle name="Normal 2 4 6" xfId="2338" xr:uid="{00000000-0005-0000-0000-0000A68B0000}"/>
    <cellStyle name="Normal 2 4 6 2" xfId="2339" xr:uid="{00000000-0005-0000-0000-0000A78B0000}"/>
    <cellStyle name="Normal 2 4 6 2 2" xfId="22392" xr:uid="{00000000-0005-0000-0000-0000A88B0000}"/>
    <cellStyle name="Normal 2 4 6 3" xfId="22391" xr:uid="{00000000-0005-0000-0000-0000A98B0000}"/>
    <cellStyle name="Normal 2 4 7" xfId="2340" xr:uid="{00000000-0005-0000-0000-0000AA8B0000}"/>
    <cellStyle name="Normal 2 4 7 2" xfId="2341" xr:uid="{00000000-0005-0000-0000-0000AB8B0000}"/>
    <cellStyle name="Normal 2 4 7 2 2" xfId="22394" xr:uid="{00000000-0005-0000-0000-0000AC8B0000}"/>
    <cellStyle name="Normal 2 4 7 3" xfId="22393" xr:uid="{00000000-0005-0000-0000-0000AD8B0000}"/>
    <cellStyle name="Normal 2 4 8" xfId="3458" xr:uid="{00000000-0005-0000-0000-0000AE8B0000}"/>
    <cellStyle name="Normal 2 5" xfId="854" xr:uid="{00000000-0005-0000-0000-0000AF8B0000}"/>
    <cellStyle name="Normal 2 5 2" xfId="2342" xr:uid="{00000000-0005-0000-0000-0000B08B0000}"/>
    <cellStyle name="Normal 2 5 2 2" xfId="2343" xr:uid="{00000000-0005-0000-0000-0000B18B0000}"/>
    <cellStyle name="Normal 2 5 2 2 2" xfId="2344" xr:uid="{00000000-0005-0000-0000-0000B28B0000}"/>
    <cellStyle name="Normal 2 5 2 2 2 2" xfId="22397" xr:uid="{00000000-0005-0000-0000-0000B38B0000}"/>
    <cellStyle name="Normal 2 5 2 2 3" xfId="22396" xr:uid="{00000000-0005-0000-0000-0000B48B0000}"/>
    <cellStyle name="Normal 2 5 2 3" xfId="2345" xr:uid="{00000000-0005-0000-0000-0000B58B0000}"/>
    <cellStyle name="Normal 2 5 2 3 2" xfId="2346" xr:uid="{00000000-0005-0000-0000-0000B68B0000}"/>
    <cellStyle name="Normal 2 5 2 3 2 2" xfId="22399" xr:uid="{00000000-0005-0000-0000-0000B78B0000}"/>
    <cellStyle name="Normal 2 5 2 3 3" xfId="22398" xr:uid="{00000000-0005-0000-0000-0000B88B0000}"/>
    <cellStyle name="Normal 2 5 2 4" xfId="2347" xr:uid="{00000000-0005-0000-0000-0000B98B0000}"/>
    <cellStyle name="Normal 2 5 2 4 2" xfId="22400" xr:uid="{00000000-0005-0000-0000-0000BA8B0000}"/>
    <cellStyle name="Normal 2 5 2 5" xfId="11103" xr:uid="{00000000-0005-0000-0000-0000BB8B0000}"/>
    <cellStyle name="Normal 2 5 2 6" xfId="22395" xr:uid="{00000000-0005-0000-0000-0000BC8B0000}"/>
    <cellStyle name="Normal 2 5 3" xfId="2348" xr:uid="{00000000-0005-0000-0000-0000BD8B0000}"/>
    <cellStyle name="Normal 2 5 3 2" xfId="2349" xr:uid="{00000000-0005-0000-0000-0000BE8B0000}"/>
    <cellStyle name="Normal 2 5 3 2 2" xfId="22402" xr:uid="{00000000-0005-0000-0000-0000BF8B0000}"/>
    <cellStyle name="Normal 2 5 3 3" xfId="22401" xr:uid="{00000000-0005-0000-0000-0000C08B0000}"/>
    <cellStyle name="Normal 2 5 4" xfId="2350" xr:uid="{00000000-0005-0000-0000-0000C18B0000}"/>
    <cellStyle name="Normal 2 5 4 2" xfId="2351" xr:uid="{00000000-0005-0000-0000-0000C28B0000}"/>
    <cellStyle name="Normal 2 5 4 2 2" xfId="22404" xr:uid="{00000000-0005-0000-0000-0000C38B0000}"/>
    <cellStyle name="Normal 2 5 4 3" xfId="22403" xr:uid="{00000000-0005-0000-0000-0000C48B0000}"/>
    <cellStyle name="Normal 2 5 5" xfId="2352" xr:uid="{00000000-0005-0000-0000-0000C58B0000}"/>
    <cellStyle name="Normal 2 5 5 2" xfId="2353" xr:uid="{00000000-0005-0000-0000-0000C68B0000}"/>
    <cellStyle name="Normal 2 5 5 2 2" xfId="22406" xr:uid="{00000000-0005-0000-0000-0000C78B0000}"/>
    <cellStyle name="Normal 2 5 5 3" xfId="22405" xr:uid="{00000000-0005-0000-0000-0000C88B0000}"/>
    <cellStyle name="Normal 2 5 6" xfId="2354" xr:uid="{00000000-0005-0000-0000-0000C98B0000}"/>
    <cellStyle name="Normal 2 5 6 2" xfId="2355" xr:uid="{00000000-0005-0000-0000-0000CA8B0000}"/>
    <cellStyle name="Normal 2 5 6 2 2" xfId="22408" xr:uid="{00000000-0005-0000-0000-0000CB8B0000}"/>
    <cellStyle name="Normal 2 5 6 3" xfId="22407" xr:uid="{00000000-0005-0000-0000-0000CC8B0000}"/>
    <cellStyle name="Normal 2 5 7" xfId="7423" xr:uid="{00000000-0005-0000-0000-0000CD8B0000}"/>
    <cellStyle name="Normal 2 6" xfId="855" xr:uid="{00000000-0005-0000-0000-0000CE8B0000}"/>
    <cellStyle name="Normal 2 6 2" xfId="2356" xr:uid="{00000000-0005-0000-0000-0000CF8B0000}"/>
    <cellStyle name="Normal 2 6 2 2" xfId="2357" xr:uid="{00000000-0005-0000-0000-0000D08B0000}"/>
    <cellStyle name="Normal 2 6 2 2 2" xfId="2358" xr:uid="{00000000-0005-0000-0000-0000D18B0000}"/>
    <cellStyle name="Normal 2 6 2 2 2 2" xfId="18722" xr:uid="{00000000-0005-0000-0000-0000D28B0000}"/>
    <cellStyle name="Normal 2 6 2 2 2 2 2" xfId="36882" xr:uid="{00000000-0005-0000-0000-0000D38B0000}"/>
    <cellStyle name="Normal 2 6 2 2 2 3" xfId="22411" xr:uid="{00000000-0005-0000-0000-0000D48B0000}"/>
    <cellStyle name="Normal 2 6 2 2 3" xfId="10836" xr:uid="{00000000-0005-0000-0000-0000D58B0000}"/>
    <cellStyle name="Normal 2 6 2 2 3 2" xfId="29881" xr:uid="{00000000-0005-0000-0000-0000D68B0000}"/>
    <cellStyle name="Normal 2 6 2 2 4" xfId="22410" xr:uid="{00000000-0005-0000-0000-0000D78B0000}"/>
    <cellStyle name="Normal 2 6 2 3" xfId="2359" xr:uid="{00000000-0005-0000-0000-0000D88B0000}"/>
    <cellStyle name="Normal 2 6 2 3 2" xfId="2360" xr:uid="{00000000-0005-0000-0000-0000D98B0000}"/>
    <cellStyle name="Normal 2 6 2 3 2 2" xfId="22413" xr:uid="{00000000-0005-0000-0000-0000DA8B0000}"/>
    <cellStyle name="Normal 2 6 2 3 3" xfId="15515" xr:uid="{00000000-0005-0000-0000-0000DB8B0000}"/>
    <cellStyle name="Normal 2 6 2 3 3 2" xfId="33681" xr:uid="{00000000-0005-0000-0000-0000DC8B0000}"/>
    <cellStyle name="Normal 2 6 2 3 4" xfId="22412" xr:uid="{00000000-0005-0000-0000-0000DD8B0000}"/>
    <cellStyle name="Normal 2 6 2 4" xfId="2361" xr:uid="{00000000-0005-0000-0000-0000DE8B0000}"/>
    <cellStyle name="Normal 2 6 2 4 2" xfId="22414" xr:uid="{00000000-0005-0000-0000-0000DF8B0000}"/>
    <cellStyle name="Normal 2 6 2 5" xfId="7425" xr:uid="{00000000-0005-0000-0000-0000E08B0000}"/>
    <cellStyle name="Normal 2 6 2 5 2" xfId="26679" xr:uid="{00000000-0005-0000-0000-0000E18B0000}"/>
    <cellStyle name="Normal 2 6 2 6" xfId="22409" xr:uid="{00000000-0005-0000-0000-0000E28B0000}"/>
    <cellStyle name="Normal 2 6 3" xfId="2362" xr:uid="{00000000-0005-0000-0000-0000E38B0000}"/>
    <cellStyle name="Normal 2 6 3 2" xfId="2363" xr:uid="{00000000-0005-0000-0000-0000E48B0000}"/>
    <cellStyle name="Normal 2 6 3 2 2" xfId="16234" xr:uid="{00000000-0005-0000-0000-0000E58B0000}"/>
    <cellStyle name="Normal 2 6 3 2 2 2" xfId="34394" xr:uid="{00000000-0005-0000-0000-0000E68B0000}"/>
    <cellStyle name="Normal 2 6 3 2 3" xfId="22416" xr:uid="{00000000-0005-0000-0000-0000E78B0000}"/>
    <cellStyle name="Normal 2 6 3 3" xfId="8317" xr:uid="{00000000-0005-0000-0000-0000E88B0000}"/>
    <cellStyle name="Normal 2 6 3 3 2" xfId="27393" xr:uid="{00000000-0005-0000-0000-0000E98B0000}"/>
    <cellStyle name="Normal 2 6 3 4" xfId="22415" xr:uid="{00000000-0005-0000-0000-0000EA8B0000}"/>
    <cellStyle name="Normal 2 6 4" xfId="2364" xr:uid="{00000000-0005-0000-0000-0000EB8B0000}"/>
    <cellStyle name="Normal 2 6 4 2" xfId="2365" xr:uid="{00000000-0005-0000-0000-0000EC8B0000}"/>
    <cellStyle name="Normal 2 6 4 2 2" xfId="22418" xr:uid="{00000000-0005-0000-0000-0000ED8B0000}"/>
    <cellStyle name="Normal 2 6 4 3" xfId="15514" xr:uid="{00000000-0005-0000-0000-0000EE8B0000}"/>
    <cellStyle name="Normal 2 6 4 3 2" xfId="33680" xr:uid="{00000000-0005-0000-0000-0000EF8B0000}"/>
    <cellStyle name="Normal 2 6 4 4" xfId="22417" xr:uid="{00000000-0005-0000-0000-0000F08B0000}"/>
    <cellStyle name="Normal 2 6 5" xfId="2366" xr:uid="{00000000-0005-0000-0000-0000F18B0000}"/>
    <cellStyle name="Normal 2 6 5 2" xfId="2367" xr:uid="{00000000-0005-0000-0000-0000F28B0000}"/>
    <cellStyle name="Normal 2 6 5 2 2" xfId="22420" xr:uid="{00000000-0005-0000-0000-0000F38B0000}"/>
    <cellStyle name="Normal 2 6 5 3" xfId="22419" xr:uid="{00000000-0005-0000-0000-0000F48B0000}"/>
    <cellStyle name="Normal 2 6 6" xfId="2368" xr:uid="{00000000-0005-0000-0000-0000F58B0000}"/>
    <cellStyle name="Normal 2 6 6 2" xfId="2369" xr:uid="{00000000-0005-0000-0000-0000F68B0000}"/>
    <cellStyle name="Normal 2 6 6 2 2" xfId="22422" xr:uid="{00000000-0005-0000-0000-0000F78B0000}"/>
    <cellStyle name="Normal 2 6 6 3" xfId="22421" xr:uid="{00000000-0005-0000-0000-0000F88B0000}"/>
    <cellStyle name="Normal 2 6 7" xfId="7424" xr:uid="{00000000-0005-0000-0000-0000F98B0000}"/>
    <cellStyle name="Normal 2 6 7 2" xfId="26678" xr:uid="{00000000-0005-0000-0000-0000FA8B0000}"/>
    <cellStyle name="Normal 2 7" xfId="2370" xr:uid="{00000000-0005-0000-0000-0000FB8B0000}"/>
    <cellStyle name="Normal 2 7 2" xfId="2371" xr:uid="{00000000-0005-0000-0000-0000FC8B0000}"/>
    <cellStyle name="Normal 2 7 2 2" xfId="2372" xr:uid="{00000000-0005-0000-0000-0000FD8B0000}"/>
    <cellStyle name="Normal 2 7 2 2 2" xfId="2373" xr:uid="{00000000-0005-0000-0000-0000FE8B0000}"/>
    <cellStyle name="Normal 2 7 2 2 2 2" xfId="22426" xr:uid="{00000000-0005-0000-0000-0000FF8B0000}"/>
    <cellStyle name="Normal 2 7 2 2 3" xfId="22425" xr:uid="{00000000-0005-0000-0000-0000008C0000}"/>
    <cellStyle name="Normal 2 7 2 3" xfId="2374" xr:uid="{00000000-0005-0000-0000-0000018C0000}"/>
    <cellStyle name="Normal 2 7 2 3 2" xfId="2375" xr:uid="{00000000-0005-0000-0000-0000028C0000}"/>
    <cellStyle name="Normal 2 7 2 3 2 2" xfId="22428" xr:uid="{00000000-0005-0000-0000-0000038C0000}"/>
    <cellStyle name="Normal 2 7 2 3 3" xfId="22427" xr:uid="{00000000-0005-0000-0000-0000048C0000}"/>
    <cellStyle name="Normal 2 7 2 4" xfId="2376" xr:uid="{00000000-0005-0000-0000-0000058C0000}"/>
    <cellStyle name="Normal 2 7 2 4 2" xfId="22429" xr:uid="{00000000-0005-0000-0000-0000068C0000}"/>
    <cellStyle name="Normal 2 7 2 5" xfId="22424" xr:uid="{00000000-0005-0000-0000-0000078C0000}"/>
    <cellStyle name="Normal 2 7 3" xfId="2377" xr:uid="{00000000-0005-0000-0000-0000088C0000}"/>
    <cellStyle name="Normal 2 7 3 2" xfId="2378" xr:uid="{00000000-0005-0000-0000-0000098C0000}"/>
    <cellStyle name="Normal 2 7 3 2 2" xfId="22431" xr:uid="{00000000-0005-0000-0000-00000A8C0000}"/>
    <cellStyle name="Normal 2 7 3 3" xfId="22430" xr:uid="{00000000-0005-0000-0000-00000B8C0000}"/>
    <cellStyle name="Normal 2 7 4" xfId="2379" xr:uid="{00000000-0005-0000-0000-00000C8C0000}"/>
    <cellStyle name="Normal 2 7 4 2" xfId="2380" xr:uid="{00000000-0005-0000-0000-00000D8C0000}"/>
    <cellStyle name="Normal 2 7 4 2 2" xfId="22433" xr:uid="{00000000-0005-0000-0000-00000E8C0000}"/>
    <cellStyle name="Normal 2 7 4 3" xfId="22432" xr:uid="{00000000-0005-0000-0000-00000F8C0000}"/>
    <cellStyle name="Normal 2 7 5" xfId="2381" xr:uid="{00000000-0005-0000-0000-0000108C0000}"/>
    <cellStyle name="Normal 2 7 5 2" xfId="2382" xr:uid="{00000000-0005-0000-0000-0000118C0000}"/>
    <cellStyle name="Normal 2 7 5 2 2" xfId="22435" xr:uid="{00000000-0005-0000-0000-0000128C0000}"/>
    <cellStyle name="Normal 2 7 5 3" xfId="22434" xr:uid="{00000000-0005-0000-0000-0000138C0000}"/>
    <cellStyle name="Normal 2 7 6" xfId="2383" xr:uid="{00000000-0005-0000-0000-0000148C0000}"/>
    <cellStyle name="Normal 2 7 6 2" xfId="22436" xr:uid="{00000000-0005-0000-0000-0000158C0000}"/>
    <cellStyle name="Normal 2 7 7" xfId="7426" xr:uid="{00000000-0005-0000-0000-0000168C0000}"/>
    <cellStyle name="Normal 2 7 8" xfId="22423" xr:uid="{00000000-0005-0000-0000-0000178C0000}"/>
    <cellStyle name="Normal 2 8" xfId="2384" xr:uid="{00000000-0005-0000-0000-0000188C0000}"/>
    <cellStyle name="Normal 2 8 2" xfId="2385" xr:uid="{00000000-0005-0000-0000-0000198C0000}"/>
    <cellStyle name="Normal 2 8 2 2" xfId="2386" xr:uid="{00000000-0005-0000-0000-00001A8C0000}"/>
    <cellStyle name="Normal 2 8 2 2 2" xfId="2387" xr:uid="{00000000-0005-0000-0000-00001B8C0000}"/>
    <cellStyle name="Normal 2 8 2 2 2 2" xfId="22440" xr:uid="{00000000-0005-0000-0000-00001C8C0000}"/>
    <cellStyle name="Normal 2 8 2 2 3" xfId="22439" xr:uid="{00000000-0005-0000-0000-00001D8C0000}"/>
    <cellStyle name="Normal 2 8 2 3" xfId="2388" xr:uid="{00000000-0005-0000-0000-00001E8C0000}"/>
    <cellStyle name="Normal 2 8 2 3 2" xfId="2389" xr:uid="{00000000-0005-0000-0000-00001F8C0000}"/>
    <cellStyle name="Normal 2 8 2 3 2 2" xfId="22442" xr:uid="{00000000-0005-0000-0000-0000208C0000}"/>
    <cellStyle name="Normal 2 8 2 3 3" xfId="22441" xr:uid="{00000000-0005-0000-0000-0000218C0000}"/>
    <cellStyle name="Normal 2 8 2 4" xfId="2390" xr:uid="{00000000-0005-0000-0000-0000228C0000}"/>
    <cellStyle name="Normal 2 8 2 4 2" xfId="22443" xr:uid="{00000000-0005-0000-0000-0000238C0000}"/>
    <cellStyle name="Normal 2 8 2 5" xfId="15502" xr:uid="{00000000-0005-0000-0000-0000248C0000}"/>
    <cellStyle name="Normal 2 8 2 5 2" xfId="33668" xr:uid="{00000000-0005-0000-0000-0000258C0000}"/>
    <cellStyle name="Normal 2 8 2 6" xfId="22438" xr:uid="{00000000-0005-0000-0000-0000268C0000}"/>
    <cellStyle name="Normal 2 8 3" xfId="2391" xr:uid="{00000000-0005-0000-0000-0000278C0000}"/>
    <cellStyle name="Normal 2 8 3 2" xfId="2392" xr:uid="{00000000-0005-0000-0000-0000288C0000}"/>
    <cellStyle name="Normal 2 8 3 2 2" xfId="22445" xr:uid="{00000000-0005-0000-0000-0000298C0000}"/>
    <cellStyle name="Normal 2 8 3 3" xfId="22444" xr:uid="{00000000-0005-0000-0000-00002A8C0000}"/>
    <cellStyle name="Normal 2 8 4" xfId="2393" xr:uid="{00000000-0005-0000-0000-00002B8C0000}"/>
    <cellStyle name="Normal 2 8 4 2" xfId="2394" xr:uid="{00000000-0005-0000-0000-00002C8C0000}"/>
    <cellStyle name="Normal 2 8 4 2 2" xfId="22447" xr:uid="{00000000-0005-0000-0000-00002D8C0000}"/>
    <cellStyle name="Normal 2 8 4 3" xfId="22446" xr:uid="{00000000-0005-0000-0000-00002E8C0000}"/>
    <cellStyle name="Normal 2 8 5" xfId="2395" xr:uid="{00000000-0005-0000-0000-00002F8C0000}"/>
    <cellStyle name="Normal 2 8 5 2" xfId="2396" xr:uid="{00000000-0005-0000-0000-0000308C0000}"/>
    <cellStyle name="Normal 2 8 5 2 2" xfId="22449" xr:uid="{00000000-0005-0000-0000-0000318C0000}"/>
    <cellStyle name="Normal 2 8 5 3" xfId="22448" xr:uid="{00000000-0005-0000-0000-0000328C0000}"/>
    <cellStyle name="Normal 2 8 6" xfId="2397" xr:uid="{00000000-0005-0000-0000-0000338C0000}"/>
    <cellStyle name="Normal 2 8 6 2" xfId="22450" xr:uid="{00000000-0005-0000-0000-0000348C0000}"/>
    <cellStyle name="Normal 2 8 7" xfId="7406" xr:uid="{00000000-0005-0000-0000-0000358C0000}"/>
    <cellStyle name="Normal 2 8 7 2" xfId="26666" xr:uid="{00000000-0005-0000-0000-0000368C0000}"/>
    <cellStyle name="Normal 2 8 8" xfId="22437" xr:uid="{00000000-0005-0000-0000-0000378C0000}"/>
    <cellStyle name="Normal 2 9" xfId="2398" xr:uid="{00000000-0005-0000-0000-0000388C0000}"/>
    <cellStyle name="Normal 2 9 2" xfId="2399" xr:uid="{00000000-0005-0000-0000-0000398C0000}"/>
    <cellStyle name="Normal 2 9 2 2" xfId="2400" xr:uid="{00000000-0005-0000-0000-00003A8C0000}"/>
    <cellStyle name="Normal 2 9 2 2 2" xfId="2401" xr:uid="{00000000-0005-0000-0000-00003B8C0000}"/>
    <cellStyle name="Normal 2 9 2 2 2 2" xfId="22454" xr:uid="{00000000-0005-0000-0000-00003C8C0000}"/>
    <cellStyle name="Normal 2 9 2 2 3" xfId="22453" xr:uid="{00000000-0005-0000-0000-00003D8C0000}"/>
    <cellStyle name="Normal 2 9 2 3" xfId="2402" xr:uid="{00000000-0005-0000-0000-00003E8C0000}"/>
    <cellStyle name="Normal 2 9 2 3 2" xfId="2403" xr:uid="{00000000-0005-0000-0000-00003F8C0000}"/>
    <cellStyle name="Normal 2 9 2 3 2 2" xfId="22456" xr:uid="{00000000-0005-0000-0000-0000408C0000}"/>
    <cellStyle name="Normal 2 9 2 3 3" xfId="22455" xr:uid="{00000000-0005-0000-0000-0000418C0000}"/>
    <cellStyle name="Normal 2 9 2 4" xfId="2404" xr:uid="{00000000-0005-0000-0000-0000428C0000}"/>
    <cellStyle name="Normal 2 9 2 4 2" xfId="22457" xr:uid="{00000000-0005-0000-0000-0000438C0000}"/>
    <cellStyle name="Normal 2 9 2 5" xfId="12373" xr:uid="{00000000-0005-0000-0000-0000448C0000}"/>
    <cellStyle name="Normal 2 9 2 5 2" xfId="30540" xr:uid="{00000000-0005-0000-0000-0000458C0000}"/>
    <cellStyle name="Normal 2 9 2 6" xfId="22452" xr:uid="{00000000-0005-0000-0000-0000468C0000}"/>
    <cellStyle name="Normal 2 9 3" xfId="2405" xr:uid="{00000000-0005-0000-0000-0000478C0000}"/>
    <cellStyle name="Normal 2 9 3 2" xfId="2406" xr:uid="{00000000-0005-0000-0000-0000488C0000}"/>
    <cellStyle name="Normal 2 9 3 2 2" xfId="22459" xr:uid="{00000000-0005-0000-0000-0000498C0000}"/>
    <cellStyle name="Normal 2 9 3 3" xfId="22458" xr:uid="{00000000-0005-0000-0000-00004A8C0000}"/>
    <cellStyle name="Normal 2 9 4" xfId="2407" xr:uid="{00000000-0005-0000-0000-00004B8C0000}"/>
    <cellStyle name="Normal 2 9 4 2" xfId="2408" xr:uid="{00000000-0005-0000-0000-00004C8C0000}"/>
    <cellStyle name="Normal 2 9 4 2 2" xfId="22461" xr:uid="{00000000-0005-0000-0000-00004D8C0000}"/>
    <cellStyle name="Normal 2 9 4 3" xfId="22460" xr:uid="{00000000-0005-0000-0000-00004E8C0000}"/>
    <cellStyle name="Normal 2 9 5" xfId="2409" xr:uid="{00000000-0005-0000-0000-00004F8C0000}"/>
    <cellStyle name="Normal 2 9 5 2" xfId="22462" xr:uid="{00000000-0005-0000-0000-0000508C0000}"/>
    <cellStyle name="Normal 2 9 6" xfId="3817" xr:uid="{00000000-0005-0000-0000-0000518C0000}"/>
    <cellStyle name="Normal 2 9 6 2" xfId="23538" xr:uid="{00000000-0005-0000-0000-0000528C0000}"/>
    <cellStyle name="Normal 2 9 7" xfId="22451" xr:uid="{00000000-0005-0000-0000-0000538C0000}"/>
    <cellStyle name="Normal 20" xfId="2410" xr:uid="{00000000-0005-0000-0000-0000548C0000}"/>
    <cellStyle name="Normal 20 2" xfId="2411" xr:uid="{00000000-0005-0000-0000-0000558C0000}"/>
    <cellStyle name="Normal 20 2 2" xfId="11145" xr:uid="{00000000-0005-0000-0000-0000568C0000}"/>
    <cellStyle name="Normal 20 2 3" xfId="10847" xr:uid="{00000000-0005-0000-0000-0000578C0000}"/>
    <cellStyle name="Normal 20 2 4" xfId="22464" xr:uid="{00000000-0005-0000-0000-0000588C0000}"/>
    <cellStyle name="Normal 20 3" xfId="11104" xr:uid="{00000000-0005-0000-0000-0000598C0000}"/>
    <cellStyle name="Normal 20 4" xfId="7427" xr:uid="{00000000-0005-0000-0000-00005A8C0000}"/>
    <cellStyle name="Normal 20 5" xfId="22463" xr:uid="{00000000-0005-0000-0000-00005B8C0000}"/>
    <cellStyle name="Normal 21" xfId="2412" xr:uid="{00000000-0005-0000-0000-00005C8C0000}"/>
    <cellStyle name="Normal 21 2" xfId="2413" xr:uid="{00000000-0005-0000-0000-00005D8C0000}"/>
    <cellStyle name="Normal 21 2 2" xfId="11074" xr:uid="{00000000-0005-0000-0000-00005E8C0000}"/>
    <cellStyle name="Normal 21 2 3" xfId="22466" xr:uid="{00000000-0005-0000-0000-00005F8C0000}"/>
    <cellStyle name="Normal 21 3" xfId="3826" xr:uid="{00000000-0005-0000-0000-0000608C0000}"/>
    <cellStyle name="Normal 21 4" xfId="22465" xr:uid="{00000000-0005-0000-0000-0000618C0000}"/>
    <cellStyle name="Normal 22" xfId="2414" xr:uid="{00000000-0005-0000-0000-0000628C0000}"/>
    <cellStyle name="Normal 22 2" xfId="2415" xr:uid="{00000000-0005-0000-0000-0000638C0000}"/>
    <cellStyle name="Normal 22 2 2" xfId="18914" xr:uid="{00000000-0005-0000-0000-0000648C0000}"/>
    <cellStyle name="Normal 22 2 2 2" xfId="37074" xr:uid="{00000000-0005-0000-0000-0000658C0000}"/>
    <cellStyle name="Normal 22 2 3" xfId="22468" xr:uid="{00000000-0005-0000-0000-0000668C0000}"/>
    <cellStyle name="Normal 22 3" xfId="11065" xr:uid="{00000000-0005-0000-0000-0000678C0000}"/>
    <cellStyle name="Normal 22 3 2" xfId="30073" xr:uid="{00000000-0005-0000-0000-0000688C0000}"/>
    <cellStyle name="Normal 22 4" xfId="22467" xr:uid="{00000000-0005-0000-0000-0000698C0000}"/>
    <cellStyle name="Normal 23" xfId="2416" xr:uid="{00000000-0005-0000-0000-00006A8C0000}"/>
    <cellStyle name="Normal 23 2" xfId="2417" xr:uid="{00000000-0005-0000-0000-00006B8C0000}"/>
    <cellStyle name="Normal 23 2 2" xfId="11146" xr:uid="{00000000-0005-0000-0000-00006C8C0000}"/>
    <cellStyle name="Normal 23 2 3" xfId="22470" xr:uid="{00000000-0005-0000-0000-00006D8C0000}"/>
    <cellStyle name="Normal 23 3" xfId="3814" xr:uid="{00000000-0005-0000-0000-00006E8C0000}"/>
    <cellStyle name="Normal 23 4" xfId="22469" xr:uid="{00000000-0005-0000-0000-00006F8C0000}"/>
    <cellStyle name="Normal 24" xfId="2418" xr:uid="{00000000-0005-0000-0000-0000708C0000}"/>
    <cellStyle name="Normal 24 2" xfId="11150" xr:uid="{00000000-0005-0000-0000-0000718C0000}"/>
    <cellStyle name="Normal 24 3" xfId="11071" xr:uid="{00000000-0005-0000-0000-0000728C0000}"/>
    <cellStyle name="Normal 25" xfId="2419" xr:uid="{00000000-0005-0000-0000-0000738C0000}"/>
    <cellStyle name="Normal 25 2" xfId="11147" xr:uid="{00000000-0005-0000-0000-0000748C0000}"/>
    <cellStyle name="Normal 26" xfId="2420" xr:uid="{00000000-0005-0000-0000-0000758C0000}"/>
    <cellStyle name="Normal 26 2" xfId="12369" xr:uid="{00000000-0005-0000-0000-0000768C0000}"/>
    <cellStyle name="Normal 26 2 2" xfId="30536" xr:uid="{00000000-0005-0000-0000-0000778C0000}"/>
    <cellStyle name="Normal 26 3" xfId="3811" xr:uid="{00000000-0005-0000-0000-0000788C0000}"/>
    <cellStyle name="Normal 26 3 2" xfId="23534" xr:uid="{00000000-0005-0000-0000-0000798C0000}"/>
    <cellStyle name="Normal 27" xfId="2421" xr:uid="{00000000-0005-0000-0000-00007A8C0000}"/>
    <cellStyle name="Normal 27 2" xfId="18964" xr:uid="{00000000-0005-0000-0000-00007B8C0000}"/>
    <cellStyle name="Normal 27 2 2" xfId="37123" xr:uid="{00000000-0005-0000-0000-00007C8C0000}"/>
    <cellStyle name="Normal 27 3" xfId="11191" xr:uid="{00000000-0005-0000-0000-00007D8C0000}"/>
    <cellStyle name="Normal 27 3 2" xfId="30122" xr:uid="{00000000-0005-0000-0000-00007E8C0000}"/>
    <cellStyle name="Normal 28" xfId="2422" xr:uid="{00000000-0005-0000-0000-00007F8C0000}"/>
    <cellStyle name="Normal 28 2" xfId="11954" xr:uid="{00000000-0005-0000-0000-0000808C0000}"/>
    <cellStyle name="Normal 29" xfId="2423" xr:uid="{00000000-0005-0000-0000-0000818C0000}"/>
    <cellStyle name="Normal 29 2" xfId="11930" xr:uid="{00000000-0005-0000-0000-0000828C0000}"/>
    <cellStyle name="Normal 29 2 2" xfId="30129" xr:uid="{00000000-0005-0000-0000-0000838C0000}"/>
    <cellStyle name="Normal 3" xfId="856" xr:uid="{00000000-0005-0000-0000-0000848C0000}"/>
    <cellStyle name="Normal 3 10" xfId="2424" xr:uid="{00000000-0005-0000-0000-0000858C0000}"/>
    <cellStyle name="Normal 3 10 2" xfId="2425" xr:uid="{00000000-0005-0000-0000-0000868C0000}"/>
    <cellStyle name="Normal 3 10 2 2" xfId="2426" xr:uid="{00000000-0005-0000-0000-0000878C0000}"/>
    <cellStyle name="Normal 3 10 2 2 2" xfId="22473" xr:uid="{00000000-0005-0000-0000-0000888C0000}"/>
    <cellStyle name="Normal 3 10 2 3" xfId="22472" xr:uid="{00000000-0005-0000-0000-0000898C0000}"/>
    <cellStyle name="Normal 3 10 3" xfId="2427" xr:uid="{00000000-0005-0000-0000-00008A8C0000}"/>
    <cellStyle name="Normal 3 10 3 2" xfId="22474" xr:uid="{00000000-0005-0000-0000-00008B8C0000}"/>
    <cellStyle name="Normal 3 10 4" xfId="11932" xr:uid="{00000000-0005-0000-0000-00008C8C0000}"/>
    <cellStyle name="Normal 3 10 4 2" xfId="30130" xr:uid="{00000000-0005-0000-0000-00008D8C0000}"/>
    <cellStyle name="Normal 3 10 5" xfId="22471" xr:uid="{00000000-0005-0000-0000-00008E8C0000}"/>
    <cellStyle name="Normal 3 11" xfId="2428" xr:uid="{00000000-0005-0000-0000-00008F8C0000}"/>
    <cellStyle name="Normal 3 11 2" xfId="2429" xr:uid="{00000000-0005-0000-0000-0000908C0000}"/>
    <cellStyle name="Normal 3 11 2 2" xfId="22476" xr:uid="{00000000-0005-0000-0000-0000918C0000}"/>
    <cellStyle name="Normal 3 11 3" xfId="19712" xr:uid="{00000000-0005-0000-0000-0000928C0000}"/>
    <cellStyle name="Normal 3 11 4" xfId="22475" xr:uid="{00000000-0005-0000-0000-0000938C0000}"/>
    <cellStyle name="Normal 3 12" xfId="2430" xr:uid="{00000000-0005-0000-0000-0000948C0000}"/>
    <cellStyle name="Normal 3 12 2" xfId="2431" xr:uid="{00000000-0005-0000-0000-0000958C0000}"/>
    <cellStyle name="Normal 3 12 2 2" xfId="22478" xr:uid="{00000000-0005-0000-0000-0000968C0000}"/>
    <cellStyle name="Normal 3 12 3" xfId="22477" xr:uid="{00000000-0005-0000-0000-0000978C0000}"/>
    <cellStyle name="Normal 3 13" xfId="2432" xr:uid="{00000000-0005-0000-0000-0000988C0000}"/>
    <cellStyle name="Normal 3 13 2" xfId="2433" xr:uid="{00000000-0005-0000-0000-0000998C0000}"/>
    <cellStyle name="Normal 3 13 2 2" xfId="22480" xr:uid="{00000000-0005-0000-0000-00009A8C0000}"/>
    <cellStyle name="Normal 3 13 3" xfId="22479" xr:uid="{00000000-0005-0000-0000-00009B8C0000}"/>
    <cellStyle name="Normal 3 14" xfId="2434" xr:uid="{00000000-0005-0000-0000-00009C8C0000}"/>
    <cellStyle name="Normal 3 14 2" xfId="2435" xr:uid="{00000000-0005-0000-0000-00009D8C0000}"/>
    <cellStyle name="Normal 3 14 2 2" xfId="22482" xr:uid="{00000000-0005-0000-0000-00009E8C0000}"/>
    <cellStyle name="Normal 3 14 3" xfId="22481" xr:uid="{00000000-0005-0000-0000-00009F8C0000}"/>
    <cellStyle name="Normal 3 15" xfId="3447" xr:uid="{00000000-0005-0000-0000-0000A08C0000}"/>
    <cellStyle name="Normal 3 15 2" xfId="23447" xr:uid="{00000000-0005-0000-0000-0000A18C0000}"/>
    <cellStyle name="Normal 3 16" xfId="21778" xr:uid="{00000000-0005-0000-0000-0000A28C0000}"/>
    <cellStyle name="Normal 3 17" xfId="39351" xr:uid="{00000000-0005-0000-0000-0000A38C0000}"/>
    <cellStyle name="Normal 3 18" xfId="39931" xr:uid="{00000000-0005-0000-0000-0000A48C0000}"/>
    <cellStyle name="Normal 3 19" xfId="40417" xr:uid="{00000000-0005-0000-0000-0000A58C0000}"/>
    <cellStyle name="Normal 3 2" xfId="857" xr:uid="{00000000-0005-0000-0000-0000A68C0000}"/>
    <cellStyle name="Normal 3 2 10" xfId="3448" xr:uid="{00000000-0005-0000-0000-0000A78C0000}"/>
    <cellStyle name="Normal 3 2 10 2" xfId="23448" xr:uid="{00000000-0005-0000-0000-0000A88C0000}"/>
    <cellStyle name="Normal 3 2 11" xfId="21779" xr:uid="{00000000-0005-0000-0000-0000A98C0000}"/>
    <cellStyle name="Normal 3 2 12" xfId="38629" xr:uid="{00000000-0005-0000-0000-0000AA8C0000}"/>
    <cellStyle name="Normal 3 2 13" xfId="39352" xr:uid="{00000000-0005-0000-0000-0000AB8C0000}"/>
    <cellStyle name="Normal 3 2 14" xfId="39932" xr:uid="{00000000-0005-0000-0000-0000AC8C0000}"/>
    <cellStyle name="Normal 3 2 15" xfId="40418" xr:uid="{00000000-0005-0000-0000-0000AD8C0000}"/>
    <cellStyle name="Normal 3 2 2" xfId="858" xr:uid="{00000000-0005-0000-0000-0000AE8C0000}"/>
    <cellStyle name="Normal 3 2 2 10" xfId="40419" xr:uid="{00000000-0005-0000-0000-0000AF8C0000}"/>
    <cellStyle name="Normal 3 2 2 2" xfId="2436" xr:uid="{00000000-0005-0000-0000-0000B08C0000}"/>
    <cellStyle name="Normal 3 2 2 2 2" xfId="2437" xr:uid="{00000000-0005-0000-0000-0000B18C0000}"/>
    <cellStyle name="Normal 3 2 2 2 2 2" xfId="11106" xr:uid="{00000000-0005-0000-0000-0000B28C0000}"/>
    <cellStyle name="Normal 3 2 2 2 2 3" xfId="22484" xr:uid="{00000000-0005-0000-0000-0000B38C0000}"/>
    <cellStyle name="Normal 3 2 2 2 3" xfId="11186" xr:uid="{00000000-0005-0000-0000-0000B48C0000}"/>
    <cellStyle name="Normal 3 2 2 2 3 2" xfId="18960" xr:uid="{00000000-0005-0000-0000-0000B58C0000}"/>
    <cellStyle name="Normal 3 2 2 2 3 2 2" xfId="37119" xr:uid="{00000000-0005-0000-0000-0000B68C0000}"/>
    <cellStyle name="Normal 3 2 2 2 3 3" xfId="30118" xr:uid="{00000000-0005-0000-0000-0000B78C0000}"/>
    <cellStyle name="Normal 3 2 2 2 4" xfId="12362" xr:uid="{00000000-0005-0000-0000-0000B88C0000}"/>
    <cellStyle name="Normal 3 2 2 2 4 2" xfId="30532" xr:uid="{00000000-0005-0000-0000-0000B98C0000}"/>
    <cellStyle name="Normal 3 2 2 2 5" xfId="3602" xr:uid="{00000000-0005-0000-0000-0000BA8C0000}"/>
    <cellStyle name="Normal 3 2 2 2 5 2" xfId="23530" xr:uid="{00000000-0005-0000-0000-0000BB8C0000}"/>
    <cellStyle name="Normal 3 2 2 2 6" xfId="22483" xr:uid="{00000000-0005-0000-0000-0000BC8C0000}"/>
    <cellStyle name="Normal 3 2 2 2 7" xfId="39446" xr:uid="{00000000-0005-0000-0000-0000BD8C0000}"/>
    <cellStyle name="Normal 3 2 2 3" xfId="2438" xr:uid="{00000000-0005-0000-0000-0000BE8C0000}"/>
    <cellStyle name="Normal 3 2 2 3 2" xfId="2439" xr:uid="{00000000-0005-0000-0000-0000BF8C0000}"/>
    <cellStyle name="Normal 3 2 2 3 2 2" xfId="21234" xr:uid="{00000000-0005-0000-0000-0000C08C0000}"/>
    <cellStyle name="Normal 3 2 2 3 2 2 2" xfId="38081" xr:uid="{00000000-0005-0000-0000-0000C18C0000}"/>
    <cellStyle name="Normal 3 2 2 3 2 3" xfId="22486" xr:uid="{00000000-0005-0000-0000-0000C28C0000}"/>
    <cellStyle name="Normal 3 2 2 3 3" xfId="7430" xr:uid="{00000000-0005-0000-0000-0000C38C0000}"/>
    <cellStyle name="Normal 3 2 2 3 4" xfId="22485" xr:uid="{00000000-0005-0000-0000-0000C48C0000}"/>
    <cellStyle name="Normal 3 2 2 3 5" xfId="39036" xr:uid="{00000000-0005-0000-0000-0000C58C0000}"/>
    <cellStyle name="Normal 3 2 2 4" xfId="2440" xr:uid="{00000000-0005-0000-0000-0000C68C0000}"/>
    <cellStyle name="Normal 3 2 2 4 2" xfId="2441" xr:uid="{00000000-0005-0000-0000-0000C78C0000}"/>
    <cellStyle name="Normal 3 2 2 4 2 2" xfId="18929" xr:uid="{00000000-0005-0000-0000-0000C88C0000}"/>
    <cellStyle name="Normal 3 2 2 4 2 2 2" xfId="37088" xr:uid="{00000000-0005-0000-0000-0000C98C0000}"/>
    <cellStyle name="Normal 3 2 2 4 2 3" xfId="22488" xr:uid="{00000000-0005-0000-0000-0000CA8C0000}"/>
    <cellStyle name="Normal 3 2 2 4 3" xfId="11154" xr:uid="{00000000-0005-0000-0000-0000CB8C0000}"/>
    <cellStyle name="Normal 3 2 2 4 3 2" xfId="30087" xr:uid="{00000000-0005-0000-0000-0000CC8C0000}"/>
    <cellStyle name="Normal 3 2 2 4 4" xfId="22487" xr:uid="{00000000-0005-0000-0000-0000CD8C0000}"/>
    <cellStyle name="Normal 3 2 2 5" xfId="2442" xr:uid="{00000000-0005-0000-0000-0000CE8C0000}"/>
    <cellStyle name="Normal 3 2 2 5 2" xfId="12267" xr:uid="{00000000-0005-0000-0000-0000CF8C0000}"/>
    <cellStyle name="Normal 3 2 2 5 2 2" xfId="30452" xr:uid="{00000000-0005-0000-0000-0000D08C0000}"/>
    <cellStyle name="Normal 3 2 2 5 3" xfId="22489" xr:uid="{00000000-0005-0000-0000-0000D18C0000}"/>
    <cellStyle name="Normal 3 2 2 6" xfId="3449" xr:uid="{00000000-0005-0000-0000-0000D28C0000}"/>
    <cellStyle name="Normal 3 2 2 6 2" xfId="23449" xr:uid="{00000000-0005-0000-0000-0000D38C0000}"/>
    <cellStyle name="Normal 3 2 2 7" xfId="21780" xr:uid="{00000000-0005-0000-0000-0000D48C0000}"/>
    <cellStyle name="Normal 3 2 2 8" xfId="39353" xr:uid="{00000000-0005-0000-0000-0000D58C0000}"/>
    <cellStyle name="Normal 3 2 2 9" xfId="39933" xr:uid="{00000000-0005-0000-0000-0000D68C0000}"/>
    <cellStyle name="Normal 3 2 3" xfId="2443" xr:uid="{00000000-0005-0000-0000-0000D78C0000}"/>
    <cellStyle name="Normal 3 2 3 10" xfId="39445" xr:uid="{00000000-0005-0000-0000-0000D88C0000}"/>
    <cellStyle name="Normal 3 2 3 2" xfId="2444" xr:uid="{00000000-0005-0000-0000-0000D98C0000}"/>
    <cellStyle name="Normal 3 2 3 2 2" xfId="18822" xr:uid="{00000000-0005-0000-0000-0000DA8C0000}"/>
    <cellStyle name="Normal 3 2 3 2 2 2" xfId="36982" xr:uid="{00000000-0005-0000-0000-0000DB8C0000}"/>
    <cellStyle name="Normal 3 2 3 2 3" xfId="21212" xr:uid="{00000000-0005-0000-0000-0000DC8C0000}"/>
    <cellStyle name="Normal 3 2 3 2 3 2" xfId="38063" xr:uid="{00000000-0005-0000-0000-0000DD8C0000}"/>
    <cellStyle name="Normal 3 2 3 2 4" xfId="10942" xr:uid="{00000000-0005-0000-0000-0000DE8C0000}"/>
    <cellStyle name="Normal 3 2 3 2 4 2" xfId="29981" xr:uid="{00000000-0005-0000-0000-0000DF8C0000}"/>
    <cellStyle name="Normal 3 2 3 2 5" xfId="22491" xr:uid="{00000000-0005-0000-0000-0000E08C0000}"/>
    <cellStyle name="Normal 3 2 3 2 6" xfId="39018" xr:uid="{00000000-0005-0000-0000-0000E18C0000}"/>
    <cellStyle name="Normal 3 2 3 3" xfId="7431" xr:uid="{00000000-0005-0000-0000-0000E28C0000}"/>
    <cellStyle name="Normal 3 2 3 3 2" xfId="15517" xr:uid="{00000000-0005-0000-0000-0000E38C0000}"/>
    <cellStyle name="Normal 3 2 3 3 2 2" xfId="33683" xr:uid="{00000000-0005-0000-0000-0000E48C0000}"/>
    <cellStyle name="Normal 3 2 3 3 3" xfId="26681" xr:uid="{00000000-0005-0000-0000-0000E58C0000}"/>
    <cellStyle name="Normal 3 2 3 4" xfId="11185" xr:uid="{00000000-0005-0000-0000-0000E68C0000}"/>
    <cellStyle name="Normal 3 2 3 4 2" xfId="18959" xr:uid="{00000000-0005-0000-0000-0000E78C0000}"/>
    <cellStyle name="Normal 3 2 3 4 2 2" xfId="37118" xr:uid="{00000000-0005-0000-0000-0000E88C0000}"/>
    <cellStyle name="Normal 3 2 3 4 3" xfId="30117" xr:uid="{00000000-0005-0000-0000-0000E98C0000}"/>
    <cellStyle name="Normal 3 2 3 5" xfId="12361" xr:uid="{00000000-0005-0000-0000-0000EA8C0000}"/>
    <cellStyle name="Normal 3 2 3 5 2" xfId="30531" xr:uid="{00000000-0005-0000-0000-0000EB8C0000}"/>
    <cellStyle name="Normal 3 2 3 6" xfId="20727" xr:uid="{00000000-0005-0000-0000-0000EC8C0000}"/>
    <cellStyle name="Normal 3 2 3 6 2" xfId="38043" xr:uid="{00000000-0005-0000-0000-0000ED8C0000}"/>
    <cellStyle name="Normal 3 2 3 7" xfId="3601" xr:uid="{00000000-0005-0000-0000-0000EE8C0000}"/>
    <cellStyle name="Normal 3 2 3 7 2" xfId="23529" xr:uid="{00000000-0005-0000-0000-0000EF8C0000}"/>
    <cellStyle name="Normal 3 2 3 8" xfId="22490" xr:uid="{00000000-0005-0000-0000-0000F08C0000}"/>
    <cellStyle name="Normal 3 2 3 9" xfId="38998" xr:uid="{00000000-0005-0000-0000-0000F18C0000}"/>
    <cellStyle name="Normal 3 2 4" xfId="2445" xr:uid="{00000000-0005-0000-0000-0000F28C0000}"/>
    <cellStyle name="Normal 3 2 4 2" xfId="2446" xr:uid="{00000000-0005-0000-0000-0000F38C0000}"/>
    <cellStyle name="Normal 3 2 4 2 2" xfId="16239" xr:uid="{00000000-0005-0000-0000-0000F48C0000}"/>
    <cellStyle name="Normal 3 2 4 2 2 2" xfId="34399" xr:uid="{00000000-0005-0000-0000-0000F58C0000}"/>
    <cellStyle name="Normal 3 2 4 2 3" xfId="22493" xr:uid="{00000000-0005-0000-0000-0000F68C0000}"/>
    <cellStyle name="Normal 3 2 4 3" xfId="21228" xr:uid="{00000000-0005-0000-0000-0000F78C0000}"/>
    <cellStyle name="Normal 3 2 4 3 2" xfId="38077" xr:uid="{00000000-0005-0000-0000-0000F88C0000}"/>
    <cellStyle name="Normal 3 2 4 4" xfId="8322" xr:uid="{00000000-0005-0000-0000-0000F98C0000}"/>
    <cellStyle name="Normal 3 2 4 4 2" xfId="27398" xr:uid="{00000000-0005-0000-0000-0000FA8C0000}"/>
    <cellStyle name="Normal 3 2 4 5" xfId="22492" xr:uid="{00000000-0005-0000-0000-0000FB8C0000}"/>
    <cellStyle name="Normal 3 2 4 6" xfId="39032" xr:uid="{00000000-0005-0000-0000-0000FC8C0000}"/>
    <cellStyle name="Normal 3 2 5" xfId="2447" xr:uid="{00000000-0005-0000-0000-0000FD8C0000}"/>
    <cellStyle name="Normal 3 2 5 2" xfId="2448" xr:uid="{00000000-0005-0000-0000-0000FE8C0000}"/>
    <cellStyle name="Normal 3 2 5 2 2" xfId="15516" xr:uid="{00000000-0005-0000-0000-0000FF8C0000}"/>
    <cellStyle name="Normal 3 2 5 2 2 2" xfId="33682" xr:uid="{00000000-0005-0000-0000-0000008D0000}"/>
    <cellStyle name="Normal 3 2 5 2 3" xfId="22495" xr:uid="{00000000-0005-0000-0000-0000018D0000}"/>
    <cellStyle name="Normal 3 2 5 3" xfId="21193" xr:uid="{00000000-0005-0000-0000-0000028D0000}"/>
    <cellStyle name="Normal 3 2 5 3 2" xfId="38053" xr:uid="{00000000-0005-0000-0000-0000038D0000}"/>
    <cellStyle name="Normal 3 2 5 4" xfId="7429" xr:uid="{00000000-0005-0000-0000-0000048D0000}"/>
    <cellStyle name="Normal 3 2 5 4 2" xfId="26680" xr:uid="{00000000-0005-0000-0000-0000058D0000}"/>
    <cellStyle name="Normal 3 2 5 5" xfId="22494" xr:uid="{00000000-0005-0000-0000-0000068D0000}"/>
    <cellStyle name="Normal 3 2 5 6" xfId="39008" xr:uid="{00000000-0005-0000-0000-0000078D0000}"/>
    <cellStyle name="Normal 3 2 6" xfId="2449" xr:uid="{00000000-0005-0000-0000-0000088D0000}"/>
    <cellStyle name="Normal 3 2 6 2" xfId="2450" xr:uid="{00000000-0005-0000-0000-0000098D0000}"/>
    <cellStyle name="Normal 3 2 6 2 2" xfId="18928" xr:uid="{00000000-0005-0000-0000-00000A8D0000}"/>
    <cellStyle name="Normal 3 2 6 2 2 2" xfId="37087" xr:uid="{00000000-0005-0000-0000-00000B8D0000}"/>
    <cellStyle name="Normal 3 2 6 2 3" xfId="22497" xr:uid="{00000000-0005-0000-0000-00000C8D0000}"/>
    <cellStyle name="Normal 3 2 6 3" xfId="11153" xr:uid="{00000000-0005-0000-0000-00000D8D0000}"/>
    <cellStyle name="Normal 3 2 6 3 2" xfId="30086" xr:uid="{00000000-0005-0000-0000-00000E8D0000}"/>
    <cellStyle name="Normal 3 2 6 4" xfId="22496" xr:uid="{00000000-0005-0000-0000-00000F8D0000}"/>
    <cellStyle name="Normal 3 2 7" xfId="2451" xr:uid="{00000000-0005-0000-0000-0000108D0000}"/>
    <cellStyle name="Normal 3 2 7 2" xfId="2452" xr:uid="{00000000-0005-0000-0000-0000118D0000}"/>
    <cellStyle name="Normal 3 2 7 2 2" xfId="18967" xr:uid="{00000000-0005-0000-0000-0000128D0000}"/>
    <cellStyle name="Normal 3 2 7 2 2 2" xfId="37125" xr:uid="{00000000-0005-0000-0000-0000138D0000}"/>
    <cellStyle name="Normal 3 2 7 2 3" xfId="22499" xr:uid="{00000000-0005-0000-0000-0000148D0000}"/>
    <cellStyle name="Normal 3 2 7 3" xfId="11708" xr:uid="{00000000-0005-0000-0000-0000158D0000}"/>
    <cellStyle name="Normal 3 2 7 3 2" xfId="30124" xr:uid="{00000000-0005-0000-0000-0000168D0000}"/>
    <cellStyle name="Normal 3 2 7 4" xfId="22498" xr:uid="{00000000-0005-0000-0000-0000178D0000}"/>
    <cellStyle name="Normal 3 2 8" xfId="2453" xr:uid="{00000000-0005-0000-0000-0000188D0000}"/>
    <cellStyle name="Normal 3 2 8 2" xfId="11933" xr:uid="{00000000-0005-0000-0000-0000198D0000}"/>
    <cellStyle name="Normal 3 2 8 2 2" xfId="30131" xr:uid="{00000000-0005-0000-0000-00001A8D0000}"/>
    <cellStyle name="Normal 3 2 9" xfId="19713" xr:uid="{00000000-0005-0000-0000-00001B8D0000}"/>
    <cellStyle name="Normal 3 2 9 2" xfId="37674" xr:uid="{00000000-0005-0000-0000-00001C8D0000}"/>
    <cellStyle name="Normal 3 3" xfId="859" xr:uid="{00000000-0005-0000-0000-00001D8D0000}"/>
    <cellStyle name="Normal 3 3 2" xfId="2454" xr:uid="{00000000-0005-0000-0000-00001E8D0000}"/>
    <cellStyle name="Normal 3 3 2 2" xfId="2455" xr:uid="{00000000-0005-0000-0000-00001F8D0000}"/>
    <cellStyle name="Normal 3 3 2 2 2" xfId="2456" xr:uid="{00000000-0005-0000-0000-0000208D0000}"/>
    <cellStyle name="Normal 3 3 2 2 2 2" xfId="22502" xr:uid="{00000000-0005-0000-0000-0000218D0000}"/>
    <cellStyle name="Normal 3 3 2 2 3" xfId="21213" xr:uid="{00000000-0005-0000-0000-0000228D0000}"/>
    <cellStyle name="Normal 3 3 2 2 3 2" xfId="38064" xr:uid="{00000000-0005-0000-0000-0000238D0000}"/>
    <cellStyle name="Normal 3 3 2 2 4" xfId="22501" xr:uid="{00000000-0005-0000-0000-0000248D0000}"/>
    <cellStyle name="Normal 3 3 2 2 5" xfId="39019" xr:uid="{00000000-0005-0000-0000-0000258D0000}"/>
    <cellStyle name="Normal 3 3 2 3" xfId="2457" xr:uid="{00000000-0005-0000-0000-0000268D0000}"/>
    <cellStyle name="Normal 3 3 2 3 2" xfId="2458" xr:uid="{00000000-0005-0000-0000-0000278D0000}"/>
    <cellStyle name="Normal 3 3 2 3 2 2" xfId="22504" xr:uid="{00000000-0005-0000-0000-0000288D0000}"/>
    <cellStyle name="Normal 3 3 2 3 3" xfId="20728" xr:uid="{00000000-0005-0000-0000-0000298D0000}"/>
    <cellStyle name="Normal 3 3 2 3 3 2" xfId="38044" xr:uid="{00000000-0005-0000-0000-00002A8D0000}"/>
    <cellStyle name="Normal 3 3 2 3 4" xfId="22503" xr:uid="{00000000-0005-0000-0000-00002B8D0000}"/>
    <cellStyle name="Normal 3 3 2 4" xfId="2459" xr:uid="{00000000-0005-0000-0000-00002C8D0000}"/>
    <cellStyle name="Normal 3 3 2 4 2" xfId="22505" xr:uid="{00000000-0005-0000-0000-00002D8D0000}"/>
    <cellStyle name="Normal 3 3 2 5" xfId="11107" xr:uid="{00000000-0005-0000-0000-00002E8D0000}"/>
    <cellStyle name="Normal 3 3 2 6" xfId="22500" xr:uid="{00000000-0005-0000-0000-00002F8D0000}"/>
    <cellStyle name="Normal 3 3 2 7" xfId="38999" xr:uid="{00000000-0005-0000-0000-0000308D0000}"/>
    <cellStyle name="Normal 3 3 3" xfId="2460" xr:uid="{00000000-0005-0000-0000-0000318D0000}"/>
    <cellStyle name="Normal 3 3 3 2" xfId="2461" xr:uid="{00000000-0005-0000-0000-0000328D0000}"/>
    <cellStyle name="Normal 3 3 3 2 2" xfId="21233" xr:uid="{00000000-0005-0000-0000-0000338D0000}"/>
    <cellStyle name="Normal 3 3 3 2 2 2" xfId="38080" xr:uid="{00000000-0005-0000-0000-0000348D0000}"/>
    <cellStyle name="Normal 3 3 3 2 3" xfId="22507" xr:uid="{00000000-0005-0000-0000-0000358D0000}"/>
    <cellStyle name="Normal 3 3 3 3" xfId="7432" xr:uid="{00000000-0005-0000-0000-0000368D0000}"/>
    <cellStyle name="Normal 3 3 3 4" xfId="22506" xr:uid="{00000000-0005-0000-0000-0000378D0000}"/>
    <cellStyle name="Normal 3 3 3 5" xfId="39035" xr:uid="{00000000-0005-0000-0000-0000388D0000}"/>
    <cellStyle name="Normal 3 3 4" xfId="2462" xr:uid="{00000000-0005-0000-0000-0000398D0000}"/>
    <cellStyle name="Normal 3 3 4 2" xfId="2463" xr:uid="{00000000-0005-0000-0000-00003A8D0000}"/>
    <cellStyle name="Normal 3 3 4 2 2" xfId="22509" xr:uid="{00000000-0005-0000-0000-00003B8D0000}"/>
    <cellStyle name="Normal 3 3 4 3" xfId="21194" xr:uid="{00000000-0005-0000-0000-00003C8D0000}"/>
    <cellStyle name="Normal 3 3 4 3 2" xfId="38054" xr:uid="{00000000-0005-0000-0000-00003D8D0000}"/>
    <cellStyle name="Normal 3 3 4 4" xfId="22508" xr:uid="{00000000-0005-0000-0000-00003E8D0000}"/>
    <cellStyle name="Normal 3 3 4 5" xfId="39009" xr:uid="{00000000-0005-0000-0000-00003F8D0000}"/>
    <cellStyle name="Normal 3 3 5" xfId="2464" xr:uid="{00000000-0005-0000-0000-0000408D0000}"/>
    <cellStyle name="Normal 3 3 5 2" xfId="2465" xr:uid="{00000000-0005-0000-0000-0000418D0000}"/>
    <cellStyle name="Normal 3 3 5 2 2" xfId="22511" xr:uid="{00000000-0005-0000-0000-0000428D0000}"/>
    <cellStyle name="Normal 3 3 5 3" xfId="19714" xr:uid="{00000000-0005-0000-0000-0000438D0000}"/>
    <cellStyle name="Normal 3 3 5 3 2" xfId="37675" xr:uid="{00000000-0005-0000-0000-0000448D0000}"/>
    <cellStyle name="Normal 3 3 5 4" xfId="22510" xr:uid="{00000000-0005-0000-0000-0000458D0000}"/>
    <cellStyle name="Normal 3 3 6" xfId="2466" xr:uid="{00000000-0005-0000-0000-0000468D0000}"/>
    <cellStyle name="Normal 3 3 6 2" xfId="2467" xr:uid="{00000000-0005-0000-0000-0000478D0000}"/>
    <cellStyle name="Normal 3 3 6 2 2" xfId="22513" xr:uid="{00000000-0005-0000-0000-0000488D0000}"/>
    <cellStyle name="Normal 3 3 6 3" xfId="22512" xr:uid="{00000000-0005-0000-0000-0000498D0000}"/>
    <cellStyle name="Normal 3 3 7" xfId="2468" xr:uid="{00000000-0005-0000-0000-00004A8D0000}"/>
    <cellStyle name="Normal 3 3 7 2" xfId="22514" xr:uid="{00000000-0005-0000-0000-00004B8D0000}"/>
    <cellStyle name="Normal 3 3 8" xfId="38630" xr:uid="{00000000-0005-0000-0000-00004C8D0000}"/>
    <cellStyle name="Normal 3 4" xfId="2469" xr:uid="{00000000-0005-0000-0000-00004D8D0000}"/>
    <cellStyle name="Normal 3 4 10" xfId="39031" xr:uid="{00000000-0005-0000-0000-00004E8D0000}"/>
    <cellStyle name="Normal 3 4 11" xfId="39371" xr:uid="{00000000-0005-0000-0000-00004F8D0000}"/>
    <cellStyle name="Normal 3 4 2" xfId="2470" xr:uid="{00000000-0005-0000-0000-0000508D0000}"/>
    <cellStyle name="Normal 3 4 2 2" xfId="2471" xr:uid="{00000000-0005-0000-0000-0000518D0000}"/>
    <cellStyle name="Normal 3 4 2 2 2" xfId="2472" xr:uid="{00000000-0005-0000-0000-0000528D0000}"/>
    <cellStyle name="Normal 3 4 2 2 2 2" xfId="22518" xr:uid="{00000000-0005-0000-0000-0000538D0000}"/>
    <cellStyle name="Normal 3 4 2 2 3" xfId="22517" xr:uid="{00000000-0005-0000-0000-0000548D0000}"/>
    <cellStyle name="Normal 3 4 2 3" xfId="2473" xr:uid="{00000000-0005-0000-0000-0000558D0000}"/>
    <cellStyle name="Normal 3 4 2 3 2" xfId="2474" xr:uid="{00000000-0005-0000-0000-0000568D0000}"/>
    <cellStyle name="Normal 3 4 2 3 2 2" xfId="22520" xr:uid="{00000000-0005-0000-0000-0000578D0000}"/>
    <cellStyle name="Normal 3 4 2 3 3" xfId="22519" xr:uid="{00000000-0005-0000-0000-0000588D0000}"/>
    <cellStyle name="Normal 3 4 2 4" xfId="2475" xr:uid="{00000000-0005-0000-0000-0000598D0000}"/>
    <cellStyle name="Normal 3 4 2 4 2" xfId="22521" xr:uid="{00000000-0005-0000-0000-00005A8D0000}"/>
    <cellStyle name="Normal 3 4 2 5" xfId="11105" xr:uid="{00000000-0005-0000-0000-00005B8D0000}"/>
    <cellStyle name="Normal 3 4 2 6" xfId="22516" xr:uid="{00000000-0005-0000-0000-00005C8D0000}"/>
    <cellStyle name="Normal 3 4 3" xfId="2476" xr:uid="{00000000-0005-0000-0000-00005D8D0000}"/>
    <cellStyle name="Normal 3 4 3 2" xfId="2477" xr:uid="{00000000-0005-0000-0000-00005E8D0000}"/>
    <cellStyle name="Normal 3 4 3 2 2" xfId="22523" xr:uid="{00000000-0005-0000-0000-00005F8D0000}"/>
    <cellStyle name="Normal 3 4 3 3" xfId="7428" xr:uid="{00000000-0005-0000-0000-0000608D0000}"/>
    <cellStyle name="Normal 3 4 3 4" xfId="22522" xr:uid="{00000000-0005-0000-0000-0000618D0000}"/>
    <cellStyle name="Normal 3 4 4" xfId="2478" xr:uid="{00000000-0005-0000-0000-0000628D0000}"/>
    <cellStyle name="Normal 3 4 4 2" xfId="2479" xr:uid="{00000000-0005-0000-0000-0000638D0000}"/>
    <cellStyle name="Normal 3 4 4 2 2" xfId="18947" xr:uid="{00000000-0005-0000-0000-0000648D0000}"/>
    <cellStyle name="Normal 3 4 4 2 2 2" xfId="37106" xr:uid="{00000000-0005-0000-0000-0000658D0000}"/>
    <cellStyle name="Normal 3 4 4 2 3" xfId="22525" xr:uid="{00000000-0005-0000-0000-0000668D0000}"/>
    <cellStyle name="Normal 3 4 4 3" xfId="11173" xr:uid="{00000000-0005-0000-0000-0000678D0000}"/>
    <cellStyle name="Normal 3 4 4 3 2" xfId="30105" xr:uid="{00000000-0005-0000-0000-0000688D0000}"/>
    <cellStyle name="Normal 3 4 4 4" xfId="22524" xr:uid="{00000000-0005-0000-0000-0000698D0000}"/>
    <cellStyle name="Normal 3 4 5" xfId="2480" xr:uid="{00000000-0005-0000-0000-00006A8D0000}"/>
    <cellStyle name="Normal 3 4 5 2" xfId="2481" xr:uid="{00000000-0005-0000-0000-00006B8D0000}"/>
    <cellStyle name="Normal 3 4 5 2 2" xfId="22527" xr:uid="{00000000-0005-0000-0000-00006C8D0000}"/>
    <cellStyle name="Normal 3 4 5 3" xfId="12286" xr:uid="{00000000-0005-0000-0000-00006D8D0000}"/>
    <cellStyle name="Normal 3 4 5 3 2" xfId="30457" xr:uid="{00000000-0005-0000-0000-00006E8D0000}"/>
    <cellStyle name="Normal 3 4 5 4" xfId="22526" xr:uid="{00000000-0005-0000-0000-00006F8D0000}"/>
    <cellStyle name="Normal 3 4 6" xfId="2482" xr:uid="{00000000-0005-0000-0000-0000708D0000}"/>
    <cellStyle name="Normal 3 4 6 2" xfId="2483" xr:uid="{00000000-0005-0000-0000-0000718D0000}"/>
    <cellStyle name="Normal 3 4 6 2 2" xfId="22529" xr:uid="{00000000-0005-0000-0000-0000728D0000}"/>
    <cellStyle name="Normal 3 4 6 3" xfId="21227" xr:uid="{00000000-0005-0000-0000-0000738D0000}"/>
    <cellStyle name="Normal 3 4 6 3 2" xfId="38076" xr:uid="{00000000-0005-0000-0000-0000748D0000}"/>
    <cellStyle name="Normal 3 4 6 4" xfId="22528" xr:uid="{00000000-0005-0000-0000-0000758D0000}"/>
    <cellStyle name="Normal 3 4 7" xfId="2484" xr:uid="{00000000-0005-0000-0000-0000768D0000}"/>
    <cellStyle name="Normal 3 4 7 2" xfId="22530" xr:uid="{00000000-0005-0000-0000-0000778D0000}"/>
    <cellStyle name="Normal 3 4 8" xfId="3466" xr:uid="{00000000-0005-0000-0000-0000788D0000}"/>
    <cellStyle name="Normal 3 4 8 2" xfId="23455" xr:uid="{00000000-0005-0000-0000-0000798D0000}"/>
    <cellStyle name="Normal 3 4 9" xfId="22515" xr:uid="{00000000-0005-0000-0000-00007A8D0000}"/>
    <cellStyle name="Normal 3 5" xfId="2485" xr:uid="{00000000-0005-0000-0000-00007B8D0000}"/>
    <cellStyle name="Normal 3 5 2" xfId="2486" xr:uid="{00000000-0005-0000-0000-00007C8D0000}"/>
    <cellStyle name="Normal 3 5 2 2" xfId="2487" xr:uid="{00000000-0005-0000-0000-00007D8D0000}"/>
    <cellStyle name="Normal 3 5 2 2 2" xfId="2488" xr:uid="{00000000-0005-0000-0000-00007E8D0000}"/>
    <cellStyle name="Normal 3 5 2 2 2 2" xfId="22534" xr:uid="{00000000-0005-0000-0000-00007F8D0000}"/>
    <cellStyle name="Normal 3 5 2 2 3" xfId="22533" xr:uid="{00000000-0005-0000-0000-0000808D0000}"/>
    <cellStyle name="Normal 3 5 2 3" xfId="2489" xr:uid="{00000000-0005-0000-0000-0000818D0000}"/>
    <cellStyle name="Normal 3 5 2 3 2" xfId="2490" xr:uid="{00000000-0005-0000-0000-0000828D0000}"/>
    <cellStyle name="Normal 3 5 2 3 2 2" xfId="22536" xr:uid="{00000000-0005-0000-0000-0000838D0000}"/>
    <cellStyle name="Normal 3 5 2 3 3" xfId="22535" xr:uid="{00000000-0005-0000-0000-0000848D0000}"/>
    <cellStyle name="Normal 3 5 2 4" xfId="2491" xr:uid="{00000000-0005-0000-0000-0000858D0000}"/>
    <cellStyle name="Normal 3 5 2 4 2" xfId="22537" xr:uid="{00000000-0005-0000-0000-0000868D0000}"/>
    <cellStyle name="Normal 3 5 2 5" xfId="22532" xr:uid="{00000000-0005-0000-0000-0000878D0000}"/>
    <cellStyle name="Normal 3 5 3" xfId="2492" xr:uid="{00000000-0005-0000-0000-0000888D0000}"/>
    <cellStyle name="Normal 3 5 3 2" xfId="2493" xr:uid="{00000000-0005-0000-0000-0000898D0000}"/>
    <cellStyle name="Normal 3 5 3 2 2" xfId="22539" xr:uid="{00000000-0005-0000-0000-00008A8D0000}"/>
    <cellStyle name="Normal 3 5 3 3" xfId="22538" xr:uid="{00000000-0005-0000-0000-00008B8D0000}"/>
    <cellStyle name="Normal 3 5 4" xfId="2494" xr:uid="{00000000-0005-0000-0000-00008C8D0000}"/>
    <cellStyle name="Normal 3 5 4 2" xfId="2495" xr:uid="{00000000-0005-0000-0000-00008D8D0000}"/>
    <cellStyle name="Normal 3 5 4 2 2" xfId="22541" xr:uid="{00000000-0005-0000-0000-00008E8D0000}"/>
    <cellStyle name="Normal 3 5 4 3" xfId="22540" xr:uid="{00000000-0005-0000-0000-00008F8D0000}"/>
    <cellStyle name="Normal 3 5 5" xfId="2496" xr:uid="{00000000-0005-0000-0000-0000908D0000}"/>
    <cellStyle name="Normal 3 5 5 2" xfId="2497" xr:uid="{00000000-0005-0000-0000-0000918D0000}"/>
    <cellStyle name="Normal 3 5 5 2 2" xfId="22543" xr:uid="{00000000-0005-0000-0000-0000928D0000}"/>
    <cellStyle name="Normal 3 5 5 3" xfId="22542" xr:uid="{00000000-0005-0000-0000-0000938D0000}"/>
    <cellStyle name="Normal 3 5 6" xfId="2498" xr:uid="{00000000-0005-0000-0000-0000948D0000}"/>
    <cellStyle name="Normal 3 5 6 2" xfId="22544" xr:uid="{00000000-0005-0000-0000-0000958D0000}"/>
    <cellStyle name="Normal 3 5 7" xfId="3484" xr:uid="{00000000-0005-0000-0000-0000968D0000}"/>
    <cellStyle name="Normal 3 5 8" xfId="22531" xr:uid="{00000000-0005-0000-0000-0000978D0000}"/>
    <cellStyle name="Normal 3 6" xfId="2499" xr:uid="{00000000-0005-0000-0000-0000988D0000}"/>
    <cellStyle name="Normal 3 6 2" xfId="2500" xr:uid="{00000000-0005-0000-0000-0000998D0000}"/>
    <cellStyle name="Normal 3 6 2 2" xfId="2501" xr:uid="{00000000-0005-0000-0000-00009A8D0000}"/>
    <cellStyle name="Normal 3 6 2 2 2" xfId="2502" xr:uid="{00000000-0005-0000-0000-00009B8D0000}"/>
    <cellStyle name="Normal 3 6 2 2 2 2" xfId="22548" xr:uid="{00000000-0005-0000-0000-00009C8D0000}"/>
    <cellStyle name="Normal 3 6 2 2 3" xfId="18958" xr:uid="{00000000-0005-0000-0000-00009D8D0000}"/>
    <cellStyle name="Normal 3 6 2 2 3 2" xfId="37117" xr:uid="{00000000-0005-0000-0000-00009E8D0000}"/>
    <cellStyle name="Normal 3 6 2 2 4" xfId="22547" xr:uid="{00000000-0005-0000-0000-00009F8D0000}"/>
    <cellStyle name="Normal 3 6 2 3" xfId="2503" xr:uid="{00000000-0005-0000-0000-0000A08D0000}"/>
    <cellStyle name="Normal 3 6 2 3 2" xfId="2504" xr:uid="{00000000-0005-0000-0000-0000A18D0000}"/>
    <cellStyle name="Normal 3 6 2 3 2 2" xfId="22550" xr:uid="{00000000-0005-0000-0000-0000A28D0000}"/>
    <cellStyle name="Normal 3 6 2 3 3" xfId="22549" xr:uid="{00000000-0005-0000-0000-0000A38D0000}"/>
    <cellStyle name="Normal 3 6 2 4" xfId="2505" xr:uid="{00000000-0005-0000-0000-0000A48D0000}"/>
    <cellStyle name="Normal 3 6 2 4 2" xfId="22551" xr:uid="{00000000-0005-0000-0000-0000A58D0000}"/>
    <cellStyle name="Normal 3 6 2 5" xfId="11184" xr:uid="{00000000-0005-0000-0000-0000A68D0000}"/>
    <cellStyle name="Normal 3 6 2 5 2" xfId="30116" xr:uid="{00000000-0005-0000-0000-0000A78D0000}"/>
    <cellStyle name="Normal 3 6 2 6" xfId="22546" xr:uid="{00000000-0005-0000-0000-0000A88D0000}"/>
    <cellStyle name="Normal 3 6 3" xfId="2506" xr:uid="{00000000-0005-0000-0000-0000A98D0000}"/>
    <cellStyle name="Normal 3 6 3 2" xfId="2507" xr:uid="{00000000-0005-0000-0000-0000AA8D0000}"/>
    <cellStyle name="Normal 3 6 3 2 2" xfId="22553" xr:uid="{00000000-0005-0000-0000-0000AB8D0000}"/>
    <cellStyle name="Normal 3 6 3 3" xfId="12360" xr:uid="{00000000-0005-0000-0000-0000AC8D0000}"/>
    <cellStyle name="Normal 3 6 3 3 2" xfId="30530" xr:uid="{00000000-0005-0000-0000-0000AD8D0000}"/>
    <cellStyle name="Normal 3 6 3 4" xfId="22552" xr:uid="{00000000-0005-0000-0000-0000AE8D0000}"/>
    <cellStyle name="Normal 3 6 4" xfId="2508" xr:uid="{00000000-0005-0000-0000-0000AF8D0000}"/>
    <cellStyle name="Normal 3 6 4 2" xfId="2509" xr:uid="{00000000-0005-0000-0000-0000B08D0000}"/>
    <cellStyle name="Normal 3 6 4 2 2" xfId="22555" xr:uid="{00000000-0005-0000-0000-0000B18D0000}"/>
    <cellStyle name="Normal 3 6 4 3" xfId="22554" xr:uid="{00000000-0005-0000-0000-0000B28D0000}"/>
    <cellStyle name="Normal 3 6 5" xfId="2510" xr:uid="{00000000-0005-0000-0000-0000B38D0000}"/>
    <cellStyle name="Normal 3 6 5 2" xfId="2511" xr:uid="{00000000-0005-0000-0000-0000B48D0000}"/>
    <cellStyle name="Normal 3 6 5 2 2" xfId="22557" xr:uid="{00000000-0005-0000-0000-0000B58D0000}"/>
    <cellStyle name="Normal 3 6 5 3" xfId="22556" xr:uid="{00000000-0005-0000-0000-0000B68D0000}"/>
    <cellStyle name="Normal 3 6 6" xfId="2512" xr:uid="{00000000-0005-0000-0000-0000B78D0000}"/>
    <cellStyle name="Normal 3 6 6 2" xfId="22558" xr:uid="{00000000-0005-0000-0000-0000B88D0000}"/>
    <cellStyle name="Normal 3 6 7" xfId="3600" xr:uid="{00000000-0005-0000-0000-0000B98D0000}"/>
    <cellStyle name="Normal 3 6 7 2" xfId="23528" xr:uid="{00000000-0005-0000-0000-0000BA8D0000}"/>
    <cellStyle name="Normal 3 6 8" xfId="22545" xr:uid="{00000000-0005-0000-0000-0000BB8D0000}"/>
    <cellStyle name="Normal 3 6 9" xfId="39444" xr:uid="{00000000-0005-0000-0000-0000BC8D0000}"/>
    <cellStyle name="Normal 3 7" xfId="2513" xr:uid="{00000000-0005-0000-0000-0000BD8D0000}"/>
    <cellStyle name="Normal 3 7 2" xfId="2514" xr:uid="{00000000-0005-0000-0000-0000BE8D0000}"/>
    <cellStyle name="Normal 3 7 2 2" xfId="2515" xr:uid="{00000000-0005-0000-0000-0000BF8D0000}"/>
    <cellStyle name="Normal 3 7 2 2 2" xfId="2516" xr:uid="{00000000-0005-0000-0000-0000C08D0000}"/>
    <cellStyle name="Normal 3 7 2 2 2 2" xfId="22562" xr:uid="{00000000-0005-0000-0000-0000C18D0000}"/>
    <cellStyle name="Normal 3 7 2 2 3" xfId="22561" xr:uid="{00000000-0005-0000-0000-0000C28D0000}"/>
    <cellStyle name="Normal 3 7 2 3" xfId="2517" xr:uid="{00000000-0005-0000-0000-0000C38D0000}"/>
    <cellStyle name="Normal 3 7 2 3 2" xfId="2518" xr:uid="{00000000-0005-0000-0000-0000C48D0000}"/>
    <cellStyle name="Normal 3 7 2 3 2 2" xfId="22564" xr:uid="{00000000-0005-0000-0000-0000C58D0000}"/>
    <cellStyle name="Normal 3 7 2 3 3" xfId="22563" xr:uid="{00000000-0005-0000-0000-0000C68D0000}"/>
    <cellStyle name="Normal 3 7 2 4" xfId="2519" xr:uid="{00000000-0005-0000-0000-0000C78D0000}"/>
    <cellStyle name="Normal 3 7 2 4 2" xfId="22565" xr:uid="{00000000-0005-0000-0000-0000C88D0000}"/>
    <cellStyle name="Normal 3 7 2 5" xfId="12375" xr:uid="{00000000-0005-0000-0000-0000C98D0000}"/>
    <cellStyle name="Normal 3 7 2 5 2" xfId="30542" xr:uid="{00000000-0005-0000-0000-0000CA8D0000}"/>
    <cellStyle name="Normal 3 7 2 6" xfId="22560" xr:uid="{00000000-0005-0000-0000-0000CB8D0000}"/>
    <cellStyle name="Normal 3 7 3" xfId="2520" xr:uid="{00000000-0005-0000-0000-0000CC8D0000}"/>
    <cellStyle name="Normal 3 7 3 2" xfId="2521" xr:uid="{00000000-0005-0000-0000-0000CD8D0000}"/>
    <cellStyle name="Normal 3 7 3 2 2" xfId="22567" xr:uid="{00000000-0005-0000-0000-0000CE8D0000}"/>
    <cellStyle name="Normal 3 7 3 3" xfId="22566" xr:uid="{00000000-0005-0000-0000-0000CF8D0000}"/>
    <cellStyle name="Normal 3 7 4" xfId="2522" xr:uid="{00000000-0005-0000-0000-0000D08D0000}"/>
    <cellStyle name="Normal 3 7 4 2" xfId="2523" xr:uid="{00000000-0005-0000-0000-0000D18D0000}"/>
    <cellStyle name="Normal 3 7 4 2 2" xfId="22569" xr:uid="{00000000-0005-0000-0000-0000D28D0000}"/>
    <cellStyle name="Normal 3 7 4 3" xfId="22568" xr:uid="{00000000-0005-0000-0000-0000D38D0000}"/>
    <cellStyle name="Normal 3 7 5" xfId="2524" xr:uid="{00000000-0005-0000-0000-0000D48D0000}"/>
    <cellStyle name="Normal 3 7 5 2" xfId="2525" xr:uid="{00000000-0005-0000-0000-0000D58D0000}"/>
    <cellStyle name="Normal 3 7 5 2 2" xfId="22571" xr:uid="{00000000-0005-0000-0000-0000D68D0000}"/>
    <cellStyle name="Normal 3 7 5 3" xfId="22570" xr:uid="{00000000-0005-0000-0000-0000D78D0000}"/>
    <cellStyle name="Normal 3 7 6" xfId="2526" xr:uid="{00000000-0005-0000-0000-0000D88D0000}"/>
    <cellStyle name="Normal 3 7 6 2" xfId="22572" xr:uid="{00000000-0005-0000-0000-0000D98D0000}"/>
    <cellStyle name="Normal 3 7 7" xfId="3819" xr:uid="{00000000-0005-0000-0000-0000DA8D0000}"/>
    <cellStyle name="Normal 3 7 7 2" xfId="23540" xr:uid="{00000000-0005-0000-0000-0000DB8D0000}"/>
    <cellStyle name="Normal 3 7 8" xfId="22559" xr:uid="{00000000-0005-0000-0000-0000DC8D0000}"/>
    <cellStyle name="Normal 3 8" xfId="2527" xr:uid="{00000000-0005-0000-0000-0000DD8D0000}"/>
    <cellStyle name="Normal 3 8 2" xfId="2528" xr:uid="{00000000-0005-0000-0000-0000DE8D0000}"/>
    <cellStyle name="Normal 3 8 2 2" xfId="2529" xr:uid="{00000000-0005-0000-0000-0000DF8D0000}"/>
    <cellStyle name="Normal 3 8 2 2 2" xfId="2530" xr:uid="{00000000-0005-0000-0000-0000E08D0000}"/>
    <cellStyle name="Normal 3 8 2 2 2 2" xfId="22576" xr:uid="{00000000-0005-0000-0000-0000E18D0000}"/>
    <cellStyle name="Normal 3 8 2 2 3" xfId="22575" xr:uid="{00000000-0005-0000-0000-0000E28D0000}"/>
    <cellStyle name="Normal 3 8 2 3" xfId="2531" xr:uid="{00000000-0005-0000-0000-0000E38D0000}"/>
    <cellStyle name="Normal 3 8 2 3 2" xfId="2532" xr:uid="{00000000-0005-0000-0000-0000E48D0000}"/>
    <cellStyle name="Normal 3 8 2 3 2 2" xfId="22578" xr:uid="{00000000-0005-0000-0000-0000E58D0000}"/>
    <cellStyle name="Normal 3 8 2 3 3" xfId="22577" xr:uid="{00000000-0005-0000-0000-0000E68D0000}"/>
    <cellStyle name="Normal 3 8 2 4" xfId="2533" xr:uid="{00000000-0005-0000-0000-0000E78D0000}"/>
    <cellStyle name="Normal 3 8 2 4 2" xfId="22579" xr:uid="{00000000-0005-0000-0000-0000E88D0000}"/>
    <cellStyle name="Normal 3 8 2 5" xfId="18927" xr:uid="{00000000-0005-0000-0000-0000E98D0000}"/>
    <cellStyle name="Normal 3 8 2 5 2" xfId="37086" xr:uid="{00000000-0005-0000-0000-0000EA8D0000}"/>
    <cellStyle name="Normal 3 8 2 6" xfId="22574" xr:uid="{00000000-0005-0000-0000-0000EB8D0000}"/>
    <cellStyle name="Normal 3 8 3" xfId="2534" xr:uid="{00000000-0005-0000-0000-0000EC8D0000}"/>
    <cellStyle name="Normal 3 8 3 2" xfId="2535" xr:uid="{00000000-0005-0000-0000-0000ED8D0000}"/>
    <cellStyle name="Normal 3 8 3 2 2" xfId="22581" xr:uid="{00000000-0005-0000-0000-0000EE8D0000}"/>
    <cellStyle name="Normal 3 8 3 3" xfId="22580" xr:uid="{00000000-0005-0000-0000-0000EF8D0000}"/>
    <cellStyle name="Normal 3 8 4" xfId="2536" xr:uid="{00000000-0005-0000-0000-0000F08D0000}"/>
    <cellStyle name="Normal 3 8 4 2" xfId="2537" xr:uid="{00000000-0005-0000-0000-0000F18D0000}"/>
    <cellStyle name="Normal 3 8 4 2 2" xfId="22583" xr:uid="{00000000-0005-0000-0000-0000F28D0000}"/>
    <cellStyle name="Normal 3 8 4 3" xfId="22582" xr:uid="{00000000-0005-0000-0000-0000F38D0000}"/>
    <cellStyle name="Normal 3 8 5" xfId="2538" xr:uid="{00000000-0005-0000-0000-0000F48D0000}"/>
    <cellStyle name="Normal 3 8 5 2" xfId="2539" xr:uid="{00000000-0005-0000-0000-0000F58D0000}"/>
    <cellStyle name="Normal 3 8 5 2 2" xfId="22585" xr:uid="{00000000-0005-0000-0000-0000F68D0000}"/>
    <cellStyle name="Normal 3 8 5 3" xfId="22584" xr:uid="{00000000-0005-0000-0000-0000F78D0000}"/>
    <cellStyle name="Normal 3 8 6" xfId="2540" xr:uid="{00000000-0005-0000-0000-0000F88D0000}"/>
    <cellStyle name="Normal 3 8 6 2" xfId="22586" xr:uid="{00000000-0005-0000-0000-0000F98D0000}"/>
    <cellStyle name="Normal 3 8 7" xfId="11152" xr:uid="{00000000-0005-0000-0000-0000FA8D0000}"/>
    <cellStyle name="Normal 3 8 7 2" xfId="30085" xr:uid="{00000000-0005-0000-0000-0000FB8D0000}"/>
    <cellStyle name="Normal 3 8 8" xfId="22573" xr:uid="{00000000-0005-0000-0000-0000FC8D0000}"/>
    <cellStyle name="Normal 3 9" xfId="2541" xr:uid="{00000000-0005-0000-0000-0000FD8D0000}"/>
    <cellStyle name="Normal 3 9 2" xfId="2542" xr:uid="{00000000-0005-0000-0000-0000FE8D0000}"/>
    <cellStyle name="Normal 3 9 2 2" xfId="2543" xr:uid="{00000000-0005-0000-0000-0000FF8D0000}"/>
    <cellStyle name="Normal 3 9 2 2 2" xfId="22589" xr:uid="{00000000-0005-0000-0000-0000008E0000}"/>
    <cellStyle name="Normal 3 9 2 3" xfId="18966" xr:uid="{00000000-0005-0000-0000-0000018E0000}"/>
    <cellStyle name="Normal 3 9 2 3 2" xfId="37124" xr:uid="{00000000-0005-0000-0000-0000028E0000}"/>
    <cellStyle name="Normal 3 9 2 4" xfId="22588" xr:uid="{00000000-0005-0000-0000-0000038E0000}"/>
    <cellStyle name="Normal 3 9 3" xfId="2544" xr:uid="{00000000-0005-0000-0000-0000048E0000}"/>
    <cellStyle name="Normal 3 9 3 2" xfId="2545" xr:uid="{00000000-0005-0000-0000-0000058E0000}"/>
    <cellStyle name="Normal 3 9 3 2 2" xfId="22591" xr:uid="{00000000-0005-0000-0000-0000068E0000}"/>
    <cellStyle name="Normal 3 9 3 3" xfId="22590" xr:uid="{00000000-0005-0000-0000-0000078E0000}"/>
    <cellStyle name="Normal 3 9 4" xfId="2546" xr:uid="{00000000-0005-0000-0000-0000088E0000}"/>
    <cellStyle name="Normal 3 9 4 2" xfId="22592" xr:uid="{00000000-0005-0000-0000-0000098E0000}"/>
    <cellStyle name="Normal 3 9 5" xfId="11707" xr:uid="{00000000-0005-0000-0000-00000A8E0000}"/>
    <cellStyle name="Normal 3 9 5 2" xfId="30123" xr:uid="{00000000-0005-0000-0000-00000B8E0000}"/>
    <cellStyle name="Normal 3 9 6" xfId="22587" xr:uid="{00000000-0005-0000-0000-00000C8E0000}"/>
    <cellStyle name="Normal 30" xfId="2547" xr:uid="{00000000-0005-0000-0000-00000D8E0000}"/>
    <cellStyle name="Normal 31" xfId="2548" xr:uid="{00000000-0005-0000-0000-00000E8E0000}"/>
    <cellStyle name="Normal 32" xfId="2549" xr:uid="{00000000-0005-0000-0000-00000F8E0000}"/>
    <cellStyle name="Normal 33" xfId="39038" xr:uid="{00000000-0005-0000-0000-0000108E0000}"/>
    <cellStyle name="Normal 34" xfId="39039" xr:uid="{00000000-0005-0000-0000-0000118E0000}"/>
    <cellStyle name="Normal 35" xfId="39040" xr:uid="{00000000-0005-0000-0000-0000128E0000}"/>
    <cellStyle name="Normal 36" xfId="39041" xr:uid="{00000000-0005-0000-0000-0000138E0000}"/>
    <cellStyle name="Normal 37" xfId="39042" xr:uid="{00000000-0005-0000-0000-0000148E0000}"/>
    <cellStyle name="Normal 38" xfId="39043" xr:uid="{00000000-0005-0000-0000-0000158E0000}"/>
    <cellStyle name="Normal 39" xfId="39044" xr:uid="{00000000-0005-0000-0000-0000168E0000}"/>
    <cellStyle name="Normal 4" xfId="860" xr:uid="{00000000-0005-0000-0000-0000178E0000}"/>
    <cellStyle name="Normal 4 2" xfId="861" xr:uid="{00000000-0005-0000-0000-0000188E0000}"/>
    <cellStyle name="Normal 4 2 10" xfId="21781" xr:uid="{00000000-0005-0000-0000-0000198E0000}"/>
    <cellStyle name="Normal 4 2 11" xfId="39354" xr:uid="{00000000-0005-0000-0000-00001A8E0000}"/>
    <cellStyle name="Normal 4 2 12" xfId="39934" xr:uid="{00000000-0005-0000-0000-00001B8E0000}"/>
    <cellStyle name="Normal 4 2 13" xfId="40420" xr:uid="{00000000-0005-0000-0000-00001C8E0000}"/>
    <cellStyle name="Normal 4 2 2" xfId="2550" xr:uid="{00000000-0005-0000-0000-00001D8E0000}"/>
    <cellStyle name="Normal 4 2 2 2" xfId="7435" xr:uid="{00000000-0005-0000-0000-00001E8E0000}"/>
    <cellStyle name="Normal 4 2 2 3" xfId="11187" xr:uid="{00000000-0005-0000-0000-00001F8E0000}"/>
    <cellStyle name="Normal 4 2 2 3 2" xfId="18961" xr:uid="{00000000-0005-0000-0000-0000208E0000}"/>
    <cellStyle name="Normal 4 2 2 3 2 2" xfId="37120" xr:uid="{00000000-0005-0000-0000-0000218E0000}"/>
    <cellStyle name="Normal 4 2 2 3 3" xfId="30119" xr:uid="{00000000-0005-0000-0000-0000228E0000}"/>
    <cellStyle name="Normal 4 2 2 4" xfId="12363" xr:uid="{00000000-0005-0000-0000-0000238E0000}"/>
    <cellStyle name="Normal 4 2 2 4 2" xfId="30533" xr:uid="{00000000-0005-0000-0000-0000248E0000}"/>
    <cellStyle name="Normal 4 2 2 5" xfId="20729" xr:uid="{00000000-0005-0000-0000-0000258E0000}"/>
    <cellStyle name="Normal 4 2 2 6" xfId="3603" xr:uid="{00000000-0005-0000-0000-0000268E0000}"/>
    <cellStyle name="Normal 4 2 2 6 2" xfId="23531" xr:uid="{00000000-0005-0000-0000-0000278E0000}"/>
    <cellStyle name="Normal 4 2 2 7" xfId="39447" xr:uid="{00000000-0005-0000-0000-0000288E0000}"/>
    <cellStyle name="Normal 4 2 3" xfId="7436" xr:uid="{00000000-0005-0000-0000-0000298E0000}"/>
    <cellStyle name="Normal 4 2 3 2" xfId="10624" xr:uid="{00000000-0005-0000-0000-00002A8E0000}"/>
    <cellStyle name="Normal 4 2 3 2 2" xfId="18517" xr:uid="{00000000-0005-0000-0000-00002B8E0000}"/>
    <cellStyle name="Normal 4 2 3 2 2 2" xfId="36677" xr:uid="{00000000-0005-0000-0000-00002C8E0000}"/>
    <cellStyle name="Normal 4 2 3 2 3" xfId="29676" xr:uid="{00000000-0005-0000-0000-00002D8E0000}"/>
    <cellStyle name="Normal 4 2 3 3" xfId="15519" xr:uid="{00000000-0005-0000-0000-00002E8E0000}"/>
    <cellStyle name="Normal 4 2 3 3 2" xfId="33685" xr:uid="{00000000-0005-0000-0000-00002F8E0000}"/>
    <cellStyle name="Normal 4 2 3 4" xfId="26683" xr:uid="{00000000-0005-0000-0000-0000308E0000}"/>
    <cellStyle name="Normal 4 2 4" xfId="8323" xr:uid="{00000000-0005-0000-0000-0000318E0000}"/>
    <cellStyle name="Normal 4 2 4 2" xfId="16240" xr:uid="{00000000-0005-0000-0000-0000328E0000}"/>
    <cellStyle name="Normal 4 2 4 2 2" xfId="34400" xr:uid="{00000000-0005-0000-0000-0000338E0000}"/>
    <cellStyle name="Normal 4 2 4 3" xfId="27399" xr:uid="{00000000-0005-0000-0000-0000348E0000}"/>
    <cellStyle name="Normal 4 2 5" xfId="7434" xr:uid="{00000000-0005-0000-0000-0000358E0000}"/>
    <cellStyle name="Normal 4 2 5 2" xfId="15518" xr:uid="{00000000-0005-0000-0000-0000368E0000}"/>
    <cellStyle name="Normal 4 2 5 2 2" xfId="33684" xr:uid="{00000000-0005-0000-0000-0000378E0000}"/>
    <cellStyle name="Normal 4 2 5 3" xfId="26682" xr:uid="{00000000-0005-0000-0000-0000388E0000}"/>
    <cellStyle name="Normal 4 2 6" xfId="11155" xr:uid="{00000000-0005-0000-0000-0000398E0000}"/>
    <cellStyle name="Normal 4 2 6 2" xfId="18930" xr:uid="{00000000-0005-0000-0000-00003A8E0000}"/>
    <cellStyle name="Normal 4 2 6 2 2" xfId="37089" xr:uid="{00000000-0005-0000-0000-00003B8E0000}"/>
    <cellStyle name="Normal 4 2 6 3" xfId="30088" xr:uid="{00000000-0005-0000-0000-00003C8E0000}"/>
    <cellStyle name="Normal 4 2 7" xfId="12268" xr:uid="{00000000-0005-0000-0000-00003D8E0000}"/>
    <cellStyle name="Normal 4 2 7 2" xfId="30453" xr:uid="{00000000-0005-0000-0000-00003E8E0000}"/>
    <cellStyle name="Normal 4 2 8" xfId="19715" xr:uid="{00000000-0005-0000-0000-00003F8E0000}"/>
    <cellStyle name="Normal 4 2 9" xfId="3450" xr:uid="{00000000-0005-0000-0000-0000408E0000}"/>
    <cellStyle name="Normal 4 2 9 2" xfId="23450" xr:uid="{00000000-0005-0000-0000-0000418E0000}"/>
    <cellStyle name="Normal 4 3" xfId="2551" xr:uid="{00000000-0005-0000-0000-0000428E0000}"/>
    <cellStyle name="Normal 4 3 2" xfId="2552" xr:uid="{00000000-0005-0000-0000-0000438E0000}"/>
    <cellStyle name="Normal 4 3 2 2" xfId="2553" xr:uid="{00000000-0005-0000-0000-0000448E0000}"/>
    <cellStyle name="Normal 4 3 2 2 2" xfId="22595" xr:uid="{00000000-0005-0000-0000-0000458E0000}"/>
    <cellStyle name="Normal 4 3 2 3" xfId="7437" xr:uid="{00000000-0005-0000-0000-0000468E0000}"/>
    <cellStyle name="Normal 4 3 2 4" xfId="22594" xr:uid="{00000000-0005-0000-0000-0000478E0000}"/>
    <cellStyle name="Normal 4 3 3" xfId="2554" xr:uid="{00000000-0005-0000-0000-0000488E0000}"/>
    <cellStyle name="Normal 4 3 3 2" xfId="2555" xr:uid="{00000000-0005-0000-0000-0000498E0000}"/>
    <cellStyle name="Normal 4 3 3 2 2" xfId="18948" xr:uid="{00000000-0005-0000-0000-00004A8E0000}"/>
    <cellStyle name="Normal 4 3 3 2 2 2" xfId="37107" xr:uid="{00000000-0005-0000-0000-00004B8E0000}"/>
    <cellStyle name="Normal 4 3 3 2 3" xfId="22597" xr:uid="{00000000-0005-0000-0000-00004C8E0000}"/>
    <cellStyle name="Normal 4 3 3 3" xfId="11174" xr:uid="{00000000-0005-0000-0000-00004D8E0000}"/>
    <cellStyle name="Normal 4 3 3 3 2" xfId="30106" xr:uid="{00000000-0005-0000-0000-00004E8E0000}"/>
    <cellStyle name="Normal 4 3 3 4" xfId="22596" xr:uid="{00000000-0005-0000-0000-00004F8E0000}"/>
    <cellStyle name="Normal 4 3 4" xfId="2556" xr:uid="{00000000-0005-0000-0000-0000508E0000}"/>
    <cellStyle name="Normal 4 3 4 2" xfId="12287" xr:uid="{00000000-0005-0000-0000-0000518E0000}"/>
    <cellStyle name="Normal 4 3 4 2 2" xfId="30458" xr:uid="{00000000-0005-0000-0000-0000528E0000}"/>
    <cellStyle name="Normal 4 3 5" xfId="2557" xr:uid="{00000000-0005-0000-0000-0000538E0000}"/>
    <cellStyle name="Normal 4 3 5 2" xfId="22598" xr:uid="{00000000-0005-0000-0000-0000548E0000}"/>
    <cellStyle name="Normal 4 3 6" xfId="3467" xr:uid="{00000000-0005-0000-0000-0000558E0000}"/>
    <cellStyle name="Normal 4 3 6 2" xfId="23456" xr:uid="{00000000-0005-0000-0000-0000568E0000}"/>
    <cellStyle name="Normal 4 3 7" xfId="22593" xr:uid="{00000000-0005-0000-0000-0000578E0000}"/>
    <cellStyle name="Normal 4 3 8" xfId="39372" xr:uid="{00000000-0005-0000-0000-0000588E0000}"/>
    <cellStyle name="Normal 4 4" xfId="2558" xr:uid="{00000000-0005-0000-0000-0000598E0000}"/>
    <cellStyle name="Normal 4 4 2" xfId="2559" xr:uid="{00000000-0005-0000-0000-00005A8E0000}"/>
    <cellStyle name="Normal 4 4 2 2" xfId="11108" xr:uid="{00000000-0005-0000-0000-00005B8E0000}"/>
    <cellStyle name="Normal 4 4 2 3" xfId="22600" xr:uid="{00000000-0005-0000-0000-00005C8E0000}"/>
    <cellStyle name="Normal 4 4 3" xfId="7433" xr:uid="{00000000-0005-0000-0000-00005D8E0000}"/>
    <cellStyle name="Normal 4 4 4" xfId="22599" xr:uid="{00000000-0005-0000-0000-00005E8E0000}"/>
    <cellStyle name="Normal 4 5" xfId="2560" xr:uid="{00000000-0005-0000-0000-00005F8E0000}"/>
    <cellStyle name="Normal 4 5 2" xfId="2561" xr:uid="{00000000-0005-0000-0000-0000608E0000}"/>
    <cellStyle name="Normal 4 5 2 2" xfId="12376" xr:uid="{00000000-0005-0000-0000-0000618E0000}"/>
    <cellStyle name="Normal 4 5 2 2 2" xfId="30543" xr:uid="{00000000-0005-0000-0000-0000628E0000}"/>
    <cellStyle name="Normal 4 5 2 3" xfId="22602" xr:uid="{00000000-0005-0000-0000-0000638E0000}"/>
    <cellStyle name="Normal 4 5 3" xfId="3820" xr:uid="{00000000-0005-0000-0000-0000648E0000}"/>
    <cellStyle name="Normal 4 5 3 2" xfId="23541" xr:uid="{00000000-0005-0000-0000-0000658E0000}"/>
    <cellStyle name="Normal 4 5 4" xfId="22601" xr:uid="{00000000-0005-0000-0000-0000668E0000}"/>
    <cellStyle name="Normal 4 6" xfId="2562" xr:uid="{00000000-0005-0000-0000-0000678E0000}"/>
    <cellStyle name="Normal 4 7" xfId="2563" xr:uid="{00000000-0005-0000-0000-0000688E0000}"/>
    <cellStyle name="Normal 4 7 2" xfId="22603" xr:uid="{00000000-0005-0000-0000-0000698E0000}"/>
    <cellStyle name="Normal 40" xfId="40425"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e 10" xfId="876" xr:uid="{00000000-0005-0000-0000-0000C7910000}"/>
    <cellStyle name="Normale 10 2" xfId="877" xr:uid="{00000000-0005-0000-0000-0000C8910000}"/>
    <cellStyle name="Normale 10 2 2" xfId="3607" xr:uid="{00000000-0005-0000-0000-0000C9910000}"/>
    <cellStyle name="Normale 10 3" xfId="878" xr:uid="{00000000-0005-0000-0000-0000CA910000}"/>
    <cellStyle name="Normale 10 3 2" xfId="3608" xr:uid="{00000000-0005-0000-0000-0000CB910000}"/>
    <cellStyle name="Normale 10 4" xfId="3606" xr:uid="{00000000-0005-0000-0000-0000CC910000}"/>
    <cellStyle name="Normale 10_EDEN industria 2008 rev" xfId="879" xr:uid="{00000000-0005-0000-0000-0000CD910000}"/>
    <cellStyle name="Normale 11" xfId="880" xr:uid="{00000000-0005-0000-0000-0000CE910000}"/>
    <cellStyle name="Normale 11 2" xfId="881" xr:uid="{00000000-0005-0000-0000-0000CF910000}"/>
    <cellStyle name="Normale 11 2 2" xfId="3610" xr:uid="{00000000-0005-0000-0000-0000D0910000}"/>
    <cellStyle name="Normale 11 3" xfId="882" xr:uid="{00000000-0005-0000-0000-0000D1910000}"/>
    <cellStyle name="Normale 11 3 2" xfId="3611" xr:uid="{00000000-0005-0000-0000-0000D2910000}"/>
    <cellStyle name="Normale 11 4" xfId="3609" xr:uid="{00000000-0005-0000-0000-0000D3910000}"/>
    <cellStyle name="Normale 11_EDEN industria 2008 rev" xfId="883" xr:uid="{00000000-0005-0000-0000-0000D4910000}"/>
    <cellStyle name="Normale 12" xfId="884" xr:uid="{00000000-0005-0000-0000-0000D5910000}"/>
    <cellStyle name="Normale 12 2" xfId="885" xr:uid="{00000000-0005-0000-0000-0000D6910000}"/>
    <cellStyle name="Normale 12 2 2" xfId="3613" xr:uid="{00000000-0005-0000-0000-0000D7910000}"/>
    <cellStyle name="Normale 12 3" xfId="886" xr:uid="{00000000-0005-0000-0000-0000D8910000}"/>
    <cellStyle name="Normale 12 3 2" xfId="3614" xr:uid="{00000000-0005-0000-0000-0000D9910000}"/>
    <cellStyle name="Normale 12 4" xfId="3612" xr:uid="{00000000-0005-0000-0000-0000DA910000}"/>
    <cellStyle name="Normale 12_EDEN industria 2008 rev" xfId="887" xr:uid="{00000000-0005-0000-0000-0000DB910000}"/>
    <cellStyle name="Normale 13" xfId="888" xr:uid="{00000000-0005-0000-0000-0000DC910000}"/>
    <cellStyle name="Normale 13 2" xfId="889" xr:uid="{00000000-0005-0000-0000-0000DD910000}"/>
    <cellStyle name="Normale 13 2 2" xfId="3616" xr:uid="{00000000-0005-0000-0000-0000DE910000}"/>
    <cellStyle name="Normale 13 3" xfId="890" xr:uid="{00000000-0005-0000-0000-0000DF910000}"/>
    <cellStyle name="Normale 13 3 2" xfId="3617" xr:uid="{00000000-0005-0000-0000-0000E0910000}"/>
    <cellStyle name="Normale 13 4" xfId="3615" xr:uid="{00000000-0005-0000-0000-0000E1910000}"/>
    <cellStyle name="Normale 13_EDEN industria 2008 rev" xfId="891" xr:uid="{00000000-0005-0000-0000-0000E2910000}"/>
    <cellStyle name="Normale 14" xfId="892" xr:uid="{00000000-0005-0000-0000-0000E3910000}"/>
    <cellStyle name="Normale 14 2" xfId="893" xr:uid="{00000000-0005-0000-0000-0000E4910000}"/>
    <cellStyle name="Normale 14 2 2" xfId="3619" xr:uid="{00000000-0005-0000-0000-0000E5910000}"/>
    <cellStyle name="Normale 14 3" xfId="894" xr:uid="{00000000-0005-0000-0000-0000E6910000}"/>
    <cellStyle name="Normale 14 3 2" xfId="3620" xr:uid="{00000000-0005-0000-0000-0000E7910000}"/>
    <cellStyle name="Normale 14 4" xfId="3618" xr:uid="{00000000-0005-0000-0000-0000E8910000}"/>
    <cellStyle name="Normale 14_EDEN industria 2008 rev" xfId="895" xr:uid="{00000000-0005-0000-0000-0000E9910000}"/>
    <cellStyle name="Normale 15" xfId="896" xr:uid="{00000000-0005-0000-0000-0000EA910000}"/>
    <cellStyle name="Normale 15 2" xfId="897" xr:uid="{00000000-0005-0000-0000-0000EB910000}"/>
    <cellStyle name="Normale 15 2 2" xfId="3622" xr:uid="{00000000-0005-0000-0000-0000EC910000}"/>
    <cellStyle name="Normale 15 3" xfId="898" xr:uid="{00000000-0005-0000-0000-0000ED910000}"/>
    <cellStyle name="Normale 15 3 2" xfId="3623" xr:uid="{00000000-0005-0000-0000-0000EE910000}"/>
    <cellStyle name="Normale 15 4" xfId="3621" xr:uid="{00000000-0005-0000-0000-0000EF910000}"/>
    <cellStyle name="Normale 15_EDEN industria 2008 rev" xfId="899" xr:uid="{00000000-0005-0000-0000-0000F0910000}"/>
    <cellStyle name="Normale 16" xfId="900" xr:uid="{00000000-0005-0000-0000-0000F1910000}"/>
    <cellStyle name="Normale 16 2" xfId="3624" xr:uid="{00000000-0005-0000-0000-0000F2910000}"/>
    <cellStyle name="Normale 17" xfId="901" xr:uid="{00000000-0005-0000-0000-0000F3910000}"/>
    <cellStyle name="Normale 17 2" xfId="3625" xr:uid="{00000000-0005-0000-0000-0000F4910000}"/>
    <cellStyle name="Normale 18" xfId="902" xr:uid="{00000000-0005-0000-0000-0000F5910000}"/>
    <cellStyle name="Normale 19" xfId="903" xr:uid="{00000000-0005-0000-0000-0000F6910000}"/>
    <cellStyle name="Normale 2" xfId="904" xr:uid="{00000000-0005-0000-0000-0000F7910000}"/>
    <cellStyle name="Normale 2 2" xfId="905" xr:uid="{00000000-0005-0000-0000-0000F8910000}"/>
    <cellStyle name="Normale 2 2 2" xfId="3627" xr:uid="{00000000-0005-0000-0000-0000F9910000}"/>
    <cellStyle name="Normale 2 3" xfId="3626" xr:uid="{00000000-0005-0000-0000-0000FA910000}"/>
    <cellStyle name="Normale 2_EDEN industria 2008 rev" xfId="906" xr:uid="{00000000-0005-0000-0000-0000FB910000}"/>
    <cellStyle name="Normale 20" xfId="907" xr:uid="{00000000-0005-0000-0000-0000FC910000}"/>
    <cellStyle name="Normale 20 2" xfId="3628" xr:uid="{00000000-0005-0000-0000-0000FD910000}"/>
    <cellStyle name="Normale 21" xfId="908" xr:uid="{00000000-0005-0000-0000-0000FE910000}"/>
    <cellStyle name="Normale 21 2" xfId="3629" xr:uid="{00000000-0005-0000-0000-0000FF910000}"/>
    <cellStyle name="Normale 22" xfId="909" xr:uid="{00000000-0005-0000-0000-000000920000}"/>
    <cellStyle name="Normale 22 2" xfId="3630" xr:uid="{00000000-0005-0000-0000-000001920000}"/>
    <cellStyle name="Normale 23" xfId="910" xr:uid="{00000000-0005-0000-0000-000002920000}"/>
    <cellStyle name="Normale 23 2" xfId="3631" xr:uid="{00000000-0005-0000-0000-000003920000}"/>
    <cellStyle name="Normale 24" xfId="911" xr:uid="{00000000-0005-0000-0000-000004920000}"/>
    <cellStyle name="Normale 24 2" xfId="3632" xr:uid="{00000000-0005-0000-0000-000005920000}"/>
    <cellStyle name="Normale 25" xfId="912" xr:uid="{00000000-0005-0000-0000-000006920000}"/>
    <cellStyle name="Normale 25 2" xfId="3633" xr:uid="{00000000-0005-0000-0000-000007920000}"/>
    <cellStyle name="Normale 26" xfId="913" xr:uid="{00000000-0005-0000-0000-000008920000}"/>
    <cellStyle name="Normale 26 2" xfId="3634" xr:uid="{00000000-0005-0000-0000-000009920000}"/>
    <cellStyle name="Normale 27" xfId="914" xr:uid="{00000000-0005-0000-0000-00000A920000}"/>
    <cellStyle name="Normale 27 2" xfId="3635" xr:uid="{00000000-0005-0000-0000-00000B920000}"/>
    <cellStyle name="Normale 28" xfId="915" xr:uid="{00000000-0005-0000-0000-00000C920000}"/>
    <cellStyle name="Normale 28 2" xfId="3636" xr:uid="{00000000-0005-0000-0000-00000D920000}"/>
    <cellStyle name="Normale 29" xfId="916" xr:uid="{00000000-0005-0000-0000-00000E920000}"/>
    <cellStyle name="Normale 29 2" xfId="3637" xr:uid="{00000000-0005-0000-0000-00000F920000}"/>
    <cellStyle name="Normale 3" xfId="917" xr:uid="{00000000-0005-0000-0000-000010920000}"/>
    <cellStyle name="Normale 3 2" xfId="918" xr:uid="{00000000-0005-0000-0000-000011920000}"/>
    <cellStyle name="Normale 3 2 2" xfId="3639" xr:uid="{00000000-0005-0000-0000-000012920000}"/>
    <cellStyle name="Normale 3 3" xfId="919" xr:uid="{00000000-0005-0000-0000-000013920000}"/>
    <cellStyle name="Normale 3 3 2" xfId="3640" xr:uid="{00000000-0005-0000-0000-000014920000}"/>
    <cellStyle name="Normale 3 4" xfId="3638" xr:uid="{00000000-0005-0000-0000-000015920000}"/>
    <cellStyle name="Normale 3_EDEN industria 2008 rev" xfId="920" xr:uid="{00000000-0005-0000-0000-000016920000}"/>
    <cellStyle name="Normale 30" xfId="921" xr:uid="{00000000-0005-0000-0000-000017920000}"/>
    <cellStyle name="Normale 30 2" xfId="3641" xr:uid="{00000000-0005-0000-0000-000018920000}"/>
    <cellStyle name="Normale 31" xfId="922" xr:uid="{00000000-0005-0000-0000-000019920000}"/>
    <cellStyle name="Normale 31 2" xfId="3642" xr:uid="{00000000-0005-0000-0000-00001A920000}"/>
    <cellStyle name="Normale 32" xfId="923" xr:uid="{00000000-0005-0000-0000-00001B920000}"/>
    <cellStyle name="Normale 32 2" xfId="3643" xr:uid="{00000000-0005-0000-0000-00001C920000}"/>
    <cellStyle name="Normale 33" xfId="924" xr:uid="{00000000-0005-0000-0000-00001D920000}"/>
    <cellStyle name="Normale 33 2" xfId="3644" xr:uid="{00000000-0005-0000-0000-00001E920000}"/>
    <cellStyle name="Normale 34" xfId="925" xr:uid="{00000000-0005-0000-0000-00001F920000}"/>
    <cellStyle name="Normale 34 2" xfId="3645" xr:uid="{00000000-0005-0000-0000-000020920000}"/>
    <cellStyle name="Normale 35" xfId="926" xr:uid="{00000000-0005-0000-0000-000021920000}"/>
    <cellStyle name="Normale 35 2" xfId="3646" xr:uid="{00000000-0005-0000-0000-000022920000}"/>
    <cellStyle name="Normale 36" xfId="927" xr:uid="{00000000-0005-0000-0000-000023920000}"/>
    <cellStyle name="Normale 36 2" xfId="3647" xr:uid="{00000000-0005-0000-0000-000024920000}"/>
    <cellStyle name="Normale 37" xfId="928" xr:uid="{00000000-0005-0000-0000-000025920000}"/>
    <cellStyle name="Normale 37 2" xfId="3648" xr:uid="{00000000-0005-0000-0000-000026920000}"/>
    <cellStyle name="Normale 38" xfId="929" xr:uid="{00000000-0005-0000-0000-000027920000}"/>
    <cellStyle name="Normale 38 2" xfId="3649" xr:uid="{00000000-0005-0000-0000-000028920000}"/>
    <cellStyle name="Normale 39" xfId="930" xr:uid="{00000000-0005-0000-0000-000029920000}"/>
    <cellStyle name="Normale 39 2" xfId="3650" xr:uid="{00000000-0005-0000-0000-00002A920000}"/>
    <cellStyle name="Normale 4" xfId="931" xr:uid="{00000000-0005-0000-0000-00002B920000}"/>
    <cellStyle name="Normale 4 2" xfId="932" xr:uid="{00000000-0005-0000-0000-00002C920000}"/>
    <cellStyle name="Normale 4 2 2" xfId="3652" xr:uid="{00000000-0005-0000-0000-00002D920000}"/>
    <cellStyle name="Normale 4 3" xfId="933" xr:uid="{00000000-0005-0000-0000-00002E920000}"/>
    <cellStyle name="Normale 4 3 2" xfId="3653" xr:uid="{00000000-0005-0000-0000-00002F920000}"/>
    <cellStyle name="Normale 4 4" xfId="3651" xr:uid="{00000000-0005-0000-0000-000030920000}"/>
    <cellStyle name="Normale 4_EDEN industria 2008 rev" xfId="934" xr:uid="{00000000-0005-0000-0000-000031920000}"/>
    <cellStyle name="Normale 40" xfId="935" xr:uid="{00000000-0005-0000-0000-000032920000}"/>
    <cellStyle name="Normale 40 2" xfId="3654" xr:uid="{00000000-0005-0000-0000-000033920000}"/>
    <cellStyle name="Normale 41" xfId="936" xr:uid="{00000000-0005-0000-0000-000034920000}"/>
    <cellStyle name="Normale 41 2" xfId="3655" xr:uid="{00000000-0005-0000-0000-000035920000}"/>
    <cellStyle name="Normale 42" xfId="937" xr:uid="{00000000-0005-0000-0000-000036920000}"/>
    <cellStyle name="Normale 42 2" xfId="3656" xr:uid="{00000000-0005-0000-0000-000037920000}"/>
    <cellStyle name="Normale 43" xfId="938" xr:uid="{00000000-0005-0000-0000-000038920000}"/>
    <cellStyle name="Normale 43 2" xfId="3657" xr:uid="{00000000-0005-0000-0000-000039920000}"/>
    <cellStyle name="Normale 44" xfId="939" xr:uid="{00000000-0005-0000-0000-00003A920000}"/>
    <cellStyle name="Normale 44 2" xfId="3658" xr:uid="{00000000-0005-0000-0000-00003B920000}"/>
    <cellStyle name="Normale 45" xfId="940" xr:uid="{00000000-0005-0000-0000-00003C920000}"/>
    <cellStyle name="Normale 45 2" xfId="3659" xr:uid="{00000000-0005-0000-0000-00003D920000}"/>
    <cellStyle name="Normale 46" xfId="941" xr:uid="{00000000-0005-0000-0000-00003E920000}"/>
    <cellStyle name="Normale 46 2" xfId="3660" xr:uid="{00000000-0005-0000-0000-00003F920000}"/>
    <cellStyle name="Normale 47" xfId="942" xr:uid="{00000000-0005-0000-0000-000040920000}"/>
    <cellStyle name="Normale 47 2" xfId="3661" xr:uid="{00000000-0005-0000-0000-000041920000}"/>
    <cellStyle name="Normale 48" xfId="943" xr:uid="{00000000-0005-0000-0000-000042920000}"/>
    <cellStyle name="Normale 48 2" xfId="3662" xr:uid="{00000000-0005-0000-0000-000043920000}"/>
    <cellStyle name="Normale 49" xfId="944" xr:uid="{00000000-0005-0000-0000-000044920000}"/>
    <cellStyle name="Normale 49 2" xfId="3663" xr:uid="{00000000-0005-0000-0000-000045920000}"/>
    <cellStyle name="Normale 5" xfId="945" xr:uid="{00000000-0005-0000-0000-000046920000}"/>
    <cellStyle name="Normale 5 2" xfId="946" xr:uid="{00000000-0005-0000-0000-000047920000}"/>
    <cellStyle name="Normale 5 2 2" xfId="3665" xr:uid="{00000000-0005-0000-0000-000048920000}"/>
    <cellStyle name="Normale 5 3" xfId="947" xr:uid="{00000000-0005-0000-0000-000049920000}"/>
    <cellStyle name="Normale 5 3 2" xfId="3666" xr:uid="{00000000-0005-0000-0000-00004A920000}"/>
    <cellStyle name="Normale 5 4" xfId="3664" xr:uid="{00000000-0005-0000-0000-00004B920000}"/>
    <cellStyle name="Normale 5_EDEN industria 2008 rev" xfId="948" xr:uid="{00000000-0005-0000-0000-00004C920000}"/>
    <cellStyle name="Normale 50" xfId="949" xr:uid="{00000000-0005-0000-0000-00004D920000}"/>
    <cellStyle name="Normale 50 2" xfId="3667" xr:uid="{00000000-0005-0000-0000-00004E920000}"/>
    <cellStyle name="Normale 51" xfId="950" xr:uid="{00000000-0005-0000-0000-00004F920000}"/>
    <cellStyle name="Normale 51 2" xfId="3668" xr:uid="{00000000-0005-0000-0000-000050920000}"/>
    <cellStyle name="Normale 52" xfId="951" xr:uid="{00000000-0005-0000-0000-000051920000}"/>
    <cellStyle name="Normale 52 2" xfId="3669" xr:uid="{00000000-0005-0000-0000-000052920000}"/>
    <cellStyle name="Normale 53" xfId="952" xr:uid="{00000000-0005-0000-0000-000053920000}"/>
    <cellStyle name="Normale 53 2" xfId="3670" xr:uid="{00000000-0005-0000-0000-000054920000}"/>
    <cellStyle name="Normale 54" xfId="953" xr:uid="{00000000-0005-0000-0000-000055920000}"/>
    <cellStyle name="Normale 54 2" xfId="3671" xr:uid="{00000000-0005-0000-0000-000056920000}"/>
    <cellStyle name="Normale 55" xfId="954" xr:uid="{00000000-0005-0000-0000-000057920000}"/>
    <cellStyle name="Normale 55 2" xfId="3672" xr:uid="{00000000-0005-0000-0000-000058920000}"/>
    <cellStyle name="Normale 56" xfId="955" xr:uid="{00000000-0005-0000-0000-000059920000}"/>
    <cellStyle name="Normale 56 2" xfId="3673" xr:uid="{00000000-0005-0000-0000-00005A920000}"/>
    <cellStyle name="Normale 57" xfId="956" xr:uid="{00000000-0005-0000-0000-00005B920000}"/>
    <cellStyle name="Normale 57 2" xfId="3674" xr:uid="{00000000-0005-0000-0000-00005C920000}"/>
    <cellStyle name="Normale 58" xfId="957" xr:uid="{00000000-0005-0000-0000-00005D920000}"/>
    <cellStyle name="Normale 58 2" xfId="3675" xr:uid="{00000000-0005-0000-0000-00005E920000}"/>
    <cellStyle name="Normale 59" xfId="958" xr:uid="{00000000-0005-0000-0000-00005F920000}"/>
    <cellStyle name="Normale 59 2" xfId="3676" xr:uid="{00000000-0005-0000-0000-000060920000}"/>
    <cellStyle name="Normale 6" xfId="959" xr:uid="{00000000-0005-0000-0000-000061920000}"/>
    <cellStyle name="Normale 6 2" xfId="960" xr:uid="{00000000-0005-0000-0000-000062920000}"/>
    <cellStyle name="Normale 6 2 2" xfId="3678" xr:uid="{00000000-0005-0000-0000-000063920000}"/>
    <cellStyle name="Normale 6 3" xfId="961" xr:uid="{00000000-0005-0000-0000-000064920000}"/>
    <cellStyle name="Normale 6 3 2" xfId="3679" xr:uid="{00000000-0005-0000-0000-000065920000}"/>
    <cellStyle name="Normale 6 4" xfId="3677" xr:uid="{00000000-0005-0000-0000-000066920000}"/>
    <cellStyle name="Normale 6_EDEN industria 2008 rev" xfId="962" xr:uid="{00000000-0005-0000-0000-000067920000}"/>
    <cellStyle name="Normale 60" xfId="963" xr:uid="{00000000-0005-0000-0000-000068920000}"/>
    <cellStyle name="Normale 60 2" xfId="3680" xr:uid="{00000000-0005-0000-0000-000069920000}"/>
    <cellStyle name="Normale 61" xfId="964" xr:uid="{00000000-0005-0000-0000-00006A920000}"/>
    <cellStyle name="Normale 61 2" xfId="3681" xr:uid="{00000000-0005-0000-0000-00006B920000}"/>
    <cellStyle name="Normale 62" xfId="965" xr:uid="{00000000-0005-0000-0000-00006C920000}"/>
    <cellStyle name="Normale 62 2" xfId="3682" xr:uid="{00000000-0005-0000-0000-00006D920000}"/>
    <cellStyle name="Normale 63" xfId="966" xr:uid="{00000000-0005-0000-0000-00006E920000}"/>
    <cellStyle name="Normale 63 2" xfId="3683" xr:uid="{00000000-0005-0000-0000-00006F920000}"/>
    <cellStyle name="Normale 64" xfId="967" xr:uid="{00000000-0005-0000-0000-000070920000}"/>
    <cellStyle name="Normale 64 2" xfId="3684" xr:uid="{00000000-0005-0000-0000-000071920000}"/>
    <cellStyle name="Normale 65" xfId="968" xr:uid="{00000000-0005-0000-0000-000072920000}"/>
    <cellStyle name="Normale 65 2" xfId="3685" xr:uid="{00000000-0005-0000-0000-000073920000}"/>
    <cellStyle name="Normale 7" xfId="969" xr:uid="{00000000-0005-0000-0000-000074920000}"/>
    <cellStyle name="Normale 7 2" xfId="970" xr:uid="{00000000-0005-0000-0000-000075920000}"/>
    <cellStyle name="Normale 7 2 2" xfId="3687" xr:uid="{00000000-0005-0000-0000-000076920000}"/>
    <cellStyle name="Normale 7 3" xfId="971" xr:uid="{00000000-0005-0000-0000-000077920000}"/>
    <cellStyle name="Normale 7 3 2" xfId="3688" xr:uid="{00000000-0005-0000-0000-000078920000}"/>
    <cellStyle name="Normale 7 4" xfId="3686" xr:uid="{00000000-0005-0000-0000-000079920000}"/>
    <cellStyle name="Normale 7_EDEN industria 2008 rev" xfId="972" xr:uid="{00000000-0005-0000-0000-00007A920000}"/>
    <cellStyle name="Normale 8" xfId="973" xr:uid="{00000000-0005-0000-0000-00007B920000}"/>
    <cellStyle name="Normale 8 2" xfId="974" xr:uid="{00000000-0005-0000-0000-00007C920000}"/>
    <cellStyle name="Normale 8 2 2" xfId="3690" xr:uid="{00000000-0005-0000-0000-00007D920000}"/>
    <cellStyle name="Normale 8 3" xfId="975" xr:uid="{00000000-0005-0000-0000-00007E920000}"/>
    <cellStyle name="Normale 8 3 2" xfId="3691" xr:uid="{00000000-0005-0000-0000-00007F920000}"/>
    <cellStyle name="Normale 8 4" xfId="3689" xr:uid="{00000000-0005-0000-0000-000080920000}"/>
    <cellStyle name="Normale 8_EDEN industria 2008 rev" xfId="976" xr:uid="{00000000-0005-0000-0000-000081920000}"/>
    <cellStyle name="Normale 9" xfId="977" xr:uid="{00000000-0005-0000-0000-000082920000}"/>
    <cellStyle name="Normale 9 2" xfId="978" xr:uid="{00000000-0005-0000-0000-000083920000}"/>
    <cellStyle name="Normale 9 2 2" xfId="3693" xr:uid="{00000000-0005-0000-0000-000084920000}"/>
    <cellStyle name="Normale 9 3" xfId="979" xr:uid="{00000000-0005-0000-0000-000085920000}"/>
    <cellStyle name="Normale 9 3 2" xfId="3694" xr:uid="{00000000-0005-0000-0000-000086920000}"/>
    <cellStyle name="Normale 9 4" xfId="3692" xr:uid="{00000000-0005-0000-0000-000087920000}"/>
    <cellStyle name="Normale 9_EDEN industria 2008 rev" xfId="980" xr:uid="{00000000-0005-0000-0000-000088920000}"/>
    <cellStyle name="Normale_B2020" xfId="981" xr:uid="{00000000-0005-0000-0000-000089920000}"/>
    <cellStyle name="Nota" xfId="982" xr:uid="{00000000-0005-0000-0000-00008A920000}"/>
    <cellStyle name="Nota 2" xfId="983" xr:uid="{00000000-0005-0000-0000-00008B920000}"/>
    <cellStyle name="Nota 2 2" xfId="3695" xr:uid="{00000000-0005-0000-0000-00008C920000}"/>
    <cellStyle name="Nota 2 2 2" xfId="12365" xr:uid="{00000000-0005-0000-0000-00008D920000}"/>
    <cellStyle name="Nota 2 2 3" xfId="20734" xr:uid="{00000000-0005-0000-0000-00008E920000}"/>
    <cellStyle name="Nota 2 2 4" xfId="21240" xr:uid="{00000000-0005-0000-0000-00008F920000}"/>
    <cellStyle name="Nota 2 3" xfId="12273" xr:uid="{00000000-0005-0000-0000-000090920000}"/>
    <cellStyle name="Nota 2 4" xfId="11940" xr:uid="{00000000-0005-0000-0000-000091920000}"/>
    <cellStyle name="Nota 2 5" xfId="19722" xr:uid="{00000000-0005-0000-0000-000092920000}"/>
    <cellStyle name="Nota 3" xfId="984" xr:uid="{00000000-0005-0000-0000-000093920000}"/>
    <cellStyle name="Nota 3 2" xfId="985" xr:uid="{00000000-0005-0000-0000-000094920000}"/>
    <cellStyle name="Nota 3 2 2" xfId="12275" xr:uid="{00000000-0005-0000-0000-000095920000}"/>
    <cellStyle name="Nota 3 2 3" xfId="11938" xr:uid="{00000000-0005-0000-0000-000096920000}"/>
    <cellStyle name="Nota 3 2 4" xfId="19724" xr:uid="{00000000-0005-0000-0000-000097920000}"/>
    <cellStyle name="Nota 3 3" xfId="12274" xr:uid="{00000000-0005-0000-0000-000098920000}"/>
    <cellStyle name="Nota 3 3 2" xfId="20736" xr:uid="{00000000-0005-0000-0000-000099920000}"/>
    <cellStyle name="Nota 3 3 2 2" xfId="21242" xr:uid="{00000000-0005-0000-0000-00009A920000}"/>
    <cellStyle name="Nota 3 3 3" xfId="19725" xr:uid="{00000000-0005-0000-0000-00009B920000}"/>
    <cellStyle name="Nota 3 3 4" xfId="21237" xr:uid="{00000000-0005-0000-0000-00009C920000}"/>
    <cellStyle name="Nota 3 4" xfId="11939" xr:uid="{00000000-0005-0000-0000-00009D920000}"/>
    <cellStyle name="Nota 3 4 2" xfId="20735" xr:uid="{00000000-0005-0000-0000-00009E920000}"/>
    <cellStyle name="Nota 3 4 3" xfId="21241" xr:uid="{00000000-0005-0000-0000-00009F920000}"/>
    <cellStyle name="Nota 3 5" xfId="19723" xr:uid="{00000000-0005-0000-0000-0000A0920000}"/>
    <cellStyle name="Nota 3 6" xfId="21236" xr:uid="{00000000-0005-0000-0000-0000A1920000}"/>
    <cellStyle name="Nota 4" xfId="986" xr:uid="{00000000-0005-0000-0000-0000A2920000}"/>
    <cellStyle name="Nota 4 2" xfId="18969" xr:uid="{00000000-0005-0000-0000-0000A3920000}"/>
    <cellStyle name="Nota 4 2 2" xfId="20738" xr:uid="{00000000-0005-0000-0000-0000A4920000}"/>
    <cellStyle name="Nota 4 2 2 2" xfId="21244" xr:uid="{00000000-0005-0000-0000-0000A5920000}"/>
    <cellStyle name="Nota 4 2 3" xfId="19727" xr:uid="{00000000-0005-0000-0000-0000A6920000}"/>
    <cellStyle name="Nota 4 2 4" xfId="21239" xr:uid="{00000000-0005-0000-0000-0000A7920000}"/>
    <cellStyle name="Nota 4 3" xfId="11937" xr:uid="{00000000-0005-0000-0000-0000A8920000}"/>
    <cellStyle name="Nota 4 3 2" xfId="20737" xr:uid="{00000000-0005-0000-0000-0000A9920000}"/>
    <cellStyle name="Nota 4 3 3" xfId="21243" xr:uid="{00000000-0005-0000-0000-0000AA920000}"/>
    <cellStyle name="Nota 4 4" xfId="19726" xr:uid="{00000000-0005-0000-0000-0000AB920000}"/>
    <cellStyle name="Nota 4 5" xfId="21238" xr:uid="{00000000-0005-0000-0000-0000AC920000}"/>
    <cellStyle name="Nota 4 6" xfId="11711" xr:uid="{00000000-0005-0000-0000-0000AD920000}"/>
    <cellStyle name="Nota 4 6 2" xfId="30126" xr:uid="{00000000-0005-0000-0000-0000AE920000}"/>
    <cellStyle name="Nota 5" xfId="987" xr:uid="{00000000-0005-0000-0000-0000AF920000}"/>
    <cellStyle name="Nota 5 2" xfId="18970" xr:uid="{00000000-0005-0000-0000-0000B0920000}"/>
    <cellStyle name="Nota 5 3" xfId="11936" xr:uid="{00000000-0005-0000-0000-0000B1920000}"/>
    <cellStyle name="Nota 5 4" xfId="19728" xr:uid="{00000000-0005-0000-0000-0000B2920000}"/>
    <cellStyle name="Nota 5 5" xfId="11712" xr:uid="{00000000-0005-0000-0000-0000B3920000}"/>
    <cellStyle name="Nota 5 5 2" xfId="30127" xr:uid="{00000000-0005-0000-0000-0000B4920000}"/>
    <cellStyle name="Nota 6" xfId="988" xr:uid="{00000000-0005-0000-0000-0000B5920000}"/>
    <cellStyle name="Nota 6 2" xfId="12272" xr:uid="{00000000-0005-0000-0000-0000B6920000}"/>
    <cellStyle name="Nota 7" xfId="12366" xr:uid="{00000000-0005-0000-0000-0000B7920000}"/>
    <cellStyle name="Nota 8" xfId="19721" xr:uid="{00000000-0005-0000-0000-0000B8920000}"/>
    <cellStyle name="Note 2" xfId="2853" xr:uid="{00000000-0005-0000-0000-0000B9920000}"/>
    <cellStyle name="Note 2 2" xfId="2854" xr:uid="{00000000-0005-0000-0000-0000BA920000}"/>
    <cellStyle name="Note 2 2 2" xfId="7466" xr:uid="{00000000-0005-0000-0000-0000BB920000}"/>
    <cellStyle name="Note 2 2 3" xfId="22891" xr:uid="{00000000-0005-0000-0000-0000BC920000}"/>
    <cellStyle name="Note 2 3" xfId="7465" xr:uid="{00000000-0005-0000-0000-0000BD920000}"/>
    <cellStyle name="Note 2 4" xfId="11172" xr:uid="{00000000-0005-0000-0000-0000BE920000}"/>
    <cellStyle name="Note 2 4 2" xfId="18946" xr:uid="{00000000-0005-0000-0000-0000BF920000}"/>
    <cellStyle name="Note 2 4 2 2" xfId="37105" xr:uid="{00000000-0005-0000-0000-0000C0920000}"/>
    <cellStyle name="Note 2 4 3" xfId="30104" xr:uid="{00000000-0005-0000-0000-0000C1920000}"/>
    <cellStyle name="Note 2 5" xfId="12285" xr:uid="{00000000-0005-0000-0000-0000C2920000}"/>
    <cellStyle name="Note 2 5 2" xfId="30456" xr:uid="{00000000-0005-0000-0000-0000C3920000}"/>
    <cellStyle name="Note 2 6" xfId="3465" xr:uid="{00000000-0005-0000-0000-0000C4920000}"/>
    <cellStyle name="Note 2 6 2" xfId="23454" xr:uid="{00000000-0005-0000-0000-0000C5920000}"/>
    <cellStyle name="Note 2 7" xfId="22890" xr:uid="{00000000-0005-0000-0000-0000C6920000}"/>
    <cellStyle name="Note 2 8" xfId="39370" xr:uid="{00000000-0005-0000-0000-0000C7920000}"/>
    <cellStyle name="Note 3" xfId="11190" xr:uid="{00000000-0005-0000-0000-0000C8920000}"/>
    <cellStyle name="Note 4" xfId="12368" xr:uid="{00000000-0005-0000-0000-0000C9920000}"/>
    <cellStyle name="Note 5" xfId="3810" xr:uid="{00000000-0005-0000-0000-0000CA920000}"/>
    <cellStyle name="Nuovo" xfId="989" xr:uid="{00000000-0005-0000-0000-0000CB920000}"/>
    <cellStyle name="Nuovo 10" xfId="990" xr:uid="{00000000-0005-0000-0000-0000CC920000}"/>
    <cellStyle name="Nuovo 10 2" xfId="991" xr:uid="{00000000-0005-0000-0000-0000CD920000}"/>
    <cellStyle name="Nuovo 10 2 2" xfId="3696" xr:uid="{00000000-0005-0000-0000-0000CE920000}"/>
    <cellStyle name="Nuovo 10 3" xfId="992" xr:uid="{00000000-0005-0000-0000-0000CF920000}"/>
    <cellStyle name="Nuovo 10 3 2" xfId="993" xr:uid="{00000000-0005-0000-0000-0000D0920000}"/>
    <cellStyle name="Nuovo 10 3 3" xfId="19730" xr:uid="{00000000-0005-0000-0000-0000D1920000}"/>
    <cellStyle name="Nuovo 10 3 3 2" xfId="20740" xr:uid="{00000000-0005-0000-0000-0000D2920000}"/>
    <cellStyle name="Nuovo 10 3 4" xfId="20739" xr:uid="{00000000-0005-0000-0000-0000D3920000}"/>
    <cellStyle name="Nuovo 10 3 5" xfId="19729" xr:uid="{00000000-0005-0000-0000-0000D4920000}"/>
    <cellStyle name="Nuovo 10 4" xfId="994" xr:uid="{00000000-0005-0000-0000-0000D5920000}"/>
    <cellStyle name="Nuovo 10 4 2" xfId="19732" xr:uid="{00000000-0005-0000-0000-0000D6920000}"/>
    <cellStyle name="Nuovo 10 4 2 2" xfId="20742" xr:uid="{00000000-0005-0000-0000-0000D7920000}"/>
    <cellStyle name="Nuovo 10 4 3" xfId="20741" xr:uid="{00000000-0005-0000-0000-0000D8920000}"/>
    <cellStyle name="Nuovo 10 4 4" xfId="19731" xr:uid="{00000000-0005-0000-0000-0000D9920000}"/>
    <cellStyle name="Nuovo 10 4 5" xfId="11713" xr:uid="{00000000-0005-0000-0000-0000DA920000}"/>
    <cellStyle name="Nuovo 10 5" xfId="995" xr:uid="{00000000-0005-0000-0000-0000DB920000}"/>
    <cellStyle name="Nuovo 10 5 2" xfId="11714" xr:uid="{00000000-0005-0000-0000-0000DC920000}"/>
    <cellStyle name="Nuovo 10 6" xfId="996" xr:uid="{00000000-0005-0000-0000-0000DD920000}"/>
    <cellStyle name="Nuovo 10 6 2" xfId="21783" xr:uid="{00000000-0005-0000-0000-0000DE920000}"/>
    <cellStyle name="Nuovo 11" xfId="997" xr:uid="{00000000-0005-0000-0000-0000DF920000}"/>
    <cellStyle name="Nuovo 11 2" xfId="998" xr:uid="{00000000-0005-0000-0000-0000E0920000}"/>
    <cellStyle name="Nuovo 11 2 2" xfId="3697" xr:uid="{00000000-0005-0000-0000-0000E1920000}"/>
    <cellStyle name="Nuovo 11 3" xfId="999" xr:uid="{00000000-0005-0000-0000-0000E2920000}"/>
    <cellStyle name="Nuovo 11 3 2" xfId="1000" xr:uid="{00000000-0005-0000-0000-0000E3920000}"/>
    <cellStyle name="Nuovo 11 3 3" xfId="19734" xr:uid="{00000000-0005-0000-0000-0000E4920000}"/>
    <cellStyle name="Nuovo 11 3 3 2" xfId="20744" xr:uid="{00000000-0005-0000-0000-0000E5920000}"/>
    <cellStyle name="Nuovo 11 3 4" xfId="20743" xr:uid="{00000000-0005-0000-0000-0000E6920000}"/>
    <cellStyle name="Nuovo 11 3 5" xfId="19733" xr:uid="{00000000-0005-0000-0000-0000E7920000}"/>
    <cellStyle name="Nuovo 11 4" xfId="1001" xr:uid="{00000000-0005-0000-0000-0000E8920000}"/>
    <cellStyle name="Nuovo 11 4 2" xfId="19736" xr:uid="{00000000-0005-0000-0000-0000E9920000}"/>
    <cellStyle name="Nuovo 11 4 2 2" xfId="20746" xr:uid="{00000000-0005-0000-0000-0000EA920000}"/>
    <cellStyle name="Nuovo 11 4 3" xfId="20745" xr:uid="{00000000-0005-0000-0000-0000EB920000}"/>
    <cellStyle name="Nuovo 11 4 4" xfId="19735" xr:uid="{00000000-0005-0000-0000-0000EC920000}"/>
    <cellStyle name="Nuovo 11 4 5" xfId="11715" xr:uid="{00000000-0005-0000-0000-0000ED920000}"/>
    <cellStyle name="Nuovo 11 5" xfId="1002" xr:uid="{00000000-0005-0000-0000-0000EE920000}"/>
    <cellStyle name="Nuovo 11 5 2" xfId="11716" xr:uid="{00000000-0005-0000-0000-0000EF920000}"/>
    <cellStyle name="Nuovo 11 6" xfId="1003" xr:uid="{00000000-0005-0000-0000-0000F0920000}"/>
    <cellStyle name="Nuovo 11 6 2" xfId="21784" xr:uid="{00000000-0005-0000-0000-0000F1920000}"/>
    <cellStyle name="Nuovo 12" xfId="1004" xr:uid="{00000000-0005-0000-0000-0000F2920000}"/>
    <cellStyle name="Nuovo 12 2" xfId="1005" xr:uid="{00000000-0005-0000-0000-0000F3920000}"/>
    <cellStyle name="Nuovo 12 2 2" xfId="3698" xr:uid="{00000000-0005-0000-0000-0000F4920000}"/>
    <cellStyle name="Nuovo 12 3" xfId="1006" xr:uid="{00000000-0005-0000-0000-0000F5920000}"/>
    <cellStyle name="Nuovo 12 3 2" xfId="1007" xr:uid="{00000000-0005-0000-0000-0000F6920000}"/>
    <cellStyle name="Nuovo 12 3 3" xfId="19738" xr:uid="{00000000-0005-0000-0000-0000F7920000}"/>
    <cellStyle name="Nuovo 12 3 3 2" xfId="20748" xr:uid="{00000000-0005-0000-0000-0000F8920000}"/>
    <cellStyle name="Nuovo 12 3 4" xfId="20747" xr:uid="{00000000-0005-0000-0000-0000F9920000}"/>
    <cellStyle name="Nuovo 12 3 5" xfId="19737" xr:uid="{00000000-0005-0000-0000-0000FA920000}"/>
    <cellStyle name="Nuovo 12 4" xfId="1008" xr:uid="{00000000-0005-0000-0000-0000FB920000}"/>
    <cellStyle name="Nuovo 12 4 2" xfId="19740" xr:uid="{00000000-0005-0000-0000-0000FC920000}"/>
    <cellStyle name="Nuovo 12 4 2 2" xfId="20750" xr:uid="{00000000-0005-0000-0000-0000FD920000}"/>
    <cellStyle name="Nuovo 12 4 3" xfId="20749" xr:uid="{00000000-0005-0000-0000-0000FE920000}"/>
    <cellStyle name="Nuovo 12 4 4" xfId="19739" xr:uid="{00000000-0005-0000-0000-0000FF920000}"/>
    <cellStyle name="Nuovo 12 4 5" xfId="11717" xr:uid="{00000000-0005-0000-0000-000000930000}"/>
    <cellStyle name="Nuovo 12 5" xfId="1009" xr:uid="{00000000-0005-0000-0000-000001930000}"/>
    <cellStyle name="Nuovo 12 5 2" xfId="11718" xr:uid="{00000000-0005-0000-0000-000002930000}"/>
    <cellStyle name="Nuovo 12 6" xfId="1010" xr:uid="{00000000-0005-0000-0000-000003930000}"/>
    <cellStyle name="Nuovo 12 6 2" xfId="21785" xr:uid="{00000000-0005-0000-0000-000004930000}"/>
    <cellStyle name="Nuovo 13" xfId="1011" xr:uid="{00000000-0005-0000-0000-000005930000}"/>
    <cellStyle name="Nuovo 13 2" xfId="1012" xr:uid="{00000000-0005-0000-0000-000006930000}"/>
    <cellStyle name="Nuovo 13 2 2" xfId="3699" xr:uid="{00000000-0005-0000-0000-000007930000}"/>
    <cellStyle name="Nuovo 13 3" xfId="1013" xr:uid="{00000000-0005-0000-0000-000008930000}"/>
    <cellStyle name="Nuovo 13 3 2" xfId="1014" xr:uid="{00000000-0005-0000-0000-000009930000}"/>
    <cellStyle name="Nuovo 13 3 3" xfId="19742" xr:uid="{00000000-0005-0000-0000-00000A930000}"/>
    <cellStyle name="Nuovo 13 3 3 2" xfId="20752" xr:uid="{00000000-0005-0000-0000-00000B930000}"/>
    <cellStyle name="Nuovo 13 3 4" xfId="20751" xr:uid="{00000000-0005-0000-0000-00000C930000}"/>
    <cellStyle name="Nuovo 13 3 5" xfId="19741" xr:uid="{00000000-0005-0000-0000-00000D930000}"/>
    <cellStyle name="Nuovo 13 4" xfId="1015" xr:uid="{00000000-0005-0000-0000-00000E930000}"/>
    <cellStyle name="Nuovo 13 4 2" xfId="19744" xr:uid="{00000000-0005-0000-0000-00000F930000}"/>
    <cellStyle name="Nuovo 13 4 2 2" xfId="20754" xr:uid="{00000000-0005-0000-0000-000010930000}"/>
    <cellStyle name="Nuovo 13 4 3" xfId="20753" xr:uid="{00000000-0005-0000-0000-000011930000}"/>
    <cellStyle name="Nuovo 13 4 4" xfId="19743" xr:uid="{00000000-0005-0000-0000-000012930000}"/>
    <cellStyle name="Nuovo 13 4 5" xfId="11719" xr:uid="{00000000-0005-0000-0000-000013930000}"/>
    <cellStyle name="Nuovo 13 5" xfId="1016" xr:uid="{00000000-0005-0000-0000-000014930000}"/>
    <cellStyle name="Nuovo 13 5 2" xfId="11720" xr:uid="{00000000-0005-0000-0000-000015930000}"/>
    <cellStyle name="Nuovo 13 6" xfId="1017" xr:uid="{00000000-0005-0000-0000-000016930000}"/>
    <cellStyle name="Nuovo 13 6 2" xfId="21786" xr:uid="{00000000-0005-0000-0000-000017930000}"/>
    <cellStyle name="Nuovo 14" xfId="1018" xr:uid="{00000000-0005-0000-0000-000018930000}"/>
    <cellStyle name="Nuovo 14 2" xfId="1019" xr:uid="{00000000-0005-0000-0000-000019930000}"/>
    <cellStyle name="Nuovo 14 2 2" xfId="3700" xr:uid="{00000000-0005-0000-0000-00001A930000}"/>
    <cellStyle name="Nuovo 14 3" xfId="1020" xr:uid="{00000000-0005-0000-0000-00001B930000}"/>
    <cellStyle name="Nuovo 14 3 2" xfId="1021" xr:uid="{00000000-0005-0000-0000-00001C930000}"/>
    <cellStyle name="Nuovo 14 3 3" xfId="19746" xr:uid="{00000000-0005-0000-0000-00001D930000}"/>
    <cellStyle name="Nuovo 14 3 3 2" xfId="20756" xr:uid="{00000000-0005-0000-0000-00001E930000}"/>
    <cellStyle name="Nuovo 14 3 4" xfId="20755" xr:uid="{00000000-0005-0000-0000-00001F930000}"/>
    <cellStyle name="Nuovo 14 3 5" xfId="19745" xr:uid="{00000000-0005-0000-0000-000020930000}"/>
    <cellStyle name="Nuovo 14 4" xfId="1022" xr:uid="{00000000-0005-0000-0000-000021930000}"/>
    <cellStyle name="Nuovo 14 4 2" xfId="19748" xr:uid="{00000000-0005-0000-0000-000022930000}"/>
    <cellStyle name="Nuovo 14 4 2 2" xfId="20758" xr:uid="{00000000-0005-0000-0000-000023930000}"/>
    <cellStyle name="Nuovo 14 4 3" xfId="20757" xr:uid="{00000000-0005-0000-0000-000024930000}"/>
    <cellStyle name="Nuovo 14 4 4" xfId="19747" xr:uid="{00000000-0005-0000-0000-000025930000}"/>
    <cellStyle name="Nuovo 14 4 5" xfId="11721" xr:uid="{00000000-0005-0000-0000-000026930000}"/>
    <cellStyle name="Nuovo 14 5" xfId="1023" xr:uid="{00000000-0005-0000-0000-000027930000}"/>
    <cellStyle name="Nuovo 14 5 2" xfId="11722" xr:uid="{00000000-0005-0000-0000-000028930000}"/>
    <cellStyle name="Nuovo 14 6" xfId="1024" xr:uid="{00000000-0005-0000-0000-000029930000}"/>
    <cellStyle name="Nuovo 14 6 2" xfId="21787" xr:uid="{00000000-0005-0000-0000-00002A930000}"/>
    <cellStyle name="Nuovo 15" xfId="1025" xr:uid="{00000000-0005-0000-0000-00002B930000}"/>
    <cellStyle name="Nuovo 15 2" xfId="1026" xr:uid="{00000000-0005-0000-0000-00002C930000}"/>
    <cellStyle name="Nuovo 15 2 2" xfId="3701" xr:uid="{00000000-0005-0000-0000-00002D930000}"/>
    <cellStyle name="Nuovo 15 3" xfId="1027" xr:uid="{00000000-0005-0000-0000-00002E930000}"/>
    <cellStyle name="Nuovo 15 3 2" xfId="1028" xr:uid="{00000000-0005-0000-0000-00002F930000}"/>
    <cellStyle name="Nuovo 15 3 3" xfId="19750" xr:uid="{00000000-0005-0000-0000-000030930000}"/>
    <cellStyle name="Nuovo 15 3 3 2" xfId="20760" xr:uid="{00000000-0005-0000-0000-000031930000}"/>
    <cellStyle name="Nuovo 15 3 4" xfId="20759" xr:uid="{00000000-0005-0000-0000-000032930000}"/>
    <cellStyle name="Nuovo 15 3 5" xfId="19749" xr:uid="{00000000-0005-0000-0000-000033930000}"/>
    <cellStyle name="Nuovo 15 4" xfId="1029" xr:uid="{00000000-0005-0000-0000-000034930000}"/>
    <cellStyle name="Nuovo 15 4 2" xfId="19752" xr:uid="{00000000-0005-0000-0000-000035930000}"/>
    <cellStyle name="Nuovo 15 4 2 2" xfId="20762" xr:uid="{00000000-0005-0000-0000-000036930000}"/>
    <cellStyle name="Nuovo 15 4 3" xfId="20761" xr:uid="{00000000-0005-0000-0000-000037930000}"/>
    <cellStyle name="Nuovo 15 4 4" xfId="19751" xr:uid="{00000000-0005-0000-0000-000038930000}"/>
    <cellStyle name="Nuovo 15 4 5" xfId="11723" xr:uid="{00000000-0005-0000-0000-000039930000}"/>
    <cellStyle name="Nuovo 15 5" xfId="1030" xr:uid="{00000000-0005-0000-0000-00003A930000}"/>
    <cellStyle name="Nuovo 15 5 2" xfId="11724" xr:uid="{00000000-0005-0000-0000-00003B930000}"/>
    <cellStyle name="Nuovo 15 6" xfId="1031" xr:uid="{00000000-0005-0000-0000-00003C930000}"/>
    <cellStyle name="Nuovo 15 6 2" xfId="21788" xr:uid="{00000000-0005-0000-0000-00003D930000}"/>
    <cellStyle name="Nuovo 16" xfId="1032" xr:uid="{00000000-0005-0000-0000-00003E930000}"/>
    <cellStyle name="Nuovo 16 2" xfId="1033" xr:uid="{00000000-0005-0000-0000-00003F930000}"/>
    <cellStyle name="Nuovo 16 2 2" xfId="3702" xr:uid="{00000000-0005-0000-0000-000040930000}"/>
    <cellStyle name="Nuovo 16 3" xfId="1034" xr:uid="{00000000-0005-0000-0000-000041930000}"/>
    <cellStyle name="Nuovo 16 3 2" xfId="1035" xr:uid="{00000000-0005-0000-0000-000042930000}"/>
    <cellStyle name="Nuovo 16 3 3" xfId="19754" xr:uid="{00000000-0005-0000-0000-000043930000}"/>
    <cellStyle name="Nuovo 16 3 3 2" xfId="20764" xr:uid="{00000000-0005-0000-0000-000044930000}"/>
    <cellStyle name="Nuovo 16 3 4" xfId="20763" xr:uid="{00000000-0005-0000-0000-000045930000}"/>
    <cellStyle name="Nuovo 16 3 5" xfId="19753" xr:uid="{00000000-0005-0000-0000-000046930000}"/>
    <cellStyle name="Nuovo 16 4" xfId="1036" xr:uid="{00000000-0005-0000-0000-000047930000}"/>
    <cellStyle name="Nuovo 16 4 2" xfId="19756" xr:uid="{00000000-0005-0000-0000-000048930000}"/>
    <cellStyle name="Nuovo 16 4 2 2" xfId="20766" xr:uid="{00000000-0005-0000-0000-000049930000}"/>
    <cellStyle name="Nuovo 16 4 3" xfId="20765" xr:uid="{00000000-0005-0000-0000-00004A930000}"/>
    <cellStyle name="Nuovo 16 4 4" xfId="19755" xr:uid="{00000000-0005-0000-0000-00004B930000}"/>
    <cellStyle name="Nuovo 16 4 5" xfId="11725" xr:uid="{00000000-0005-0000-0000-00004C930000}"/>
    <cellStyle name="Nuovo 16 5" xfId="1037" xr:uid="{00000000-0005-0000-0000-00004D930000}"/>
    <cellStyle name="Nuovo 16 5 2" xfId="11726" xr:uid="{00000000-0005-0000-0000-00004E930000}"/>
    <cellStyle name="Nuovo 16 6" xfId="1038" xr:uid="{00000000-0005-0000-0000-00004F930000}"/>
    <cellStyle name="Nuovo 16 6 2" xfId="21789" xr:uid="{00000000-0005-0000-0000-000050930000}"/>
    <cellStyle name="Nuovo 17" xfId="1039" xr:uid="{00000000-0005-0000-0000-000051930000}"/>
    <cellStyle name="Nuovo 17 2" xfId="1040" xr:uid="{00000000-0005-0000-0000-000052930000}"/>
    <cellStyle name="Nuovo 17 2 2" xfId="3703" xr:uid="{00000000-0005-0000-0000-000053930000}"/>
    <cellStyle name="Nuovo 17 3" xfId="1041" xr:uid="{00000000-0005-0000-0000-000054930000}"/>
    <cellStyle name="Nuovo 17 3 2" xfId="1042" xr:uid="{00000000-0005-0000-0000-000055930000}"/>
    <cellStyle name="Nuovo 17 3 3" xfId="19758" xr:uid="{00000000-0005-0000-0000-000056930000}"/>
    <cellStyle name="Nuovo 17 3 3 2" xfId="20768" xr:uid="{00000000-0005-0000-0000-000057930000}"/>
    <cellStyle name="Nuovo 17 3 4" xfId="20767" xr:uid="{00000000-0005-0000-0000-000058930000}"/>
    <cellStyle name="Nuovo 17 3 5" xfId="19757" xr:uid="{00000000-0005-0000-0000-000059930000}"/>
    <cellStyle name="Nuovo 17 4" xfId="1043" xr:uid="{00000000-0005-0000-0000-00005A930000}"/>
    <cellStyle name="Nuovo 17 4 2" xfId="19760" xr:uid="{00000000-0005-0000-0000-00005B930000}"/>
    <cellStyle name="Nuovo 17 4 2 2" xfId="20770" xr:uid="{00000000-0005-0000-0000-00005C930000}"/>
    <cellStyle name="Nuovo 17 4 3" xfId="20769" xr:uid="{00000000-0005-0000-0000-00005D930000}"/>
    <cellStyle name="Nuovo 17 4 4" xfId="19759" xr:uid="{00000000-0005-0000-0000-00005E930000}"/>
    <cellStyle name="Nuovo 17 4 5" xfId="11727" xr:uid="{00000000-0005-0000-0000-00005F930000}"/>
    <cellStyle name="Nuovo 17 5" xfId="1044" xr:uid="{00000000-0005-0000-0000-000060930000}"/>
    <cellStyle name="Nuovo 17 5 2" xfId="11728" xr:uid="{00000000-0005-0000-0000-000061930000}"/>
    <cellStyle name="Nuovo 17 6" xfId="1045" xr:uid="{00000000-0005-0000-0000-000062930000}"/>
    <cellStyle name="Nuovo 17 6 2" xfId="21790" xr:uid="{00000000-0005-0000-0000-000063930000}"/>
    <cellStyle name="Nuovo 18" xfId="1046" xr:uid="{00000000-0005-0000-0000-000064930000}"/>
    <cellStyle name="Nuovo 18 2" xfId="1047" xr:uid="{00000000-0005-0000-0000-000065930000}"/>
    <cellStyle name="Nuovo 18 2 2" xfId="3704" xr:uid="{00000000-0005-0000-0000-000066930000}"/>
    <cellStyle name="Nuovo 18 3" xfId="1048" xr:uid="{00000000-0005-0000-0000-000067930000}"/>
    <cellStyle name="Nuovo 18 3 2" xfId="1049" xr:uid="{00000000-0005-0000-0000-000068930000}"/>
    <cellStyle name="Nuovo 18 3 3" xfId="19762" xr:uid="{00000000-0005-0000-0000-000069930000}"/>
    <cellStyle name="Nuovo 18 3 3 2" xfId="20772" xr:uid="{00000000-0005-0000-0000-00006A930000}"/>
    <cellStyle name="Nuovo 18 3 4" xfId="20771" xr:uid="{00000000-0005-0000-0000-00006B930000}"/>
    <cellStyle name="Nuovo 18 3 5" xfId="19761" xr:uid="{00000000-0005-0000-0000-00006C930000}"/>
    <cellStyle name="Nuovo 18 4" xfId="1050" xr:uid="{00000000-0005-0000-0000-00006D930000}"/>
    <cellStyle name="Nuovo 18 4 2" xfId="19764" xr:uid="{00000000-0005-0000-0000-00006E930000}"/>
    <cellStyle name="Nuovo 18 4 2 2" xfId="20774" xr:uid="{00000000-0005-0000-0000-00006F930000}"/>
    <cellStyle name="Nuovo 18 4 3" xfId="20773" xr:uid="{00000000-0005-0000-0000-000070930000}"/>
    <cellStyle name="Nuovo 18 4 4" xfId="19763" xr:uid="{00000000-0005-0000-0000-000071930000}"/>
    <cellStyle name="Nuovo 18 4 5" xfId="11729" xr:uid="{00000000-0005-0000-0000-000072930000}"/>
    <cellStyle name="Nuovo 18 5" xfId="1051" xr:uid="{00000000-0005-0000-0000-000073930000}"/>
    <cellStyle name="Nuovo 18 5 2" xfId="11730" xr:uid="{00000000-0005-0000-0000-000074930000}"/>
    <cellStyle name="Nuovo 18 6" xfId="1052" xr:uid="{00000000-0005-0000-0000-000075930000}"/>
    <cellStyle name="Nuovo 18 6 2" xfId="21791" xr:uid="{00000000-0005-0000-0000-000076930000}"/>
    <cellStyle name="Nuovo 19" xfId="1053" xr:uid="{00000000-0005-0000-0000-000077930000}"/>
    <cellStyle name="Nuovo 19 2" xfId="1054" xr:uid="{00000000-0005-0000-0000-000078930000}"/>
    <cellStyle name="Nuovo 19 2 2" xfId="3705" xr:uid="{00000000-0005-0000-0000-000079930000}"/>
    <cellStyle name="Nuovo 19 3" xfId="1055" xr:uid="{00000000-0005-0000-0000-00007A930000}"/>
    <cellStyle name="Nuovo 19 3 2" xfId="1056" xr:uid="{00000000-0005-0000-0000-00007B930000}"/>
    <cellStyle name="Nuovo 19 3 3" xfId="19766" xr:uid="{00000000-0005-0000-0000-00007C930000}"/>
    <cellStyle name="Nuovo 19 3 3 2" xfId="20776" xr:uid="{00000000-0005-0000-0000-00007D930000}"/>
    <cellStyle name="Nuovo 19 3 4" xfId="20775" xr:uid="{00000000-0005-0000-0000-00007E930000}"/>
    <cellStyle name="Nuovo 19 3 5" xfId="19765" xr:uid="{00000000-0005-0000-0000-00007F930000}"/>
    <cellStyle name="Nuovo 19 4" xfId="1057" xr:uid="{00000000-0005-0000-0000-000080930000}"/>
    <cellStyle name="Nuovo 19 4 2" xfId="19768" xr:uid="{00000000-0005-0000-0000-000081930000}"/>
    <cellStyle name="Nuovo 19 4 2 2" xfId="20778" xr:uid="{00000000-0005-0000-0000-000082930000}"/>
    <cellStyle name="Nuovo 19 4 3" xfId="20777" xr:uid="{00000000-0005-0000-0000-000083930000}"/>
    <cellStyle name="Nuovo 19 4 4" xfId="19767" xr:uid="{00000000-0005-0000-0000-000084930000}"/>
    <cellStyle name="Nuovo 19 4 5" xfId="11731" xr:uid="{00000000-0005-0000-0000-000085930000}"/>
    <cellStyle name="Nuovo 19 5" xfId="1058" xr:uid="{00000000-0005-0000-0000-000086930000}"/>
    <cellStyle name="Nuovo 19 5 2" xfId="11732" xr:uid="{00000000-0005-0000-0000-000087930000}"/>
    <cellStyle name="Nuovo 19 6" xfId="1059" xr:uid="{00000000-0005-0000-0000-000088930000}"/>
    <cellStyle name="Nuovo 19 6 2" xfId="21792" xr:uid="{00000000-0005-0000-0000-000089930000}"/>
    <cellStyle name="Nuovo 2" xfId="1060" xr:uid="{00000000-0005-0000-0000-00008A930000}"/>
    <cellStyle name="Nuovo 2 2" xfId="1061" xr:uid="{00000000-0005-0000-0000-00008B930000}"/>
    <cellStyle name="Nuovo 2 2 2" xfId="3706" xr:uid="{00000000-0005-0000-0000-00008C930000}"/>
    <cellStyle name="Nuovo 2 3" xfId="1062" xr:uid="{00000000-0005-0000-0000-00008D930000}"/>
    <cellStyle name="Nuovo 2 3 2" xfId="1063" xr:uid="{00000000-0005-0000-0000-00008E930000}"/>
    <cellStyle name="Nuovo 2 3 3" xfId="19770" xr:uid="{00000000-0005-0000-0000-00008F930000}"/>
    <cellStyle name="Nuovo 2 3 3 2" xfId="20780" xr:uid="{00000000-0005-0000-0000-000090930000}"/>
    <cellStyle name="Nuovo 2 3 4" xfId="20779" xr:uid="{00000000-0005-0000-0000-000091930000}"/>
    <cellStyle name="Nuovo 2 3 5" xfId="19769" xr:uid="{00000000-0005-0000-0000-000092930000}"/>
    <cellStyle name="Nuovo 2 4" xfId="1064" xr:uid="{00000000-0005-0000-0000-000093930000}"/>
    <cellStyle name="Nuovo 2 4 2" xfId="19772" xr:uid="{00000000-0005-0000-0000-000094930000}"/>
    <cellStyle name="Nuovo 2 4 2 2" xfId="20782" xr:uid="{00000000-0005-0000-0000-000095930000}"/>
    <cellStyle name="Nuovo 2 4 3" xfId="20781" xr:uid="{00000000-0005-0000-0000-000096930000}"/>
    <cellStyle name="Nuovo 2 4 4" xfId="19771" xr:uid="{00000000-0005-0000-0000-000097930000}"/>
    <cellStyle name="Nuovo 2 4 5" xfId="11733" xr:uid="{00000000-0005-0000-0000-000098930000}"/>
    <cellStyle name="Nuovo 2 5" xfId="1065" xr:uid="{00000000-0005-0000-0000-000099930000}"/>
    <cellStyle name="Nuovo 2 5 2" xfId="11734" xr:uid="{00000000-0005-0000-0000-00009A930000}"/>
    <cellStyle name="Nuovo 2 6" xfId="1066" xr:uid="{00000000-0005-0000-0000-00009B930000}"/>
    <cellStyle name="Nuovo 2 6 2" xfId="21793" xr:uid="{00000000-0005-0000-0000-00009C930000}"/>
    <cellStyle name="Nuovo 20" xfId="1067" xr:uid="{00000000-0005-0000-0000-00009D930000}"/>
    <cellStyle name="Nuovo 20 2" xfId="1068" xr:uid="{00000000-0005-0000-0000-00009E930000}"/>
    <cellStyle name="Nuovo 20 2 2" xfId="3707" xr:uid="{00000000-0005-0000-0000-00009F930000}"/>
    <cellStyle name="Nuovo 20 3" xfId="1069" xr:uid="{00000000-0005-0000-0000-0000A0930000}"/>
    <cellStyle name="Nuovo 20 3 2" xfId="1070" xr:uid="{00000000-0005-0000-0000-0000A1930000}"/>
    <cellStyle name="Nuovo 20 3 3" xfId="19774" xr:uid="{00000000-0005-0000-0000-0000A2930000}"/>
    <cellStyle name="Nuovo 20 3 3 2" xfId="20784" xr:uid="{00000000-0005-0000-0000-0000A3930000}"/>
    <cellStyle name="Nuovo 20 3 4" xfId="20783" xr:uid="{00000000-0005-0000-0000-0000A4930000}"/>
    <cellStyle name="Nuovo 20 3 5" xfId="19773" xr:uid="{00000000-0005-0000-0000-0000A5930000}"/>
    <cellStyle name="Nuovo 20 4" xfId="1071" xr:uid="{00000000-0005-0000-0000-0000A6930000}"/>
    <cellStyle name="Nuovo 20 4 2" xfId="19776" xr:uid="{00000000-0005-0000-0000-0000A7930000}"/>
    <cellStyle name="Nuovo 20 4 2 2" xfId="20786" xr:uid="{00000000-0005-0000-0000-0000A8930000}"/>
    <cellStyle name="Nuovo 20 4 3" xfId="20785" xr:uid="{00000000-0005-0000-0000-0000A9930000}"/>
    <cellStyle name="Nuovo 20 4 4" xfId="19775" xr:uid="{00000000-0005-0000-0000-0000AA930000}"/>
    <cellStyle name="Nuovo 20 4 5" xfId="11735" xr:uid="{00000000-0005-0000-0000-0000AB930000}"/>
    <cellStyle name="Nuovo 20 5" xfId="1072" xr:uid="{00000000-0005-0000-0000-0000AC930000}"/>
    <cellStyle name="Nuovo 20 5 2" xfId="11736" xr:uid="{00000000-0005-0000-0000-0000AD930000}"/>
    <cellStyle name="Nuovo 20 6" xfId="1073" xr:uid="{00000000-0005-0000-0000-0000AE930000}"/>
    <cellStyle name="Nuovo 20 6 2" xfId="21794" xr:uid="{00000000-0005-0000-0000-0000AF930000}"/>
    <cellStyle name="Nuovo 21" xfId="1074" xr:uid="{00000000-0005-0000-0000-0000B0930000}"/>
    <cellStyle name="Nuovo 21 2" xfId="1075" xr:uid="{00000000-0005-0000-0000-0000B1930000}"/>
    <cellStyle name="Nuovo 21 2 2" xfId="3708" xr:uid="{00000000-0005-0000-0000-0000B2930000}"/>
    <cellStyle name="Nuovo 21 3" xfId="1076" xr:uid="{00000000-0005-0000-0000-0000B3930000}"/>
    <cellStyle name="Nuovo 21 3 2" xfId="1077" xr:uid="{00000000-0005-0000-0000-0000B4930000}"/>
    <cellStyle name="Nuovo 21 3 3" xfId="19778" xr:uid="{00000000-0005-0000-0000-0000B5930000}"/>
    <cellStyle name="Nuovo 21 3 3 2" xfId="20788" xr:uid="{00000000-0005-0000-0000-0000B6930000}"/>
    <cellStyle name="Nuovo 21 3 4" xfId="20787" xr:uid="{00000000-0005-0000-0000-0000B7930000}"/>
    <cellStyle name="Nuovo 21 3 5" xfId="19777" xr:uid="{00000000-0005-0000-0000-0000B8930000}"/>
    <cellStyle name="Nuovo 21 4" xfId="1078" xr:uid="{00000000-0005-0000-0000-0000B9930000}"/>
    <cellStyle name="Nuovo 21 4 2" xfId="19780" xr:uid="{00000000-0005-0000-0000-0000BA930000}"/>
    <cellStyle name="Nuovo 21 4 2 2" xfId="20790" xr:uid="{00000000-0005-0000-0000-0000BB930000}"/>
    <cellStyle name="Nuovo 21 4 3" xfId="20789" xr:uid="{00000000-0005-0000-0000-0000BC930000}"/>
    <cellStyle name="Nuovo 21 4 4" xfId="19779" xr:uid="{00000000-0005-0000-0000-0000BD930000}"/>
    <cellStyle name="Nuovo 21 4 5" xfId="11737" xr:uid="{00000000-0005-0000-0000-0000BE930000}"/>
    <cellStyle name="Nuovo 21 5" xfId="1079" xr:uid="{00000000-0005-0000-0000-0000BF930000}"/>
    <cellStyle name="Nuovo 21 5 2" xfId="11738" xr:uid="{00000000-0005-0000-0000-0000C0930000}"/>
    <cellStyle name="Nuovo 21 6" xfId="1080" xr:uid="{00000000-0005-0000-0000-0000C1930000}"/>
    <cellStyle name="Nuovo 21 6 2" xfId="21795" xr:uid="{00000000-0005-0000-0000-0000C2930000}"/>
    <cellStyle name="Nuovo 22" xfId="1081" xr:uid="{00000000-0005-0000-0000-0000C3930000}"/>
    <cellStyle name="Nuovo 22 2" xfId="1082" xr:uid="{00000000-0005-0000-0000-0000C4930000}"/>
    <cellStyle name="Nuovo 22 2 2" xfId="3709" xr:uid="{00000000-0005-0000-0000-0000C5930000}"/>
    <cellStyle name="Nuovo 22 3" xfId="1083" xr:uid="{00000000-0005-0000-0000-0000C6930000}"/>
    <cellStyle name="Nuovo 22 3 2" xfId="1084" xr:uid="{00000000-0005-0000-0000-0000C7930000}"/>
    <cellStyle name="Nuovo 22 3 3" xfId="19782" xr:uid="{00000000-0005-0000-0000-0000C8930000}"/>
    <cellStyle name="Nuovo 22 3 3 2" xfId="20792" xr:uid="{00000000-0005-0000-0000-0000C9930000}"/>
    <cellStyle name="Nuovo 22 3 4" xfId="20791" xr:uid="{00000000-0005-0000-0000-0000CA930000}"/>
    <cellStyle name="Nuovo 22 3 5" xfId="19781" xr:uid="{00000000-0005-0000-0000-0000CB930000}"/>
    <cellStyle name="Nuovo 22 4" xfId="1085" xr:uid="{00000000-0005-0000-0000-0000CC930000}"/>
    <cellStyle name="Nuovo 22 4 2" xfId="19784" xr:uid="{00000000-0005-0000-0000-0000CD930000}"/>
    <cellStyle name="Nuovo 22 4 2 2" xfId="20794" xr:uid="{00000000-0005-0000-0000-0000CE930000}"/>
    <cellStyle name="Nuovo 22 4 3" xfId="20793" xr:uid="{00000000-0005-0000-0000-0000CF930000}"/>
    <cellStyle name="Nuovo 22 4 4" xfId="19783" xr:uid="{00000000-0005-0000-0000-0000D0930000}"/>
    <cellStyle name="Nuovo 22 4 5" xfId="11739" xr:uid="{00000000-0005-0000-0000-0000D1930000}"/>
    <cellStyle name="Nuovo 22 5" xfId="1086" xr:uid="{00000000-0005-0000-0000-0000D2930000}"/>
    <cellStyle name="Nuovo 22 5 2" xfId="11740" xr:uid="{00000000-0005-0000-0000-0000D3930000}"/>
    <cellStyle name="Nuovo 22 6" xfId="1087" xr:uid="{00000000-0005-0000-0000-0000D4930000}"/>
    <cellStyle name="Nuovo 22 6 2" xfId="21796" xr:uid="{00000000-0005-0000-0000-0000D5930000}"/>
    <cellStyle name="Nuovo 23" xfId="1088" xr:uid="{00000000-0005-0000-0000-0000D6930000}"/>
    <cellStyle name="Nuovo 23 2" xfId="1089" xr:uid="{00000000-0005-0000-0000-0000D7930000}"/>
    <cellStyle name="Nuovo 23 2 2" xfId="3710" xr:uid="{00000000-0005-0000-0000-0000D8930000}"/>
    <cellStyle name="Nuovo 23 3" xfId="1090" xr:uid="{00000000-0005-0000-0000-0000D9930000}"/>
    <cellStyle name="Nuovo 23 3 2" xfId="1091" xr:uid="{00000000-0005-0000-0000-0000DA930000}"/>
    <cellStyle name="Nuovo 23 3 3" xfId="19786" xr:uid="{00000000-0005-0000-0000-0000DB930000}"/>
    <cellStyle name="Nuovo 23 3 3 2" xfId="20796" xr:uid="{00000000-0005-0000-0000-0000DC930000}"/>
    <cellStyle name="Nuovo 23 3 4" xfId="20795" xr:uid="{00000000-0005-0000-0000-0000DD930000}"/>
    <cellStyle name="Nuovo 23 3 5" xfId="19785" xr:uid="{00000000-0005-0000-0000-0000DE930000}"/>
    <cellStyle name="Nuovo 23 4" xfId="1092" xr:uid="{00000000-0005-0000-0000-0000DF930000}"/>
    <cellStyle name="Nuovo 23 4 2" xfId="19788" xr:uid="{00000000-0005-0000-0000-0000E0930000}"/>
    <cellStyle name="Nuovo 23 4 2 2" xfId="20798" xr:uid="{00000000-0005-0000-0000-0000E1930000}"/>
    <cellStyle name="Nuovo 23 4 3" xfId="20797" xr:uid="{00000000-0005-0000-0000-0000E2930000}"/>
    <cellStyle name="Nuovo 23 4 4" xfId="19787" xr:uid="{00000000-0005-0000-0000-0000E3930000}"/>
    <cellStyle name="Nuovo 23 4 5" xfId="11741" xr:uid="{00000000-0005-0000-0000-0000E4930000}"/>
    <cellStyle name="Nuovo 23 5" xfId="1093" xr:uid="{00000000-0005-0000-0000-0000E5930000}"/>
    <cellStyle name="Nuovo 23 5 2" xfId="11742" xr:uid="{00000000-0005-0000-0000-0000E6930000}"/>
    <cellStyle name="Nuovo 23 6" xfId="1094" xr:uid="{00000000-0005-0000-0000-0000E7930000}"/>
    <cellStyle name="Nuovo 23 6 2" xfId="21797" xr:uid="{00000000-0005-0000-0000-0000E8930000}"/>
    <cellStyle name="Nuovo 24" xfId="1095" xr:uid="{00000000-0005-0000-0000-0000E9930000}"/>
    <cellStyle name="Nuovo 24 2" xfId="1096" xr:uid="{00000000-0005-0000-0000-0000EA930000}"/>
    <cellStyle name="Nuovo 24 2 2" xfId="3711" xr:uid="{00000000-0005-0000-0000-0000EB930000}"/>
    <cellStyle name="Nuovo 24 3" xfId="1097" xr:uid="{00000000-0005-0000-0000-0000EC930000}"/>
    <cellStyle name="Nuovo 24 3 2" xfId="1098" xr:uid="{00000000-0005-0000-0000-0000ED930000}"/>
    <cellStyle name="Nuovo 24 3 3" xfId="19790" xr:uid="{00000000-0005-0000-0000-0000EE930000}"/>
    <cellStyle name="Nuovo 24 3 3 2" xfId="20800" xr:uid="{00000000-0005-0000-0000-0000EF930000}"/>
    <cellStyle name="Nuovo 24 3 4" xfId="20799" xr:uid="{00000000-0005-0000-0000-0000F0930000}"/>
    <cellStyle name="Nuovo 24 3 5" xfId="19789" xr:uid="{00000000-0005-0000-0000-0000F1930000}"/>
    <cellStyle name="Nuovo 24 4" xfId="1099" xr:uid="{00000000-0005-0000-0000-0000F2930000}"/>
    <cellStyle name="Nuovo 24 4 2" xfId="19792" xr:uid="{00000000-0005-0000-0000-0000F3930000}"/>
    <cellStyle name="Nuovo 24 4 2 2" xfId="20802" xr:uid="{00000000-0005-0000-0000-0000F4930000}"/>
    <cellStyle name="Nuovo 24 4 3" xfId="20801" xr:uid="{00000000-0005-0000-0000-0000F5930000}"/>
    <cellStyle name="Nuovo 24 4 4" xfId="19791" xr:uid="{00000000-0005-0000-0000-0000F6930000}"/>
    <cellStyle name="Nuovo 24 4 5" xfId="11743" xr:uid="{00000000-0005-0000-0000-0000F7930000}"/>
    <cellStyle name="Nuovo 24 5" xfId="1100" xr:uid="{00000000-0005-0000-0000-0000F8930000}"/>
    <cellStyle name="Nuovo 24 5 2" xfId="11744" xr:uid="{00000000-0005-0000-0000-0000F9930000}"/>
    <cellStyle name="Nuovo 24 6" xfId="1101" xr:uid="{00000000-0005-0000-0000-0000FA930000}"/>
    <cellStyle name="Nuovo 24 6 2" xfId="21798" xr:uid="{00000000-0005-0000-0000-0000FB930000}"/>
    <cellStyle name="Nuovo 25" xfId="1102" xr:uid="{00000000-0005-0000-0000-0000FC930000}"/>
    <cellStyle name="Nuovo 25 2" xfId="1103" xr:uid="{00000000-0005-0000-0000-0000FD930000}"/>
    <cellStyle name="Nuovo 25 2 2" xfId="3712" xr:uid="{00000000-0005-0000-0000-0000FE930000}"/>
    <cellStyle name="Nuovo 25 3" xfId="1104" xr:uid="{00000000-0005-0000-0000-0000FF930000}"/>
    <cellStyle name="Nuovo 25 3 2" xfId="1105" xr:uid="{00000000-0005-0000-0000-000000940000}"/>
    <cellStyle name="Nuovo 25 3 3" xfId="19794" xr:uid="{00000000-0005-0000-0000-000001940000}"/>
    <cellStyle name="Nuovo 25 3 3 2" xfId="20804" xr:uid="{00000000-0005-0000-0000-000002940000}"/>
    <cellStyle name="Nuovo 25 3 4" xfId="20803" xr:uid="{00000000-0005-0000-0000-000003940000}"/>
    <cellStyle name="Nuovo 25 3 5" xfId="19793" xr:uid="{00000000-0005-0000-0000-000004940000}"/>
    <cellStyle name="Nuovo 25 4" xfId="1106" xr:uid="{00000000-0005-0000-0000-000005940000}"/>
    <cellStyle name="Nuovo 25 4 2" xfId="19796" xr:uid="{00000000-0005-0000-0000-000006940000}"/>
    <cellStyle name="Nuovo 25 4 2 2" xfId="20806" xr:uid="{00000000-0005-0000-0000-000007940000}"/>
    <cellStyle name="Nuovo 25 4 3" xfId="20805" xr:uid="{00000000-0005-0000-0000-000008940000}"/>
    <cellStyle name="Nuovo 25 4 4" xfId="19795" xr:uid="{00000000-0005-0000-0000-000009940000}"/>
    <cellStyle name="Nuovo 25 4 5" xfId="11745" xr:uid="{00000000-0005-0000-0000-00000A940000}"/>
    <cellStyle name="Nuovo 25 5" xfId="1107" xr:uid="{00000000-0005-0000-0000-00000B940000}"/>
    <cellStyle name="Nuovo 25 5 2" xfId="11746" xr:uid="{00000000-0005-0000-0000-00000C940000}"/>
    <cellStyle name="Nuovo 25 6" xfId="1108" xr:uid="{00000000-0005-0000-0000-00000D940000}"/>
    <cellStyle name="Nuovo 25 6 2" xfId="21799" xr:uid="{00000000-0005-0000-0000-00000E940000}"/>
    <cellStyle name="Nuovo 26" xfId="1109" xr:uid="{00000000-0005-0000-0000-00000F940000}"/>
    <cellStyle name="Nuovo 26 2" xfId="1110" xr:uid="{00000000-0005-0000-0000-000010940000}"/>
    <cellStyle name="Nuovo 26 2 2" xfId="3713" xr:uid="{00000000-0005-0000-0000-000011940000}"/>
    <cellStyle name="Nuovo 26 3" xfId="1111" xr:uid="{00000000-0005-0000-0000-000012940000}"/>
    <cellStyle name="Nuovo 26 3 2" xfId="1112" xr:uid="{00000000-0005-0000-0000-000013940000}"/>
    <cellStyle name="Nuovo 26 3 3" xfId="19798" xr:uid="{00000000-0005-0000-0000-000014940000}"/>
    <cellStyle name="Nuovo 26 3 3 2" xfId="20808" xr:uid="{00000000-0005-0000-0000-000015940000}"/>
    <cellStyle name="Nuovo 26 3 4" xfId="20807" xr:uid="{00000000-0005-0000-0000-000016940000}"/>
    <cellStyle name="Nuovo 26 3 5" xfId="19797" xr:uid="{00000000-0005-0000-0000-000017940000}"/>
    <cellStyle name="Nuovo 26 4" xfId="1113" xr:uid="{00000000-0005-0000-0000-000018940000}"/>
    <cellStyle name="Nuovo 26 4 2" xfId="19800" xr:uid="{00000000-0005-0000-0000-000019940000}"/>
    <cellStyle name="Nuovo 26 4 2 2" xfId="20810" xr:uid="{00000000-0005-0000-0000-00001A940000}"/>
    <cellStyle name="Nuovo 26 4 3" xfId="20809" xr:uid="{00000000-0005-0000-0000-00001B940000}"/>
    <cellStyle name="Nuovo 26 4 4" xfId="19799" xr:uid="{00000000-0005-0000-0000-00001C940000}"/>
    <cellStyle name="Nuovo 26 4 5" xfId="11747" xr:uid="{00000000-0005-0000-0000-00001D940000}"/>
    <cellStyle name="Nuovo 26 5" xfId="1114" xr:uid="{00000000-0005-0000-0000-00001E940000}"/>
    <cellStyle name="Nuovo 26 5 2" xfId="11748" xr:uid="{00000000-0005-0000-0000-00001F940000}"/>
    <cellStyle name="Nuovo 26 6" xfId="1115" xr:uid="{00000000-0005-0000-0000-000020940000}"/>
    <cellStyle name="Nuovo 26 6 2" xfId="21800" xr:uid="{00000000-0005-0000-0000-000021940000}"/>
    <cellStyle name="Nuovo 27" xfId="1116" xr:uid="{00000000-0005-0000-0000-000022940000}"/>
    <cellStyle name="Nuovo 27 2" xfId="1117" xr:uid="{00000000-0005-0000-0000-000023940000}"/>
    <cellStyle name="Nuovo 27 2 2" xfId="3714" xr:uid="{00000000-0005-0000-0000-000024940000}"/>
    <cellStyle name="Nuovo 27 3" xfId="1118" xr:uid="{00000000-0005-0000-0000-000025940000}"/>
    <cellStyle name="Nuovo 27 3 2" xfId="1119" xr:uid="{00000000-0005-0000-0000-000026940000}"/>
    <cellStyle name="Nuovo 27 3 3" xfId="19802" xr:uid="{00000000-0005-0000-0000-000027940000}"/>
    <cellStyle name="Nuovo 27 3 3 2" xfId="20812" xr:uid="{00000000-0005-0000-0000-000028940000}"/>
    <cellStyle name="Nuovo 27 3 4" xfId="20811" xr:uid="{00000000-0005-0000-0000-000029940000}"/>
    <cellStyle name="Nuovo 27 3 5" xfId="19801" xr:uid="{00000000-0005-0000-0000-00002A940000}"/>
    <cellStyle name="Nuovo 27 4" xfId="1120" xr:uid="{00000000-0005-0000-0000-00002B940000}"/>
    <cellStyle name="Nuovo 27 4 2" xfId="19804" xr:uid="{00000000-0005-0000-0000-00002C940000}"/>
    <cellStyle name="Nuovo 27 4 2 2" xfId="20814" xr:uid="{00000000-0005-0000-0000-00002D940000}"/>
    <cellStyle name="Nuovo 27 4 3" xfId="20813" xr:uid="{00000000-0005-0000-0000-00002E940000}"/>
    <cellStyle name="Nuovo 27 4 4" xfId="19803" xr:uid="{00000000-0005-0000-0000-00002F940000}"/>
    <cellStyle name="Nuovo 27 4 5" xfId="11749" xr:uid="{00000000-0005-0000-0000-000030940000}"/>
    <cellStyle name="Nuovo 27 5" xfId="1121" xr:uid="{00000000-0005-0000-0000-000031940000}"/>
    <cellStyle name="Nuovo 27 5 2" xfId="11750" xr:uid="{00000000-0005-0000-0000-000032940000}"/>
    <cellStyle name="Nuovo 27 6" xfId="1122" xr:uid="{00000000-0005-0000-0000-000033940000}"/>
    <cellStyle name="Nuovo 27 6 2" xfId="21801" xr:uid="{00000000-0005-0000-0000-000034940000}"/>
    <cellStyle name="Nuovo 28" xfId="1123" xr:uid="{00000000-0005-0000-0000-000035940000}"/>
    <cellStyle name="Nuovo 28 2" xfId="1124" xr:uid="{00000000-0005-0000-0000-000036940000}"/>
    <cellStyle name="Nuovo 28 2 2" xfId="3715" xr:uid="{00000000-0005-0000-0000-000037940000}"/>
    <cellStyle name="Nuovo 28 3" xfId="1125" xr:uid="{00000000-0005-0000-0000-000038940000}"/>
    <cellStyle name="Nuovo 28 3 2" xfId="1126" xr:uid="{00000000-0005-0000-0000-000039940000}"/>
    <cellStyle name="Nuovo 28 3 3" xfId="19806" xr:uid="{00000000-0005-0000-0000-00003A940000}"/>
    <cellStyle name="Nuovo 28 3 3 2" xfId="20816" xr:uid="{00000000-0005-0000-0000-00003B940000}"/>
    <cellStyle name="Nuovo 28 3 4" xfId="20815" xr:uid="{00000000-0005-0000-0000-00003C940000}"/>
    <cellStyle name="Nuovo 28 3 5" xfId="19805" xr:uid="{00000000-0005-0000-0000-00003D940000}"/>
    <cellStyle name="Nuovo 28 4" xfId="1127" xr:uid="{00000000-0005-0000-0000-00003E940000}"/>
    <cellStyle name="Nuovo 28 4 2" xfId="19808" xr:uid="{00000000-0005-0000-0000-00003F940000}"/>
    <cellStyle name="Nuovo 28 4 2 2" xfId="20818" xr:uid="{00000000-0005-0000-0000-000040940000}"/>
    <cellStyle name="Nuovo 28 4 3" xfId="20817" xr:uid="{00000000-0005-0000-0000-000041940000}"/>
    <cellStyle name="Nuovo 28 4 4" xfId="19807" xr:uid="{00000000-0005-0000-0000-000042940000}"/>
    <cellStyle name="Nuovo 28 4 5" xfId="11751" xr:uid="{00000000-0005-0000-0000-000043940000}"/>
    <cellStyle name="Nuovo 28 5" xfId="1128" xr:uid="{00000000-0005-0000-0000-000044940000}"/>
    <cellStyle name="Nuovo 28 5 2" xfId="11752" xr:uid="{00000000-0005-0000-0000-000045940000}"/>
    <cellStyle name="Nuovo 28 6" xfId="1129" xr:uid="{00000000-0005-0000-0000-000046940000}"/>
    <cellStyle name="Nuovo 28 6 2" xfId="21802" xr:uid="{00000000-0005-0000-0000-000047940000}"/>
    <cellStyle name="Nuovo 29" xfId="1130" xr:uid="{00000000-0005-0000-0000-000048940000}"/>
    <cellStyle name="Nuovo 29 2" xfId="1131" xr:uid="{00000000-0005-0000-0000-000049940000}"/>
    <cellStyle name="Nuovo 29 2 2" xfId="3716" xr:uid="{00000000-0005-0000-0000-00004A940000}"/>
    <cellStyle name="Nuovo 29 3" xfId="1132" xr:uid="{00000000-0005-0000-0000-00004B940000}"/>
    <cellStyle name="Nuovo 29 3 2" xfId="1133" xr:uid="{00000000-0005-0000-0000-00004C940000}"/>
    <cellStyle name="Nuovo 29 3 3" xfId="19810" xr:uid="{00000000-0005-0000-0000-00004D940000}"/>
    <cellStyle name="Nuovo 29 3 3 2" xfId="20820" xr:uid="{00000000-0005-0000-0000-00004E940000}"/>
    <cellStyle name="Nuovo 29 3 4" xfId="20819" xr:uid="{00000000-0005-0000-0000-00004F940000}"/>
    <cellStyle name="Nuovo 29 3 5" xfId="19809" xr:uid="{00000000-0005-0000-0000-000050940000}"/>
    <cellStyle name="Nuovo 29 4" xfId="1134" xr:uid="{00000000-0005-0000-0000-000051940000}"/>
    <cellStyle name="Nuovo 29 4 2" xfId="19812" xr:uid="{00000000-0005-0000-0000-000052940000}"/>
    <cellStyle name="Nuovo 29 4 2 2" xfId="20822" xr:uid="{00000000-0005-0000-0000-000053940000}"/>
    <cellStyle name="Nuovo 29 4 3" xfId="20821" xr:uid="{00000000-0005-0000-0000-000054940000}"/>
    <cellStyle name="Nuovo 29 4 4" xfId="19811" xr:uid="{00000000-0005-0000-0000-000055940000}"/>
    <cellStyle name="Nuovo 29 4 5" xfId="11753" xr:uid="{00000000-0005-0000-0000-000056940000}"/>
    <cellStyle name="Nuovo 29 5" xfId="1135" xr:uid="{00000000-0005-0000-0000-000057940000}"/>
    <cellStyle name="Nuovo 29 5 2" xfId="11754" xr:uid="{00000000-0005-0000-0000-000058940000}"/>
    <cellStyle name="Nuovo 29 6" xfId="1136" xr:uid="{00000000-0005-0000-0000-000059940000}"/>
    <cellStyle name="Nuovo 29 6 2" xfId="21803" xr:uid="{00000000-0005-0000-0000-00005A940000}"/>
    <cellStyle name="Nuovo 3" xfId="1137" xr:uid="{00000000-0005-0000-0000-00005B940000}"/>
    <cellStyle name="Nuovo 3 2" xfId="1138" xr:uid="{00000000-0005-0000-0000-00005C940000}"/>
    <cellStyle name="Nuovo 3 2 2" xfId="3717" xr:uid="{00000000-0005-0000-0000-00005D940000}"/>
    <cellStyle name="Nuovo 3 3" xfId="1139" xr:uid="{00000000-0005-0000-0000-00005E940000}"/>
    <cellStyle name="Nuovo 3 3 2" xfId="1140" xr:uid="{00000000-0005-0000-0000-00005F940000}"/>
    <cellStyle name="Nuovo 3 3 3" xfId="19814" xr:uid="{00000000-0005-0000-0000-000060940000}"/>
    <cellStyle name="Nuovo 3 3 3 2" xfId="20824" xr:uid="{00000000-0005-0000-0000-000061940000}"/>
    <cellStyle name="Nuovo 3 3 4" xfId="20823" xr:uid="{00000000-0005-0000-0000-000062940000}"/>
    <cellStyle name="Nuovo 3 3 5" xfId="19813" xr:uid="{00000000-0005-0000-0000-000063940000}"/>
    <cellStyle name="Nuovo 3 4" xfId="1141" xr:uid="{00000000-0005-0000-0000-000064940000}"/>
    <cellStyle name="Nuovo 3 4 2" xfId="19816" xr:uid="{00000000-0005-0000-0000-000065940000}"/>
    <cellStyle name="Nuovo 3 4 2 2" xfId="20826" xr:uid="{00000000-0005-0000-0000-000066940000}"/>
    <cellStyle name="Nuovo 3 4 3" xfId="20825" xr:uid="{00000000-0005-0000-0000-000067940000}"/>
    <cellStyle name="Nuovo 3 4 4" xfId="19815" xr:uid="{00000000-0005-0000-0000-000068940000}"/>
    <cellStyle name="Nuovo 3 4 5" xfId="11755" xr:uid="{00000000-0005-0000-0000-000069940000}"/>
    <cellStyle name="Nuovo 3 5" xfId="1142" xr:uid="{00000000-0005-0000-0000-00006A940000}"/>
    <cellStyle name="Nuovo 3 5 2" xfId="11756" xr:uid="{00000000-0005-0000-0000-00006B940000}"/>
    <cellStyle name="Nuovo 3 6" xfId="1143" xr:uid="{00000000-0005-0000-0000-00006C940000}"/>
    <cellStyle name="Nuovo 3 6 2" xfId="21804" xr:uid="{00000000-0005-0000-0000-00006D940000}"/>
    <cellStyle name="Nuovo 30" xfId="1144" xr:uid="{00000000-0005-0000-0000-00006E940000}"/>
    <cellStyle name="Nuovo 30 2" xfId="1145" xr:uid="{00000000-0005-0000-0000-00006F940000}"/>
    <cellStyle name="Nuovo 30 2 2" xfId="3718" xr:uid="{00000000-0005-0000-0000-000070940000}"/>
    <cellStyle name="Nuovo 30 3" xfId="1146" xr:uid="{00000000-0005-0000-0000-000071940000}"/>
    <cellStyle name="Nuovo 30 3 2" xfId="1147" xr:uid="{00000000-0005-0000-0000-000072940000}"/>
    <cellStyle name="Nuovo 30 3 3" xfId="19818" xr:uid="{00000000-0005-0000-0000-000073940000}"/>
    <cellStyle name="Nuovo 30 3 3 2" xfId="20828" xr:uid="{00000000-0005-0000-0000-000074940000}"/>
    <cellStyle name="Nuovo 30 3 4" xfId="20827" xr:uid="{00000000-0005-0000-0000-000075940000}"/>
    <cellStyle name="Nuovo 30 3 5" xfId="19817" xr:uid="{00000000-0005-0000-0000-000076940000}"/>
    <cellStyle name="Nuovo 30 4" xfId="1148" xr:uid="{00000000-0005-0000-0000-000077940000}"/>
    <cellStyle name="Nuovo 30 4 2" xfId="19820" xr:uid="{00000000-0005-0000-0000-000078940000}"/>
    <cellStyle name="Nuovo 30 4 2 2" xfId="20830" xr:uid="{00000000-0005-0000-0000-000079940000}"/>
    <cellStyle name="Nuovo 30 4 3" xfId="20829" xr:uid="{00000000-0005-0000-0000-00007A940000}"/>
    <cellStyle name="Nuovo 30 4 4" xfId="19819" xr:uid="{00000000-0005-0000-0000-00007B940000}"/>
    <cellStyle name="Nuovo 30 4 5" xfId="11757" xr:uid="{00000000-0005-0000-0000-00007C940000}"/>
    <cellStyle name="Nuovo 30 5" xfId="1149" xr:uid="{00000000-0005-0000-0000-00007D940000}"/>
    <cellStyle name="Nuovo 30 5 2" xfId="11758" xr:uid="{00000000-0005-0000-0000-00007E940000}"/>
    <cellStyle name="Nuovo 30 6" xfId="1150" xr:uid="{00000000-0005-0000-0000-00007F940000}"/>
    <cellStyle name="Nuovo 30 6 2" xfId="21805" xr:uid="{00000000-0005-0000-0000-000080940000}"/>
    <cellStyle name="Nuovo 31" xfId="1151" xr:uid="{00000000-0005-0000-0000-000081940000}"/>
    <cellStyle name="Nuovo 31 2" xfId="1152" xr:uid="{00000000-0005-0000-0000-000082940000}"/>
    <cellStyle name="Nuovo 31 2 2" xfId="3719" xr:uid="{00000000-0005-0000-0000-000083940000}"/>
    <cellStyle name="Nuovo 31 3" xfId="1153" xr:uid="{00000000-0005-0000-0000-000084940000}"/>
    <cellStyle name="Nuovo 31 3 2" xfId="1154" xr:uid="{00000000-0005-0000-0000-000085940000}"/>
    <cellStyle name="Nuovo 31 3 3" xfId="19822" xr:uid="{00000000-0005-0000-0000-000086940000}"/>
    <cellStyle name="Nuovo 31 3 3 2" xfId="20832" xr:uid="{00000000-0005-0000-0000-000087940000}"/>
    <cellStyle name="Nuovo 31 3 4" xfId="20831" xr:uid="{00000000-0005-0000-0000-000088940000}"/>
    <cellStyle name="Nuovo 31 3 5" xfId="19821" xr:uid="{00000000-0005-0000-0000-000089940000}"/>
    <cellStyle name="Nuovo 31 4" xfId="1155" xr:uid="{00000000-0005-0000-0000-00008A940000}"/>
    <cellStyle name="Nuovo 31 4 2" xfId="19824" xr:uid="{00000000-0005-0000-0000-00008B940000}"/>
    <cellStyle name="Nuovo 31 4 2 2" xfId="20834" xr:uid="{00000000-0005-0000-0000-00008C940000}"/>
    <cellStyle name="Nuovo 31 4 3" xfId="20833" xr:uid="{00000000-0005-0000-0000-00008D940000}"/>
    <cellStyle name="Nuovo 31 4 4" xfId="19823" xr:uid="{00000000-0005-0000-0000-00008E940000}"/>
    <cellStyle name="Nuovo 31 4 5" xfId="11759" xr:uid="{00000000-0005-0000-0000-00008F940000}"/>
    <cellStyle name="Nuovo 31 5" xfId="1156" xr:uid="{00000000-0005-0000-0000-000090940000}"/>
    <cellStyle name="Nuovo 31 5 2" xfId="11760" xr:uid="{00000000-0005-0000-0000-000091940000}"/>
    <cellStyle name="Nuovo 31 6" xfId="1157" xr:uid="{00000000-0005-0000-0000-000092940000}"/>
    <cellStyle name="Nuovo 31 6 2" xfId="21806" xr:uid="{00000000-0005-0000-0000-000093940000}"/>
    <cellStyle name="Nuovo 32" xfId="1158" xr:uid="{00000000-0005-0000-0000-000094940000}"/>
    <cellStyle name="Nuovo 32 2" xfId="1159" xr:uid="{00000000-0005-0000-0000-000095940000}"/>
    <cellStyle name="Nuovo 32 2 2" xfId="3720" xr:uid="{00000000-0005-0000-0000-000096940000}"/>
    <cellStyle name="Nuovo 32 3" xfId="1160" xr:uid="{00000000-0005-0000-0000-000097940000}"/>
    <cellStyle name="Nuovo 32 3 2" xfId="1161" xr:uid="{00000000-0005-0000-0000-000098940000}"/>
    <cellStyle name="Nuovo 32 3 3" xfId="19826" xr:uid="{00000000-0005-0000-0000-000099940000}"/>
    <cellStyle name="Nuovo 32 3 3 2" xfId="20836" xr:uid="{00000000-0005-0000-0000-00009A940000}"/>
    <cellStyle name="Nuovo 32 3 4" xfId="20835" xr:uid="{00000000-0005-0000-0000-00009B940000}"/>
    <cellStyle name="Nuovo 32 3 5" xfId="19825" xr:uid="{00000000-0005-0000-0000-00009C940000}"/>
    <cellStyle name="Nuovo 32 4" xfId="1162" xr:uid="{00000000-0005-0000-0000-00009D940000}"/>
    <cellStyle name="Nuovo 32 4 2" xfId="19828" xr:uid="{00000000-0005-0000-0000-00009E940000}"/>
    <cellStyle name="Nuovo 32 4 2 2" xfId="20838" xr:uid="{00000000-0005-0000-0000-00009F940000}"/>
    <cellStyle name="Nuovo 32 4 3" xfId="20837" xr:uid="{00000000-0005-0000-0000-0000A0940000}"/>
    <cellStyle name="Nuovo 32 4 4" xfId="19827" xr:uid="{00000000-0005-0000-0000-0000A1940000}"/>
    <cellStyle name="Nuovo 32 4 5" xfId="11761" xr:uid="{00000000-0005-0000-0000-0000A2940000}"/>
    <cellStyle name="Nuovo 32 5" xfId="1163" xr:uid="{00000000-0005-0000-0000-0000A3940000}"/>
    <cellStyle name="Nuovo 32 5 2" xfId="11762" xr:uid="{00000000-0005-0000-0000-0000A4940000}"/>
    <cellStyle name="Nuovo 32 6" xfId="1164" xr:uid="{00000000-0005-0000-0000-0000A5940000}"/>
    <cellStyle name="Nuovo 32 6 2" xfId="21807" xr:uid="{00000000-0005-0000-0000-0000A6940000}"/>
    <cellStyle name="Nuovo 33" xfId="1165" xr:uid="{00000000-0005-0000-0000-0000A7940000}"/>
    <cellStyle name="Nuovo 33 2" xfId="1166" xr:uid="{00000000-0005-0000-0000-0000A8940000}"/>
    <cellStyle name="Nuovo 33 2 2" xfId="3721" xr:uid="{00000000-0005-0000-0000-0000A9940000}"/>
    <cellStyle name="Nuovo 33 3" xfId="1167" xr:uid="{00000000-0005-0000-0000-0000AA940000}"/>
    <cellStyle name="Nuovo 33 3 2" xfId="1168" xr:uid="{00000000-0005-0000-0000-0000AB940000}"/>
    <cellStyle name="Nuovo 33 3 3" xfId="19830" xr:uid="{00000000-0005-0000-0000-0000AC940000}"/>
    <cellStyle name="Nuovo 33 3 3 2" xfId="20840" xr:uid="{00000000-0005-0000-0000-0000AD940000}"/>
    <cellStyle name="Nuovo 33 3 4" xfId="20839" xr:uid="{00000000-0005-0000-0000-0000AE940000}"/>
    <cellStyle name="Nuovo 33 3 5" xfId="19829" xr:uid="{00000000-0005-0000-0000-0000AF940000}"/>
    <cellStyle name="Nuovo 33 4" xfId="1169" xr:uid="{00000000-0005-0000-0000-0000B0940000}"/>
    <cellStyle name="Nuovo 33 4 2" xfId="19832" xr:uid="{00000000-0005-0000-0000-0000B1940000}"/>
    <cellStyle name="Nuovo 33 4 2 2" xfId="20842" xr:uid="{00000000-0005-0000-0000-0000B2940000}"/>
    <cellStyle name="Nuovo 33 4 3" xfId="20841" xr:uid="{00000000-0005-0000-0000-0000B3940000}"/>
    <cellStyle name="Nuovo 33 4 4" xfId="19831" xr:uid="{00000000-0005-0000-0000-0000B4940000}"/>
    <cellStyle name="Nuovo 33 4 5" xfId="11763" xr:uid="{00000000-0005-0000-0000-0000B5940000}"/>
    <cellStyle name="Nuovo 33 5" xfId="1170" xr:uid="{00000000-0005-0000-0000-0000B6940000}"/>
    <cellStyle name="Nuovo 33 5 2" xfId="11764" xr:uid="{00000000-0005-0000-0000-0000B7940000}"/>
    <cellStyle name="Nuovo 33 6" xfId="1171" xr:uid="{00000000-0005-0000-0000-0000B8940000}"/>
    <cellStyle name="Nuovo 33 6 2" xfId="21808" xr:uid="{00000000-0005-0000-0000-0000B9940000}"/>
    <cellStyle name="Nuovo 34" xfId="1172" xr:uid="{00000000-0005-0000-0000-0000BA940000}"/>
    <cellStyle name="Nuovo 34 2" xfId="1173" xr:uid="{00000000-0005-0000-0000-0000BB940000}"/>
    <cellStyle name="Nuovo 34 2 2" xfId="3722" xr:uid="{00000000-0005-0000-0000-0000BC940000}"/>
    <cellStyle name="Nuovo 34 3" xfId="1174" xr:uid="{00000000-0005-0000-0000-0000BD940000}"/>
    <cellStyle name="Nuovo 34 3 2" xfId="1175" xr:uid="{00000000-0005-0000-0000-0000BE940000}"/>
    <cellStyle name="Nuovo 34 3 3" xfId="19834" xr:uid="{00000000-0005-0000-0000-0000BF940000}"/>
    <cellStyle name="Nuovo 34 3 3 2" xfId="20844" xr:uid="{00000000-0005-0000-0000-0000C0940000}"/>
    <cellStyle name="Nuovo 34 3 4" xfId="20843" xr:uid="{00000000-0005-0000-0000-0000C1940000}"/>
    <cellStyle name="Nuovo 34 3 5" xfId="19833" xr:uid="{00000000-0005-0000-0000-0000C2940000}"/>
    <cellStyle name="Nuovo 34 4" xfId="1176" xr:uid="{00000000-0005-0000-0000-0000C3940000}"/>
    <cellStyle name="Nuovo 34 4 2" xfId="19836" xr:uid="{00000000-0005-0000-0000-0000C4940000}"/>
    <cellStyle name="Nuovo 34 4 2 2" xfId="20846" xr:uid="{00000000-0005-0000-0000-0000C5940000}"/>
    <cellStyle name="Nuovo 34 4 3" xfId="20845" xr:uid="{00000000-0005-0000-0000-0000C6940000}"/>
    <cellStyle name="Nuovo 34 4 4" xfId="19835" xr:uid="{00000000-0005-0000-0000-0000C7940000}"/>
    <cellStyle name="Nuovo 34 4 5" xfId="11765" xr:uid="{00000000-0005-0000-0000-0000C8940000}"/>
    <cellStyle name="Nuovo 34 5" xfId="1177" xr:uid="{00000000-0005-0000-0000-0000C9940000}"/>
    <cellStyle name="Nuovo 34 5 2" xfId="11766" xr:uid="{00000000-0005-0000-0000-0000CA940000}"/>
    <cellStyle name="Nuovo 34 6" xfId="1178" xr:uid="{00000000-0005-0000-0000-0000CB940000}"/>
    <cellStyle name="Nuovo 34 6 2" xfId="21809" xr:uid="{00000000-0005-0000-0000-0000CC940000}"/>
    <cellStyle name="Nuovo 35" xfId="1179" xr:uid="{00000000-0005-0000-0000-0000CD940000}"/>
    <cellStyle name="Nuovo 35 2" xfId="1180" xr:uid="{00000000-0005-0000-0000-0000CE940000}"/>
    <cellStyle name="Nuovo 35 2 2" xfId="3723" xr:uid="{00000000-0005-0000-0000-0000CF940000}"/>
    <cellStyle name="Nuovo 35 3" xfId="1181" xr:uid="{00000000-0005-0000-0000-0000D0940000}"/>
    <cellStyle name="Nuovo 35 3 2" xfId="1182" xr:uid="{00000000-0005-0000-0000-0000D1940000}"/>
    <cellStyle name="Nuovo 35 3 3" xfId="19838" xr:uid="{00000000-0005-0000-0000-0000D2940000}"/>
    <cellStyle name="Nuovo 35 3 3 2" xfId="20848" xr:uid="{00000000-0005-0000-0000-0000D3940000}"/>
    <cellStyle name="Nuovo 35 3 4" xfId="20847" xr:uid="{00000000-0005-0000-0000-0000D4940000}"/>
    <cellStyle name="Nuovo 35 3 5" xfId="19837" xr:uid="{00000000-0005-0000-0000-0000D5940000}"/>
    <cellStyle name="Nuovo 35 4" xfId="1183" xr:uid="{00000000-0005-0000-0000-0000D6940000}"/>
    <cellStyle name="Nuovo 35 4 2" xfId="19840" xr:uid="{00000000-0005-0000-0000-0000D7940000}"/>
    <cellStyle name="Nuovo 35 4 2 2" xfId="20850" xr:uid="{00000000-0005-0000-0000-0000D8940000}"/>
    <cellStyle name="Nuovo 35 4 3" xfId="20849" xr:uid="{00000000-0005-0000-0000-0000D9940000}"/>
    <cellStyle name="Nuovo 35 4 4" xfId="19839" xr:uid="{00000000-0005-0000-0000-0000DA940000}"/>
    <cellStyle name="Nuovo 35 4 5" xfId="11767" xr:uid="{00000000-0005-0000-0000-0000DB940000}"/>
    <cellStyle name="Nuovo 35 5" xfId="1184" xr:uid="{00000000-0005-0000-0000-0000DC940000}"/>
    <cellStyle name="Nuovo 35 5 2" xfId="11768" xr:uid="{00000000-0005-0000-0000-0000DD940000}"/>
    <cellStyle name="Nuovo 35 6" xfId="1185" xr:uid="{00000000-0005-0000-0000-0000DE940000}"/>
    <cellStyle name="Nuovo 35 6 2" xfId="21810" xr:uid="{00000000-0005-0000-0000-0000DF940000}"/>
    <cellStyle name="Nuovo 36" xfId="1186" xr:uid="{00000000-0005-0000-0000-0000E0940000}"/>
    <cellStyle name="Nuovo 36 2" xfId="1187" xr:uid="{00000000-0005-0000-0000-0000E1940000}"/>
    <cellStyle name="Nuovo 36 2 2" xfId="3724" xr:uid="{00000000-0005-0000-0000-0000E2940000}"/>
    <cellStyle name="Nuovo 36 3" xfId="1188" xr:uid="{00000000-0005-0000-0000-0000E3940000}"/>
    <cellStyle name="Nuovo 36 3 2" xfId="1189" xr:uid="{00000000-0005-0000-0000-0000E4940000}"/>
    <cellStyle name="Nuovo 36 3 3" xfId="19842" xr:uid="{00000000-0005-0000-0000-0000E5940000}"/>
    <cellStyle name="Nuovo 36 3 3 2" xfId="20852" xr:uid="{00000000-0005-0000-0000-0000E6940000}"/>
    <cellStyle name="Nuovo 36 3 4" xfId="20851" xr:uid="{00000000-0005-0000-0000-0000E7940000}"/>
    <cellStyle name="Nuovo 36 3 5" xfId="19841" xr:uid="{00000000-0005-0000-0000-0000E8940000}"/>
    <cellStyle name="Nuovo 36 4" xfId="1190" xr:uid="{00000000-0005-0000-0000-0000E9940000}"/>
    <cellStyle name="Nuovo 36 4 2" xfId="19844" xr:uid="{00000000-0005-0000-0000-0000EA940000}"/>
    <cellStyle name="Nuovo 36 4 2 2" xfId="20854" xr:uid="{00000000-0005-0000-0000-0000EB940000}"/>
    <cellStyle name="Nuovo 36 4 3" xfId="20853" xr:uid="{00000000-0005-0000-0000-0000EC940000}"/>
    <cellStyle name="Nuovo 36 4 4" xfId="19843" xr:uid="{00000000-0005-0000-0000-0000ED940000}"/>
    <cellStyle name="Nuovo 36 4 5" xfId="11769" xr:uid="{00000000-0005-0000-0000-0000EE940000}"/>
    <cellStyle name="Nuovo 36 5" xfId="1191" xr:uid="{00000000-0005-0000-0000-0000EF940000}"/>
    <cellStyle name="Nuovo 36 5 2" xfId="11770" xr:uid="{00000000-0005-0000-0000-0000F0940000}"/>
    <cellStyle name="Nuovo 36 6" xfId="1192" xr:uid="{00000000-0005-0000-0000-0000F1940000}"/>
    <cellStyle name="Nuovo 36 6 2" xfId="21811" xr:uid="{00000000-0005-0000-0000-0000F2940000}"/>
    <cellStyle name="Nuovo 37" xfId="1193" xr:uid="{00000000-0005-0000-0000-0000F3940000}"/>
    <cellStyle name="Nuovo 37 2" xfId="1194" xr:uid="{00000000-0005-0000-0000-0000F4940000}"/>
    <cellStyle name="Nuovo 37 2 2" xfId="3725" xr:uid="{00000000-0005-0000-0000-0000F5940000}"/>
    <cellStyle name="Nuovo 37 3" xfId="1195" xr:uid="{00000000-0005-0000-0000-0000F6940000}"/>
    <cellStyle name="Nuovo 37 3 2" xfId="1196" xr:uid="{00000000-0005-0000-0000-0000F7940000}"/>
    <cellStyle name="Nuovo 37 3 3" xfId="19846" xr:uid="{00000000-0005-0000-0000-0000F8940000}"/>
    <cellStyle name="Nuovo 37 3 3 2" xfId="20856" xr:uid="{00000000-0005-0000-0000-0000F9940000}"/>
    <cellStyle name="Nuovo 37 3 4" xfId="20855" xr:uid="{00000000-0005-0000-0000-0000FA940000}"/>
    <cellStyle name="Nuovo 37 3 5" xfId="19845" xr:uid="{00000000-0005-0000-0000-0000FB940000}"/>
    <cellStyle name="Nuovo 37 4" xfId="1197" xr:uid="{00000000-0005-0000-0000-0000FC940000}"/>
    <cellStyle name="Nuovo 37 4 2" xfId="19848" xr:uid="{00000000-0005-0000-0000-0000FD940000}"/>
    <cellStyle name="Nuovo 37 4 2 2" xfId="20858" xr:uid="{00000000-0005-0000-0000-0000FE940000}"/>
    <cellStyle name="Nuovo 37 4 3" xfId="20857" xr:uid="{00000000-0005-0000-0000-0000FF940000}"/>
    <cellStyle name="Nuovo 37 4 4" xfId="19847" xr:uid="{00000000-0005-0000-0000-000000950000}"/>
    <cellStyle name="Nuovo 37 4 5" xfId="11771" xr:uid="{00000000-0005-0000-0000-000001950000}"/>
    <cellStyle name="Nuovo 37 5" xfId="1198" xr:uid="{00000000-0005-0000-0000-000002950000}"/>
    <cellStyle name="Nuovo 37 5 2" xfId="11772" xr:uid="{00000000-0005-0000-0000-000003950000}"/>
    <cellStyle name="Nuovo 37 6" xfId="1199" xr:uid="{00000000-0005-0000-0000-000004950000}"/>
    <cellStyle name="Nuovo 37 6 2" xfId="21812" xr:uid="{00000000-0005-0000-0000-000005950000}"/>
    <cellStyle name="Nuovo 38" xfId="1200" xr:uid="{00000000-0005-0000-0000-000006950000}"/>
    <cellStyle name="Nuovo 38 2" xfId="1201" xr:uid="{00000000-0005-0000-0000-000007950000}"/>
    <cellStyle name="Nuovo 38 2 2" xfId="3726" xr:uid="{00000000-0005-0000-0000-000008950000}"/>
    <cellStyle name="Nuovo 38 3" xfId="1202" xr:uid="{00000000-0005-0000-0000-000009950000}"/>
    <cellStyle name="Nuovo 38 3 2" xfId="1203" xr:uid="{00000000-0005-0000-0000-00000A950000}"/>
    <cellStyle name="Nuovo 38 3 3" xfId="19850" xr:uid="{00000000-0005-0000-0000-00000B950000}"/>
    <cellStyle name="Nuovo 38 3 3 2" xfId="20860" xr:uid="{00000000-0005-0000-0000-00000C950000}"/>
    <cellStyle name="Nuovo 38 3 4" xfId="20859" xr:uid="{00000000-0005-0000-0000-00000D950000}"/>
    <cellStyle name="Nuovo 38 3 5" xfId="19849" xr:uid="{00000000-0005-0000-0000-00000E950000}"/>
    <cellStyle name="Nuovo 38 4" xfId="1204" xr:uid="{00000000-0005-0000-0000-00000F950000}"/>
    <cellStyle name="Nuovo 38 4 2" xfId="19852" xr:uid="{00000000-0005-0000-0000-000010950000}"/>
    <cellStyle name="Nuovo 38 4 2 2" xfId="20862" xr:uid="{00000000-0005-0000-0000-000011950000}"/>
    <cellStyle name="Nuovo 38 4 3" xfId="20861" xr:uid="{00000000-0005-0000-0000-000012950000}"/>
    <cellStyle name="Nuovo 38 4 4" xfId="19851" xr:uid="{00000000-0005-0000-0000-000013950000}"/>
    <cellStyle name="Nuovo 38 4 5" xfId="11773" xr:uid="{00000000-0005-0000-0000-000014950000}"/>
    <cellStyle name="Nuovo 38 5" xfId="1205" xr:uid="{00000000-0005-0000-0000-000015950000}"/>
    <cellStyle name="Nuovo 38 5 2" xfId="11774" xr:uid="{00000000-0005-0000-0000-000016950000}"/>
    <cellStyle name="Nuovo 38 6" xfId="1206" xr:uid="{00000000-0005-0000-0000-000017950000}"/>
    <cellStyle name="Nuovo 38 6 2" xfId="21813" xr:uid="{00000000-0005-0000-0000-000018950000}"/>
    <cellStyle name="Nuovo 39" xfId="1207" xr:uid="{00000000-0005-0000-0000-000019950000}"/>
    <cellStyle name="Nuovo 39 2" xfId="1208" xr:uid="{00000000-0005-0000-0000-00001A950000}"/>
    <cellStyle name="Nuovo 39 2 2" xfId="3727" xr:uid="{00000000-0005-0000-0000-00001B950000}"/>
    <cellStyle name="Nuovo 39 3" xfId="1209" xr:uid="{00000000-0005-0000-0000-00001C950000}"/>
    <cellStyle name="Nuovo 39 3 2" xfId="1210" xr:uid="{00000000-0005-0000-0000-00001D950000}"/>
    <cellStyle name="Nuovo 39 3 3" xfId="19854" xr:uid="{00000000-0005-0000-0000-00001E950000}"/>
    <cellStyle name="Nuovo 39 3 3 2" xfId="20864" xr:uid="{00000000-0005-0000-0000-00001F950000}"/>
    <cellStyle name="Nuovo 39 3 4" xfId="20863" xr:uid="{00000000-0005-0000-0000-000020950000}"/>
    <cellStyle name="Nuovo 39 3 5" xfId="19853" xr:uid="{00000000-0005-0000-0000-000021950000}"/>
    <cellStyle name="Nuovo 39 4" xfId="1211" xr:uid="{00000000-0005-0000-0000-000022950000}"/>
    <cellStyle name="Nuovo 39 4 2" xfId="19856" xr:uid="{00000000-0005-0000-0000-000023950000}"/>
    <cellStyle name="Nuovo 39 4 2 2" xfId="20866" xr:uid="{00000000-0005-0000-0000-000024950000}"/>
    <cellStyle name="Nuovo 39 4 3" xfId="20865" xr:uid="{00000000-0005-0000-0000-000025950000}"/>
    <cellStyle name="Nuovo 39 4 4" xfId="19855" xr:uid="{00000000-0005-0000-0000-000026950000}"/>
    <cellStyle name="Nuovo 39 4 5" xfId="11775" xr:uid="{00000000-0005-0000-0000-000027950000}"/>
    <cellStyle name="Nuovo 39 5" xfId="1212" xr:uid="{00000000-0005-0000-0000-000028950000}"/>
    <cellStyle name="Nuovo 39 5 2" xfId="11776" xr:uid="{00000000-0005-0000-0000-000029950000}"/>
    <cellStyle name="Nuovo 39 6" xfId="1213" xr:uid="{00000000-0005-0000-0000-00002A950000}"/>
    <cellStyle name="Nuovo 39 6 2" xfId="21814" xr:uid="{00000000-0005-0000-0000-00002B950000}"/>
    <cellStyle name="Nuovo 4" xfId="1214" xr:uid="{00000000-0005-0000-0000-00002C950000}"/>
    <cellStyle name="Nuovo 4 2" xfId="1215" xr:uid="{00000000-0005-0000-0000-00002D950000}"/>
    <cellStyle name="Nuovo 4 2 2" xfId="3728" xr:uid="{00000000-0005-0000-0000-00002E950000}"/>
    <cellStyle name="Nuovo 4 3" xfId="1216" xr:uid="{00000000-0005-0000-0000-00002F950000}"/>
    <cellStyle name="Nuovo 4 3 2" xfId="1217" xr:uid="{00000000-0005-0000-0000-000030950000}"/>
    <cellStyle name="Nuovo 4 3 3" xfId="19858" xr:uid="{00000000-0005-0000-0000-000031950000}"/>
    <cellStyle name="Nuovo 4 3 3 2" xfId="20868" xr:uid="{00000000-0005-0000-0000-000032950000}"/>
    <cellStyle name="Nuovo 4 3 4" xfId="20867" xr:uid="{00000000-0005-0000-0000-000033950000}"/>
    <cellStyle name="Nuovo 4 3 5" xfId="19857" xr:uid="{00000000-0005-0000-0000-000034950000}"/>
    <cellStyle name="Nuovo 4 4" xfId="1218" xr:uid="{00000000-0005-0000-0000-000035950000}"/>
    <cellStyle name="Nuovo 4 4 2" xfId="19860" xr:uid="{00000000-0005-0000-0000-000036950000}"/>
    <cellStyle name="Nuovo 4 4 2 2" xfId="20870" xr:uid="{00000000-0005-0000-0000-000037950000}"/>
    <cellStyle name="Nuovo 4 4 3" xfId="20869" xr:uid="{00000000-0005-0000-0000-000038950000}"/>
    <cellStyle name="Nuovo 4 4 4" xfId="19859" xr:uid="{00000000-0005-0000-0000-000039950000}"/>
    <cellStyle name="Nuovo 4 4 5" xfId="11777" xr:uid="{00000000-0005-0000-0000-00003A950000}"/>
    <cellStyle name="Nuovo 4 5" xfId="1219" xr:uid="{00000000-0005-0000-0000-00003B950000}"/>
    <cellStyle name="Nuovo 4 5 2" xfId="11778" xr:uid="{00000000-0005-0000-0000-00003C950000}"/>
    <cellStyle name="Nuovo 4 6" xfId="1220" xr:uid="{00000000-0005-0000-0000-00003D950000}"/>
    <cellStyle name="Nuovo 4 6 2" xfId="21815" xr:uid="{00000000-0005-0000-0000-00003E950000}"/>
    <cellStyle name="Nuovo 40" xfId="1221" xr:uid="{00000000-0005-0000-0000-00003F950000}"/>
    <cellStyle name="Nuovo 40 2" xfId="1222" xr:uid="{00000000-0005-0000-0000-000040950000}"/>
    <cellStyle name="Nuovo 40 2 2" xfId="3729" xr:uid="{00000000-0005-0000-0000-000041950000}"/>
    <cellStyle name="Nuovo 40 3" xfId="1223" xr:uid="{00000000-0005-0000-0000-000042950000}"/>
    <cellStyle name="Nuovo 40 3 2" xfId="1224" xr:uid="{00000000-0005-0000-0000-000043950000}"/>
    <cellStyle name="Nuovo 40 3 3" xfId="19862" xr:uid="{00000000-0005-0000-0000-000044950000}"/>
    <cellStyle name="Nuovo 40 3 3 2" xfId="20872" xr:uid="{00000000-0005-0000-0000-000045950000}"/>
    <cellStyle name="Nuovo 40 3 4" xfId="20871" xr:uid="{00000000-0005-0000-0000-000046950000}"/>
    <cellStyle name="Nuovo 40 3 5" xfId="19861" xr:uid="{00000000-0005-0000-0000-000047950000}"/>
    <cellStyle name="Nuovo 40 4" xfId="1225" xr:uid="{00000000-0005-0000-0000-000048950000}"/>
    <cellStyle name="Nuovo 40 4 2" xfId="19864" xr:uid="{00000000-0005-0000-0000-000049950000}"/>
    <cellStyle name="Nuovo 40 4 2 2" xfId="20874" xr:uid="{00000000-0005-0000-0000-00004A950000}"/>
    <cellStyle name="Nuovo 40 4 3" xfId="20873" xr:uid="{00000000-0005-0000-0000-00004B950000}"/>
    <cellStyle name="Nuovo 40 4 4" xfId="19863" xr:uid="{00000000-0005-0000-0000-00004C950000}"/>
    <cellStyle name="Nuovo 40 4 5" xfId="11779" xr:uid="{00000000-0005-0000-0000-00004D950000}"/>
    <cellStyle name="Nuovo 40 5" xfId="1226" xr:uid="{00000000-0005-0000-0000-00004E950000}"/>
    <cellStyle name="Nuovo 40 5 2" xfId="11780" xr:uid="{00000000-0005-0000-0000-00004F950000}"/>
    <cellStyle name="Nuovo 40 6" xfId="1227" xr:uid="{00000000-0005-0000-0000-000050950000}"/>
    <cellStyle name="Nuovo 40 6 2" xfId="21816" xr:uid="{00000000-0005-0000-0000-000051950000}"/>
    <cellStyle name="Nuovo 41" xfId="1228" xr:uid="{00000000-0005-0000-0000-000052950000}"/>
    <cellStyle name="Nuovo 41 2" xfId="1229" xr:uid="{00000000-0005-0000-0000-000053950000}"/>
    <cellStyle name="Nuovo 41 2 2" xfId="3730" xr:uid="{00000000-0005-0000-0000-000054950000}"/>
    <cellStyle name="Nuovo 41 3" xfId="1230" xr:uid="{00000000-0005-0000-0000-000055950000}"/>
    <cellStyle name="Nuovo 41 3 2" xfId="1231" xr:uid="{00000000-0005-0000-0000-000056950000}"/>
    <cellStyle name="Nuovo 41 3 3" xfId="19866" xr:uid="{00000000-0005-0000-0000-000057950000}"/>
    <cellStyle name="Nuovo 41 3 3 2" xfId="20876" xr:uid="{00000000-0005-0000-0000-000058950000}"/>
    <cellStyle name="Nuovo 41 3 4" xfId="20875" xr:uid="{00000000-0005-0000-0000-000059950000}"/>
    <cellStyle name="Nuovo 41 3 5" xfId="19865" xr:uid="{00000000-0005-0000-0000-00005A950000}"/>
    <cellStyle name="Nuovo 41 4" xfId="1232" xr:uid="{00000000-0005-0000-0000-00005B950000}"/>
    <cellStyle name="Nuovo 41 4 2" xfId="19868" xr:uid="{00000000-0005-0000-0000-00005C950000}"/>
    <cellStyle name="Nuovo 41 4 2 2" xfId="20878" xr:uid="{00000000-0005-0000-0000-00005D950000}"/>
    <cellStyle name="Nuovo 41 4 3" xfId="20877" xr:uid="{00000000-0005-0000-0000-00005E950000}"/>
    <cellStyle name="Nuovo 41 4 4" xfId="19867" xr:uid="{00000000-0005-0000-0000-00005F950000}"/>
    <cellStyle name="Nuovo 41 4 5" xfId="11781" xr:uid="{00000000-0005-0000-0000-000060950000}"/>
    <cellStyle name="Nuovo 41 5" xfId="1233" xr:uid="{00000000-0005-0000-0000-000061950000}"/>
    <cellStyle name="Nuovo 41 5 2" xfId="11782" xr:uid="{00000000-0005-0000-0000-000062950000}"/>
    <cellStyle name="Nuovo 41 6" xfId="1234" xr:uid="{00000000-0005-0000-0000-000063950000}"/>
    <cellStyle name="Nuovo 41 6 2" xfId="21817" xr:uid="{00000000-0005-0000-0000-000064950000}"/>
    <cellStyle name="Nuovo 42" xfId="1235" xr:uid="{00000000-0005-0000-0000-000065950000}"/>
    <cellStyle name="Nuovo 42 2" xfId="1236" xr:uid="{00000000-0005-0000-0000-000066950000}"/>
    <cellStyle name="Nuovo 42 2 2" xfId="3731" xr:uid="{00000000-0005-0000-0000-000067950000}"/>
    <cellStyle name="Nuovo 42 3" xfId="1237" xr:uid="{00000000-0005-0000-0000-000068950000}"/>
    <cellStyle name="Nuovo 42 3 2" xfId="1238" xr:uid="{00000000-0005-0000-0000-000069950000}"/>
    <cellStyle name="Nuovo 42 3 3" xfId="19870" xr:uid="{00000000-0005-0000-0000-00006A950000}"/>
    <cellStyle name="Nuovo 42 3 3 2" xfId="20880" xr:uid="{00000000-0005-0000-0000-00006B950000}"/>
    <cellStyle name="Nuovo 42 3 4" xfId="20879" xr:uid="{00000000-0005-0000-0000-00006C950000}"/>
    <cellStyle name="Nuovo 42 3 5" xfId="19869" xr:uid="{00000000-0005-0000-0000-00006D950000}"/>
    <cellStyle name="Nuovo 42 4" xfId="1239" xr:uid="{00000000-0005-0000-0000-00006E950000}"/>
    <cellStyle name="Nuovo 42 4 2" xfId="19872" xr:uid="{00000000-0005-0000-0000-00006F950000}"/>
    <cellStyle name="Nuovo 42 4 2 2" xfId="20882" xr:uid="{00000000-0005-0000-0000-000070950000}"/>
    <cellStyle name="Nuovo 42 4 3" xfId="20881" xr:uid="{00000000-0005-0000-0000-000071950000}"/>
    <cellStyle name="Nuovo 42 4 4" xfId="19871" xr:uid="{00000000-0005-0000-0000-000072950000}"/>
    <cellStyle name="Nuovo 42 4 5" xfId="11783" xr:uid="{00000000-0005-0000-0000-000073950000}"/>
    <cellStyle name="Nuovo 42 5" xfId="1240" xr:uid="{00000000-0005-0000-0000-000074950000}"/>
    <cellStyle name="Nuovo 42 5 2" xfId="11784" xr:uid="{00000000-0005-0000-0000-000075950000}"/>
    <cellStyle name="Nuovo 42 6" xfId="1241" xr:uid="{00000000-0005-0000-0000-000076950000}"/>
    <cellStyle name="Nuovo 42 6 2" xfId="21818" xr:uid="{00000000-0005-0000-0000-000077950000}"/>
    <cellStyle name="Nuovo 43" xfId="1242" xr:uid="{00000000-0005-0000-0000-000078950000}"/>
    <cellStyle name="Nuovo 43 2" xfId="1243" xr:uid="{00000000-0005-0000-0000-000079950000}"/>
    <cellStyle name="Nuovo 43 2 2" xfId="3732" xr:uid="{00000000-0005-0000-0000-00007A950000}"/>
    <cellStyle name="Nuovo 43 3" xfId="1244" xr:uid="{00000000-0005-0000-0000-00007B950000}"/>
    <cellStyle name="Nuovo 43 3 2" xfId="1245" xr:uid="{00000000-0005-0000-0000-00007C950000}"/>
    <cellStyle name="Nuovo 43 3 3" xfId="19874" xr:uid="{00000000-0005-0000-0000-00007D950000}"/>
    <cellStyle name="Nuovo 43 3 3 2" xfId="20884" xr:uid="{00000000-0005-0000-0000-00007E950000}"/>
    <cellStyle name="Nuovo 43 3 4" xfId="20883" xr:uid="{00000000-0005-0000-0000-00007F950000}"/>
    <cellStyle name="Nuovo 43 3 5" xfId="19873" xr:uid="{00000000-0005-0000-0000-000080950000}"/>
    <cellStyle name="Nuovo 43 4" xfId="1246" xr:uid="{00000000-0005-0000-0000-000081950000}"/>
    <cellStyle name="Nuovo 43 4 2" xfId="19876" xr:uid="{00000000-0005-0000-0000-000082950000}"/>
    <cellStyle name="Nuovo 43 4 2 2" xfId="20886" xr:uid="{00000000-0005-0000-0000-000083950000}"/>
    <cellStyle name="Nuovo 43 4 3" xfId="20885" xr:uid="{00000000-0005-0000-0000-000084950000}"/>
    <cellStyle name="Nuovo 43 4 4" xfId="19875" xr:uid="{00000000-0005-0000-0000-000085950000}"/>
    <cellStyle name="Nuovo 43 4 5" xfId="11785" xr:uid="{00000000-0005-0000-0000-000086950000}"/>
    <cellStyle name="Nuovo 43 5" xfId="1247" xr:uid="{00000000-0005-0000-0000-000087950000}"/>
    <cellStyle name="Nuovo 43 5 2" xfId="11786" xr:uid="{00000000-0005-0000-0000-000088950000}"/>
    <cellStyle name="Nuovo 43 6" xfId="1248" xr:uid="{00000000-0005-0000-0000-000089950000}"/>
    <cellStyle name="Nuovo 43 6 2" xfId="21819" xr:uid="{00000000-0005-0000-0000-00008A950000}"/>
    <cellStyle name="Nuovo 44" xfId="1249" xr:uid="{00000000-0005-0000-0000-00008B950000}"/>
    <cellStyle name="Nuovo 44 2" xfId="1250" xr:uid="{00000000-0005-0000-0000-00008C950000}"/>
    <cellStyle name="Nuovo 44 2 2" xfId="3733" xr:uid="{00000000-0005-0000-0000-00008D950000}"/>
    <cellStyle name="Nuovo 44 3" xfId="1251" xr:uid="{00000000-0005-0000-0000-00008E950000}"/>
    <cellStyle name="Nuovo 44 3 2" xfId="1252" xr:uid="{00000000-0005-0000-0000-00008F950000}"/>
    <cellStyle name="Nuovo 44 3 3" xfId="19878" xr:uid="{00000000-0005-0000-0000-000090950000}"/>
    <cellStyle name="Nuovo 44 3 3 2" xfId="20888" xr:uid="{00000000-0005-0000-0000-000091950000}"/>
    <cellStyle name="Nuovo 44 3 4" xfId="20887" xr:uid="{00000000-0005-0000-0000-000092950000}"/>
    <cellStyle name="Nuovo 44 3 5" xfId="19877" xr:uid="{00000000-0005-0000-0000-000093950000}"/>
    <cellStyle name="Nuovo 44 4" xfId="1253" xr:uid="{00000000-0005-0000-0000-000094950000}"/>
    <cellStyle name="Nuovo 44 4 2" xfId="19880" xr:uid="{00000000-0005-0000-0000-000095950000}"/>
    <cellStyle name="Nuovo 44 4 2 2" xfId="20890" xr:uid="{00000000-0005-0000-0000-000096950000}"/>
    <cellStyle name="Nuovo 44 4 3" xfId="20889" xr:uid="{00000000-0005-0000-0000-000097950000}"/>
    <cellStyle name="Nuovo 44 4 4" xfId="19879" xr:uid="{00000000-0005-0000-0000-000098950000}"/>
    <cellStyle name="Nuovo 44 4 5" xfId="11787" xr:uid="{00000000-0005-0000-0000-000099950000}"/>
    <cellStyle name="Nuovo 44 5" xfId="1254" xr:uid="{00000000-0005-0000-0000-00009A950000}"/>
    <cellStyle name="Nuovo 44 5 2" xfId="11788" xr:uid="{00000000-0005-0000-0000-00009B950000}"/>
    <cellStyle name="Nuovo 44 6" xfId="1255" xr:uid="{00000000-0005-0000-0000-00009C950000}"/>
    <cellStyle name="Nuovo 44 6 2" xfId="21820" xr:uid="{00000000-0005-0000-0000-00009D950000}"/>
    <cellStyle name="Nuovo 45" xfId="1256" xr:uid="{00000000-0005-0000-0000-00009E950000}"/>
    <cellStyle name="Nuovo 45 2" xfId="3734" xr:uid="{00000000-0005-0000-0000-00009F950000}"/>
    <cellStyle name="Nuovo 46" xfId="1257" xr:uid="{00000000-0005-0000-0000-0000A0950000}"/>
    <cellStyle name="Nuovo 46 2" xfId="1258" xr:uid="{00000000-0005-0000-0000-0000A1950000}"/>
    <cellStyle name="Nuovo 46 3" xfId="19882" xr:uid="{00000000-0005-0000-0000-0000A2950000}"/>
    <cellStyle name="Nuovo 46 3 2" xfId="20892" xr:uid="{00000000-0005-0000-0000-0000A3950000}"/>
    <cellStyle name="Nuovo 46 4" xfId="20891" xr:uid="{00000000-0005-0000-0000-0000A4950000}"/>
    <cellStyle name="Nuovo 46 5" xfId="19881" xr:uid="{00000000-0005-0000-0000-0000A5950000}"/>
    <cellStyle name="Nuovo 47" xfId="1259" xr:uid="{00000000-0005-0000-0000-0000A6950000}"/>
    <cellStyle name="Nuovo 47 2" xfId="19884" xr:uid="{00000000-0005-0000-0000-0000A7950000}"/>
    <cellStyle name="Nuovo 47 2 2" xfId="20894" xr:uid="{00000000-0005-0000-0000-0000A8950000}"/>
    <cellStyle name="Nuovo 47 3" xfId="20893" xr:uid="{00000000-0005-0000-0000-0000A9950000}"/>
    <cellStyle name="Nuovo 47 4" xfId="19883" xr:uid="{00000000-0005-0000-0000-0000AA950000}"/>
    <cellStyle name="Nuovo 47 5" xfId="11789" xr:uid="{00000000-0005-0000-0000-0000AB950000}"/>
    <cellStyle name="Nuovo 48" xfId="1260" xr:uid="{00000000-0005-0000-0000-0000AC950000}"/>
    <cellStyle name="Nuovo 48 2" xfId="11790" xr:uid="{00000000-0005-0000-0000-0000AD950000}"/>
    <cellStyle name="Nuovo 49" xfId="1261" xr:uid="{00000000-0005-0000-0000-0000AE950000}"/>
    <cellStyle name="Nuovo 49 2" xfId="21821" xr:uid="{00000000-0005-0000-0000-0000AF950000}"/>
    <cellStyle name="Nuovo 5" xfId="1262" xr:uid="{00000000-0005-0000-0000-0000B0950000}"/>
    <cellStyle name="Nuovo 5 2" xfId="1263" xr:uid="{00000000-0005-0000-0000-0000B1950000}"/>
    <cellStyle name="Nuovo 5 2 2" xfId="3735" xr:uid="{00000000-0005-0000-0000-0000B2950000}"/>
    <cellStyle name="Nuovo 5 3" xfId="1264" xr:uid="{00000000-0005-0000-0000-0000B3950000}"/>
    <cellStyle name="Nuovo 5 3 2" xfId="1265" xr:uid="{00000000-0005-0000-0000-0000B4950000}"/>
    <cellStyle name="Nuovo 5 3 3" xfId="19886" xr:uid="{00000000-0005-0000-0000-0000B5950000}"/>
    <cellStyle name="Nuovo 5 3 3 2" xfId="20896" xr:uid="{00000000-0005-0000-0000-0000B6950000}"/>
    <cellStyle name="Nuovo 5 3 4" xfId="20895" xr:uid="{00000000-0005-0000-0000-0000B7950000}"/>
    <cellStyle name="Nuovo 5 3 5" xfId="19885" xr:uid="{00000000-0005-0000-0000-0000B8950000}"/>
    <cellStyle name="Nuovo 5 4" xfId="1266" xr:uid="{00000000-0005-0000-0000-0000B9950000}"/>
    <cellStyle name="Nuovo 5 4 2" xfId="19888" xr:uid="{00000000-0005-0000-0000-0000BA950000}"/>
    <cellStyle name="Nuovo 5 4 2 2" xfId="20898" xr:uid="{00000000-0005-0000-0000-0000BB950000}"/>
    <cellStyle name="Nuovo 5 4 3" xfId="20897" xr:uid="{00000000-0005-0000-0000-0000BC950000}"/>
    <cellStyle name="Nuovo 5 4 4" xfId="19887" xr:uid="{00000000-0005-0000-0000-0000BD950000}"/>
    <cellStyle name="Nuovo 5 4 5" xfId="11791" xr:uid="{00000000-0005-0000-0000-0000BE950000}"/>
    <cellStyle name="Nuovo 5 5" xfId="1267" xr:uid="{00000000-0005-0000-0000-0000BF950000}"/>
    <cellStyle name="Nuovo 5 5 2" xfId="11792" xr:uid="{00000000-0005-0000-0000-0000C0950000}"/>
    <cellStyle name="Nuovo 5 6" xfId="1268" xr:uid="{00000000-0005-0000-0000-0000C1950000}"/>
    <cellStyle name="Nuovo 5 6 2" xfId="21822" xr:uid="{00000000-0005-0000-0000-0000C2950000}"/>
    <cellStyle name="Nuovo 6" xfId="1269" xr:uid="{00000000-0005-0000-0000-0000C3950000}"/>
    <cellStyle name="Nuovo 6 2" xfId="1270" xr:uid="{00000000-0005-0000-0000-0000C4950000}"/>
    <cellStyle name="Nuovo 6 2 2" xfId="3736" xr:uid="{00000000-0005-0000-0000-0000C5950000}"/>
    <cellStyle name="Nuovo 6 3" xfId="1271" xr:uid="{00000000-0005-0000-0000-0000C6950000}"/>
    <cellStyle name="Nuovo 6 3 2" xfId="1272" xr:uid="{00000000-0005-0000-0000-0000C7950000}"/>
    <cellStyle name="Nuovo 6 3 3" xfId="19890" xr:uid="{00000000-0005-0000-0000-0000C8950000}"/>
    <cellStyle name="Nuovo 6 3 3 2" xfId="20900" xr:uid="{00000000-0005-0000-0000-0000C9950000}"/>
    <cellStyle name="Nuovo 6 3 4" xfId="20899" xr:uid="{00000000-0005-0000-0000-0000CA950000}"/>
    <cellStyle name="Nuovo 6 3 5" xfId="19889" xr:uid="{00000000-0005-0000-0000-0000CB950000}"/>
    <cellStyle name="Nuovo 6 4" xfId="1273" xr:uid="{00000000-0005-0000-0000-0000CC950000}"/>
    <cellStyle name="Nuovo 6 4 2" xfId="19892" xr:uid="{00000000-0005-0000-0000-0000CD950000}"/>
    <cellStyle name="Nuovo 6 4 2 2" xfId="20902" xr:uid="{00000000-0005-0000-0000-0000CE950000}"/>
    <cellStyle name="Nuovo 6 4 3" xfId="20901" xr:uid="{00000000-0005-0000-0000-0000CF950000}"/>
    <cellStyle name="Nuovo 6 4 4" xfId="19891" xr:uid="{00000000-0005-0000-0000-0000D0950000}"/>
    <cellStyle name="Nuovo 6 4 5" xfId="11793" xr:uid="{00000000-0005-0000-0000-0000D1950000}"/>
    <cellStyle name="Nuovo 6 5" xfId="1274" xr:uid="{00000000-0005-0000-0000-0000D2950000}"/>
    <cellStyle name="Nuovo 6 5 2" xfId="11794" xr:uid="{00000000-0005-0000-0000-0000D3950000}"/>
    <cellStyle name="Nuovo 6 6" xfId="1275" xr:uid="{00000000-0005-0000-0000-0000D4950000}"/>
    <cellStyle name="Nuovo 6 6 2" xfId="21823" xr:uid="{00000000-0005-0000-0000-0000D5950000}"/>
    <cellStyle name="Nuovo 7" xfId="1276" xr:uid="{00000000-0005-0000-0000-0000D6950000}"/>
    <cellStyle name="Nuovo 7 2" xfId="1277" xr:uid="{00000000-0005-0000-0000-0000D7950000}"/>
    <cellStyle name="Nuovo 7 2 2" xfId="3737" xr:uid="{00000000-0005-0000-0000-0000D8950000}"/>
    <cellStyle name="Nuovo 7 3" xfId="1278" xr:uid="{00000000-0005-0000-0000-0000D9950000}"/>
    <cellStyle name="Nuovo 7 3 2" xfId="1279" xr:uid="{00000000-0005-0000-0000-0000DA950000}"/>
    <cellStyle name="Nuovo 7 3 3" xfId="19894" xr:uid="{00000000-0005-0000-0000-0000DB950000}"/>
    <cellStyle name="Nuovo 7 3 3 2" xfId="20904" xr:uid="{00000000-0005-0000-0000-0000DC950000}"/>
    <cellStyle name="Nuovo 7 3 4" xfId="20903" xr:uid="{00000000-0005-0000-0000-0000DD950000}"/>
    <cellStyle name="Nuovo 7 3 5" xfId="19893" xr:uid="{00000000-0005-0000-0000-0000DE950000}"/>
    <cellStyle name="Nuovo 7 4" xfId="1280" xr:uid="{00000000-0005-0000-0000-0000DF950000}"/>
    <cellStyle name="Nuovo 7 4 2" xfId="19896" xr:uid="{00000000-0005-0000-0000-0000E0950000}"/>
    <cellStyle name="Nuovo 7 4 2 2" xfId="20906" xr:uid="{00000000-0005-0000-0000-0000E1950000}"/>
    <cellStyle name="Nuovo 7 4 3" xfId="20905" xr:uid="{00000000-0005-0000-0000-0000E2950000}"/>
    <cellStyle name="Nuovo 7 4 4" xfId="19895" xr:uid="{00000000-0005-0000-0000-0000E3950000}"/>
    <cellStyle name="Nuovo 7 4 5" xfId="11795" xr:uid="{00000000-0005-0000-0000-0000E4950000}"/>
    <cellStyle name="Nuovo 7 5" xfId="1281" xr:uid="{00000000-0005-0000-0000-0000E5950000}"/>
    <cellStyle name="Nuovo 7 5 2" xfId="11796" xr:uid="{00000000-0005-0000-0000-0000E6950000}"/>
    <cellStyle name="Nuovo 7 6" xfId="1282" xr:uid="{00000000-0005-0000-0000-0000E7950000}"/>
    <cellStyle name="Nuovo 7 6 2" xfId="21824" xr:uid="{00000000-0005-0000-0000-0000E8950000}"/>
    <cellStyle name="Nuovo 8" xfId="1283" xr:uid="{00000000-0005-0000-0000-0000E9950000}"/>
    <cellStyle name="Nuovo 8 2" xfId="1284" xr:uid="{00000000-0005-0000-0000-0000EA950000}"/>
    <cellStyle name="Nuovo 8 2 2" xfId="3738" xr:uid="{00000000-0005-0000-0000-0000EB950000}"/>
    <cellStyle name="Nuovo 8 3" xfId="1285" xr:uid="{00000000-0005-0000-0000-0000EC950000}"/>
    <cellStyle name="Nuovo 8 3 2" xfId="1286" xr:uid="{00000000-0005-0000-0000-0000ED950000}"/>
    <cellStyle name="Nuovo 8 3 3" xfId="19898" xr:uid="{00000000-0005-0000-0000-0000EE950000}"/>
    <cellStyle name="Nuovo 8 3 3 2" xfId="20908" xr:uid="{00000000-0005-0000-0000-0000EF950000}"/>
    <cellStyle name="Nuovo 8 3 4" xfId="20907" xr:uid="{00000000-0005-0000-0000-0000F0950000}"/>
    <cellStyle name="Nuovo 8 3 5" xfId="19897" xr:uid="{00000000-0005-0000-0000-0000F1950000}"/>
    <cellStyle name="Nuovo 8 4" xfId="1287" xr:uid="{00000000-0005-0000-0000-0000F2950000}"/>
    <cellStyle name="Nuovo 8 4 2" xfId="19900" xr:uid="{00000000-0005-0000-0000-0000F3950000}"/>
    <cellStyle name="Nuovo 8 4 2 2" xfId="20910" xr:uid="{00000000-0005-0000-0000-0000F4950000}"/>
    <cellStyle name="Nuovo 8 4 3" xfId="20909" xr:uid="{00000000-0005-0000-0000-0000F5950000}"/>
    <cellStyle name="Nuovo 8 4 4" xfId="19899" xr:uid="{00000000-0005-0000-0000-0000F6950000}"/>
    <cellStyle name="Nuovo 8 4 5" xfId="11797" xr:uid="{00000000-0005-0000-0000-0000F7950000}"/>
    <cellStyle name="Nuovo 8 5" xfId="1288" xr:uid="{00000000-0005-0000-0000-0000F8950000}"/>
    <cellStyle name="Nuovo 8 5 2" xfId="11798" xr:uid="{00000000-0005-0000-0000-0000F9950000}"/>
    <cellStyle name="Nuovo 8 6" xfId="1289" xr:uid="{00000000-0005-0000-0000-0000FA950000}"/>
    <cellStyle name="Nuovo 8 6 2" xfId="21825" xr:uid="{00000000-0005-0000-0000-0000FB950000}"/>
    <cellStyle name="Nuovo 9" xfId="1290" xr:uid="{00000000-0005-0000-0000-0000FC950000}"/>
    <cellStyle name="Nuovo 9 2" xfId="1291" xr:uid="{00000000-0005-0000-0000-0000FD950000}"/>
    <cellStyle name="Nuovo 9 2 2" xfId="3739" xr:uid="{00000000-0005-0000-0000-0000FE950000}"/>
    <cellStyle name="Nuovo 9 3" xfId="1292" xr:uid="{00000000-0005-0000-0000-0000FF950000}"/>
    <cellStyle name="Nuovo 9 3 2" xfId="1293" xr:uid="{00000000-0005-0000-0000-000000960000}"/>
    <cellStyle name="Nuovo 9 3 3" xfId="19902" xr:uid="{00000000-0005-0000-0000-000001960000}"/>
    <cellStyle name="Nuovo 9 3 3 2" xfId="20912" xr:uid="{00000000-0005-0000-0000-000002960000}"/>
    <cellStyle name="Nuovo 9 3 4" xfId="20911" xr:uid="{00000000-0005-0000-0000-000003960000}"/>
    <cellStyle name="Nuovo 9 3 5" xfId="19901" xr:uid="{00000000-0005-0000-0000-000004960000}"/>
    <cellStyle name="Nuovo 9 4" xfId="1294" xr:uid="{00000000-0005-0000-0000-000005960000}"/>
    <cellStyle name="Nuovo 9 4 2" xfId="19904" xr:uid="{00000000-0005-0000-0000-000006960000}"/>
    <cellStyle name="Nuovo 9 4 2 2" xfId="20914" xr:uid="{00000000-0005-0000-0000-000007960000}"/>
    <cellStyle name="Nuovo 9 4 3" xfId="20913" xr:uid="{00000000-0005-0000-0000-000008960000}"/>
    <cellStyle name="Nuovo 9 4 4" xfId="19903" xr:uid="{00000000-0005-0000-0000-000009960000}"/>
    <cellStyle name="Nuovo 9 4 5" xfId="11799" xr:uid="{00000000-0005-0000-0000-00000A960000}"/>
    <cellStyle name="Nuovo 9 5" xfId="1295" xr:uid="{00000000-0005-0000-0000-00000B960000}"/>
    <cellStyle name="Nuovo 9 5 2" xfId="11800" xr:uid="{00000000-0005-0000-0000-00000C960000}"/>
    <cellStyle name="Nuovo 9 6" xfId="1296" xr:uid="{00000000-0005-0000-0000-00000D960000}"/>
    <cellStyle name="Nuovo 9 6 2" xfId="21826" xr:uid="{00000000-0005-0000-0000-00000E960000}"/>
    <cellStyle name="Output 2" xfId="1297" xr:uid="{00000000-0005-0000-0000-00000F960000}"/>
    <cellStyle name="Output 2 2" xfId="2855" xr:uid="{00000000-0005-0000-0000-000010960000}"/>
    <cellStyle name="Output 2 2 2" xfId="7468" xr:uid="{00000000-0005-0000-0000-000011960000}"/>
    <cellStyle name="Output 2 2 3" xfId="22892" xr:uid="{00000000-0005-0000-0000-000012960000}"/>
    <cellStyle name="Output 2 3" xfId="12277" xr:uid="{00000000-0005-0000-0000-000013960000}"/>
    <cellStyle name="Output 2 4" xfId="11935" xr:uid="{00000000-0005-0000-0000-000014960000}"/>
    <cellStyle name="Output 2 5" xfId="19906" xr:uid="{00000000-0005-0000-0000-000015960000}"/>
    <cellStyle name="Output 3" xfId="3462" xr:uid="{00000000-0005-0000-0000-000016960000}"/>
    <cellStyle name="Output 3 2" xfId="7469" xr:uid="{00000000-0005-0000-0000-000017960000}"/>
    <cellStyle name="Output 4" xfId="7470" xr:uid="{00000000-0005-0000-0000-000018960000}"/>
    <cellStyle name="Output 5" xfId="7471" xr:uid="{00000000-0005-0000-0000-000019960000}"/>
    <cellStyle name="Output 5 2" xfId="10657" xr:uid="{00000000-0005-0000-0000-00001A960000}"/>
    <cellStyle name="Output 6" xfId="7607" xr:uid="{00000000-0005-0000-0000-00001B960000}"/>
    <cellStyle name="Output 7" xfId="7467" xr:uid="{00000000-0005-0000-0000-00001C960000}"/>
    <cellStyle name="Output 8" xfId="12276" xr:uid="{00000000-0005-0000-0000-00001D960000}"/>
    <cellStyle name="Output 9" xfId="19905" xr:uid="{00000000-0005-0000-0000-00001E960000}"/>
    <cellStyle name="Overskrift 1 2" xfId="1766" xr:uid="{00000000-0005-0000-0000-00001F960000}"/>
    <cellStyle name="Overskrift 1 2 2" xfId="19907" xr:uid="{00000000-0005-0000-0000-000020960000}"/>
    <cellStyle name="Overskrift 1 2 3" xfId="7473" xr:uid="{00000000-0005-0000-0000-000021960000}"/>
    <cellStyle name="Overskrift 1 3" xfId="7474" xr:uid="{00000000-0005-0000-0000-000022960000}"/>
    <cellStyle name="Overskrift 1 4" xfId="7475" xr:uid="{00000000-0005-0000-0000-000023960000}"/>
    <cellStyle name="Overskrift 1 5" xfId="7476" xr:uid="{00000000-0005-0000-0000-000024960000}"/>
    <cellStyle name="Overskrift 1 5 2" xfId="10477" xr:uid="{00000000-0005-0000-0000-000025960000}"/>
    <cellStyle name="Overskrift 1 6" xfId="7599" xr:uid="{00000000-0005-0000-0000-000026960000}"/>
    <cellStyle name="Overskrift 1 7" xfId="7472" xr:uid="{00000000-0005-0000-0000-000027960000}"/>
    <cellStyle name="Overskrift 2 2" xfId="2856" xr:uid="{00000000-0005-0000-0000-000028960000}"/>
    <cellStyle name="Overskrift 2 2 2" xfId="19908" xr:uid="{00000000-0005-0000-0000-000029960000}"/>
    <cellStyle name="Overskrift 2 2 3" xfId="7478" xr:uid="{00000000-0005-0000-0000-00002A960000}"/>
    <cellStyle name="Overskrift 2 3" xfId="7479" xr:uid="{00000000-0005-0000-0000-00002B960000}"/>
    <cellStyle name="Overskrift 2 4" xfId="7480" xr:uid="{00000000-0005-0000-0000-00002C960000}"/>
    <cellStyle name="Overskrift 2 5" xfId="7481" xr:uid="{00000000-0005-0000-0000-00002D960000}"/>
    <cellStyle name="Overskrift 2 5 2" xfId="8953" xr:uid="{00000000-0005-0000-0000-00002E960000}"/>
    <cellStyle name="Overskrift 2 6" xfId="7600" xr:uid="{00000000-0005-0000-0000-00002F960000}"/>
    <cellStyle name="Overskrift 2 7" xfId="7477" xr:uid="{00000000-0005-0000-0000-000030960000}"/>
    <cellStyle name="Overskrift 3 2" xfId="2857" xr:uid="{00000000-0005-0000-0000-000031960000}"/>
    <cellStyle name="Overskrift 3 2 2" xfId="19909" xr:uid="{00000000-0005-0000-0000-000032960000}"/>
    <cellStyle name="Overskrift 3 2 3" xfId="7483" xr:uid="{00000000-0005-0000-0000-000033960000}"/>
    <cellStyle name="Overskrift 3 3" xfId="7484" xr:uid="{00000000-0005-0000-0000-000034960000}"/>
    <cellStyle name="Overskrift 3 4" xfId="7485" xr:uid="{00000000-0005-0000-0000-000035960000}"/>
    <cellStyle name="Overskrift 3 5" xfId="7486" xr:uid="{00000000-0005-0000-0000-000036960000}"/>
    <cellStyle name="Overskrift 3 5 2" xfId="8968" xr:uid="{00000000-0005-0000-0000-000037960000}"/>
    <cellStyle name="Overskrift 3 6" xfId="7601" xr:uid="{00000000-0005-0000-0000-000038960000}"/>
    <cellStyle name="Overskrift 3 7" xfId="7482" xr:uid="{00000000-0005-0000-0000-000039960000}"/>
    <cellStyle name="Overskrift 4 2" xfId="2858" xr:uid="{00000000-0005-0000-0000-00003A960000}"/>
    <cellStyle name="Overskrift 4 2 2" xfId="19910" xr:uid="{00000000-0005-0000-0000-00003B960000}"/>
    <cellStyle name="Overskrift 4 2 3" xfId="7488" xr:uid="{00000000-0005-0000-0000-00003C960000}"/>
    <cellStyle name="Overskrift 4 3" xfId="7489" xr:uid="{00000000-0005-0000-0000-00003D960000}"/>
    <cellStyle name="Overskrift 4 4" xfId="7490" xr:uid="{00000000-0005-0000-0000-00003E960000}"/>
    <cellStyle name="Overskrift 4 5" xfId="7491" xr:uid="{00000000-0005-0000-0000-00003F960000}"/>
    <cellStyle name="Overskrift 4 5 2" xfId="10757" xr:uid="{00000000-0005-0000-0000-000040960000}"/>
    <cellStyle name="Overskrift 4 6" xfId="7602" xr:uid="{00000000-0005-0000-0000-000041960000}"/>
    <cellStyle name="Overskrift 4 7" xfId="7487" xr:uid="{00000000-0005-0000-0000-000042960000}"/>
    <cellStyle name="Pattern" xfId="1298" xr:uid="{00000000-0005-0000-0000-000043960000}"/>
    <cellStyle name="Pattern 2" xfId="12278" xr:uid="{00000000-0005-0000-0000-000044960000}"/>
    <cellStyle name="Percen - Type1" xfId="1299" xr:uid="{00000000-0005-0000-0000-000045960000}"/>
    <cellStyle name="Percen - Typografi2" xfId="7492" xr:uid="{00000000-0005-0000-0000-000046960000}"/>
    <cellStyle name="Percent" xfId="40424" builtinId="5"/>
    <cellStyle name="Percent 2" xfId="1300" xr:uid="{00000000-0005-0000-0000-000048960000}"/>
    <cellStyle name="Percent 2 2" xfId="2859" xr:uid="{00000000-0005-0000-0000-000049960000}"/>
    <cellStyle name="Percent 2 2 2" xfId="3740" xr:uid="{00000000-0005-0000-0000-00004A960000}"/>
    <cellStyle name="Percent 3" xfId="1301" xr:uid="{00000000-0005-0000-0000-00004B960000}"/>
    <cellStyle name="Percent 3 2" xfId="1302" xr:uid="{00000000-0005-0000-0000-00004C960000}"/>
    <cellStyle name="Percent 3 3" xfId="1303" xr:uid="{00000000-0005-0000-0000-00004D960000}"/>
    <cellStyle name="Percent 3 3 2" xfId="1304" xr:uid="{00000000-0005-0000-0000-00004E960000}"/>
    <cellStyle name="Percent 3 3 3" xfId="19912" xr:uid="{00000000-0005-0000-0000-00004F960000}"/>
    <cellStyle name="Percent 3 3 3 2" xfId="20916" xr:uid="{00000000-0005-0000-0000-000050960000}"/>
    <cellStyle name="Percent 3 3 4" xfId="20915" xr:uid="{00000000-0005-0000-0000-000051960000}"/>
    <cellStyle name="Percent 3 3 5" xfId="19911" xr:uid="{00000000-0005-0000-0000-000052960000}"/>
    <cellStyle name="Percent 3 4" xfId="1305" xr:uid="{00000000-0005-0000-0000-000053960000}"/>
    <cellStyle name="Percent 3 4 2" xfId="11803" xr:uid="{00000000-0005-0000-0000-000054960000}"/>
    <cellStyle name="Percent 3 5" xfId="11802" xr:uid="{00000000-0005-0000-0000-000055960000}"/>
    <cellStyle name="Percent 3 5 2" xfId="20917" xr:uid="{00000000-0005-0000-0000-000056960000}"/>
    <cellStyle name="Percent 4" xfId="1306" xr:uid="{00000000-0005-0000-0000-000057960000}"/>
    <cellStyle name="Percent 4 2" xfId="1307" xr:uid="{00000000-0005-0000-0000-000058960000}"/>
    <cellStyle name="Percent 4 2 2" xfId="11189" xr:uid="{00000000-0005-0000-0000-000059960000}"/>
    <cellStyle name="Percent 4 2 2 2" xfId="18963" xr:uid="{00000000-0005-0000-0000-00005A960000}"/>
    <cellStyle name="Percent 4 2 2 2 2" xfId="37122" xr:uid="{00000000-0005-0000-0000-00005B960000}"/>
    <cellStyle name="Percent 4 2 2 3" xfId="20919" xr:uid="{00000000-0005-0000-0000-00005C960000}"/>
    <cellStyle name="Percent 4 2 2 4" xfId="30121" xr:uid="{00000000-0005-0000-0000-00005D960000}"/>
    <cellStyle name="Percent 4 2 3" xfId="12367" xr:uid="{00000000-0005-0000-0000-00005E960000}"/>
    <cellStyle name="Percent 4 2 3 2" xfId="30535" xr:uid="{00000000-0005-0000-0000-00005F960000}"/>
    <cellStyle name="Percent 4 2 4" xfId="19913" xr:uid="{00000000-0005-0000-0000-000060960000}"/>
    <cellStyle name="Percent 4 2 5" xfId="3741" xr:uid="{00000000-0005-0000-0000-000061960000}"/>
    <cellStyle name="Percent 4 2 5 2" xfId="23533" xr:uid="{00000000-0005-0000-0000-000062960000}"/>
    <cellStyle name="Percent 4 2 6" xfId="21827" xr:uid="{00000000-0005-0000-0000-000063960000}"/>
    <cellStyle name="Percent 4 2 7" xfId="39449" xr:uid="{00000000-0005-0000-0000-000064960000}"/>
    <cellStyle name="Percent 4 2 8" xfId="39936" xr:uid="{00000000-0005-0000-0000-000065960000}"/>
    <cellStyle name="Percent 4 2 9" xfId="40422" xr:uid="{00000000-0005-0000-0000-000066960000}"/>
    <cellStyle name="Percent 4 3" xfId="11157" xr:uid="{00000000-0005-0000-0000-000067960000}"/>
    <cellStyle name="Percent 4 3 2" xfId="18932" xr:uid="{00000000-0005-0000-0000-000068960000}"/>
    <cellStyle name="Percent 4 3 2 2" xfId="37091" xr:uid="{00000000-0005-0000-0000-000069960000}"/>
    <cellStyle name="Percent 4 3 3" xfId="20918" xr:uid="{00000000-0005-0000-0000-00006A960000}"/>
    <cellStyle name="Percent 4 3 4" xfId="30090" xr:uid="{00000000-0005-0000-0000-00006B960000}"/>
    <cellStyle name="Percent 4 4" xfId="11804" xr:uid="{00000000-0005-0000-0000-00006C960000}"/>
    <cellStyle name="Percent 4 5" xfId="12279" xr:uid="{00000000-0005-0000-0000-00006D960000}"/>
    <cellStyle name="Percent 4 5 2" xfId="30454" xr:uid="{00000000-0005-0000-0000-00006E960000}"/>
    <cellStyle name="Percent 4 6" xfId="3452" xr:uid="{00000000-0005-0000-0000-00006F960000}"/>
    <cellStyle name="Percent 4 6 2" xfId="23452" xr:uid="{00000000-0005-0000-0000-000070960000}"/>
    <cellStyle name="Percent 4 7" xfId="39356" xr:uid="{00000000-0005-0000-0000-000071960000}"/>
    <cellStyle name="Percent 5" xfId="1308" xr:uid="{00000000-0005-0000-0000-000072960000}"/>
    <cellStyle name="Percent 5 2" xfId="1309" xr:uid="{00000000-0005-0000-0000-000073960000}"/>
    <cellStyle name="Percent 5 2 2" xfId="11805" xr:uid="{00000000-0005-0000-0000-000074960000}"/>
    <cellStyle name="Percent 5 3" xfId="12280" xr:uid="{00000000-0005-0000-0000-000075960000}"/>
    <cellStyle name="Percent 6" xfId="1310" xr:uid="{00000000-0005-0000-0000-000076960000}"/>
    <cellStyle name="Percent 6 2" xfId="18918" xr:uid="{00000000-0005-0000-0000-000077960000}"/>
    <cellStyle name="Percent 6 2 2" xfId="37078" xr:uid="{00000000-0005-0000-0000-000078960000}"/>
    <cellStyle name="Percent 6 3" xfId="11069" xr:uid="{00000000-0005-0000-0000-000079960000}"/>
    <cellStyle name="Percent 6 3 2" xfId="30077" xr:uid="{00000000-0005-0000-0000-00007A960000}"/>
    <cellStyle name="Percent 6 4" xfId="21828" xr:uid="{00000000-0005-0000-0000-00007B960000}"/>
    <cellStyle name="Percent 7" xfId="11801" xr:uid="{00000000-0005-0000-0000-00007C960000}"/>
    <cellStyle name="Percent 7 2" xfId="18971" xr:uid="{00000000-0005-0000-0000-00007D960000}"/>
    <cellStyle name="Percent 7 2 2" xfId="37127" xr:uid="{00000000-0005-0000-0000-00007E960000}"/>
    <cellStyle name="Percent 7 3" xfId="30128" xr:uid="{00000000-0005-0000-0000-00007F960000}"/>
    <cellStyle name="Percent 8" xfId="11941" xr:uid="{00000000-0005-0000-0000-000080960000}"/>
    <cellStyle name="Percent 8 2" xfId="30133" xr:uid="{00000000-0005-0000-0000-000081960000}"/>
    <cellStyle name="Percentuale 10" xfId="1311" xr:uid="{00000000-0005-0000-0000-000082960000}"/>
    <cellStyle name="Percentuale 10 2" xfId="1312" xr:uid="{00000000-0005-0000-0000-000083960000}"/>
    <cellStyle name="Percentuale 10 2 2" xfId="3742" xr:uid="{00000000-0005-0000-0000-000084960000}"/>
    <cellStyle name="Percentuale 10 3" xfId="1313" xr:uid="{00000000-0005-0000-0000-000085960000}"/>
    <cellStyle name="Percentuale 10 3 2" xfId="1314" xr:uid="{00000000-0005-0000-0000-000086960000}"/>
    <cellStyle name="Percentuale 10 3 3" xfId="19915" xr:uid="{00000000-0005-0000-0000-000087960000}"/>
    <cellStyle name="Percentuale 10 3 3 2" xfId="20921" xr:uid="{00000000-0005-0000-0000-000088960000}"/>
    <cellStyle name="Percentuale 10 3 4" xfId="20920" xr:uid="{00000000-0005-0000-0000-000089960000}"/>
    <cellStyle name="Percentuale 10 3 5" xfId="19914" xr:uid="{00000000-0005-0000-0000-00008A960000}"/>
    <cellStyle name="Percentuale 10 4" xfId="1315" xr:uid="{00000000-0005-0000-0000-00008B960000}"/>
    <cellStyle name="Percentuale 10 4 2" xfId="19917" xr:uid="{00000000-0005-0000-0000-00008C960000}"/>
    <cellStyle name="Percentuale 10 4 2 2" xfId="20923" xr:uid="{00000000-0005-0000-0000-00008D960000}"/>
    <cellStyle name="Percentuale 10 4 3" xfId="20922" xr:uid="{00000000-0005-0000-0000-00008E960000}"/>
    <cellStyle name="Percentuale 10 4 4" xfId="19916" xr:uid="{00000000-0005-0000-0000-00008F960000}"/>
    <cellStyle name="Percentuale 10 4 5" xfId="11806" xr:uid="{00000000-0005-0000-0000-000090960000}"/>
    <cellStyle name="Percentuale 10 5" xfId="1316" xr:uid="{00000000-0005-0000-0000-000091960000}"/>
    <cellStyle name="Percentuale 10 5 2" xfId="11807" xr:uid="{00000000-0005-0000-0000-000092960000}"/>
    <cellStyle name="Percentuale 10 6" xfId="1317" xr:uid="{00000000-0005-0000-0000-000093960000}"/>
    <cellStyle name="Percentuale 10 6 2" xfId="21829" xr:uid="{00000000-0005-0000-0000-000094960000}"/>
    <cellStyle name="Percentuale 11" xfId="1318" xr:uid="{00000000-0005-0000-0000-000095960000}"/>
    <cellStyle name="Percentuale 11 2" xfId="1319" xr:uid="{00000000-0005-0000-0000-000096960000}"/>
    <cellStyle name="Percentuale 11 2 2" xfId="3743" xr:uid="{00000000-0005-0000-0000-000097960000}"/>
    <cellStyle name="Percentuale 11 3" xfId="1320" xr:uid="{00000000-0005-0000-0000-000098960000}"/>
    <cellStyle name="Percentuale 11 3 2" xfId="1321" xr:uid="{00000000-0005-0000-0000-000099960000}"/>
    <cellStyle name="Percentuale 11 3 3" xfId="19919" xr:uid="{00000000-0005-0000-0000-00009A960000}"/>
    <cellStyle name="Percentuale 11 3 3 2" xfId="20925" xr:uid="{00000000-0005-0000-0000-00009B960000}"/>
    <cellStyle name="Percentuale 11 3 4" xfId="20924" xr:uid="{00000000-0005-0000-0000-00009C960000}"/>
    <cellStyle name="Percentuale 11 3 5" xfId="19918" xr:uid="{00000000-0005-0000-0000-00009D960000}"/>
    <cellStyle name="Percentuale 11 4" xfId="1322" xr:uid="{00000000-0005-0000-0000-00009E960000}"/>
    <cellStyle name="Percentuale 11 4 2" xfId="19921" xr:uid="{00000000-0005-0000-0000-00009F960000}"/>
    <cellStyle name="Percentuale 11 4 2 2" xfId="20927" xr:uid="{00000000-0005-0000-0000-0000A0960000}"/>
    <cellStyle name="Percentuale 11 4 3" xfId="20926" xr:uid="{00000000-0005-0000-0000-0000A1960000}"/>
    <cellStyle name="Percentuale 11 4 4" xfId="19920" xr:uid="{00000000-0005-0000-0000-0000A2960000}"/>
    <cellStyle name="Percentuale 11 4 5" xfId="11808" xr:uid="{00000000-0005-0000-0000-0000A3960000}"/>
    <cellStyle name="Percentuale 11 5" xfId="1323" xr:uid="{00000000-0005-0000-0000-0000A4960000}"/>
    <cellStyle name="Percentuale 11 5 2" xfId="11809" xr:uid="{00000000-0005-0000-0000-0000A5960000}"/>
    <cellStyle name="Percentuale 11 6" xfId="1324" xr:uid="{00000000-0005-0000-0000-0000A6960000}"/>
    <cellStyle name="Percentuale 11 6 2" xfId="21830" xr:uid="{00000000-0005-0000-0000-0000A7960000}"/>
    <cellStyle name="Percentuale 12" xfId="1325" xr:uid="{00000000-0005-0000-0000-0000A8960000}"/>
    <cellStyle name="Percentuale 12 2" xfId="1326" xr:uid="{00000000-0005-0000-0000-0000A9960000}"/>
    <cellStyle name="Percentuale 12 2 2" xfId="3744" xr:uid="{00000000-0005-0000-0000-0000AA960000}"/>
    <cellStyle name="Percentuale 12 3" xfId="1327" xr:uid="{00000000-0005-0000-0000-0000AB960000}"/>
    <cellStyle name="Percentuale 12 3 2" xfId="1328" xr:uid="{00000000-0005-0000-0000-0000AC960000}"/>
    <cellStyle name="Percentuale 12 3 3" xfId="19923" xr:uid="{00000000-0005-0000-0000-0000AD960000}"/>
    <cellStyle name="Percentuale 12 3 3 2" xfId="20929" xr:uid="{00000000-0005-0000-0000-0000AE960000}"/>
    <cellStyle name="Percentuale 12 3 4" xfId="20928" xr:uid="{00000000-0005-0000-0000-0000AF960000}"/>
    <cellStyle name="Percentuale 12 3 5" xfId="19922" xr:uid="{00000000-0005-0000-0000-0000B0960000}"/>
    <cellStyle name="Percentuale 12 4" xfId="1329" xr:uid="{00000000-0005-0000-0000-0000B1960000}"/>
    <cellStyle name="Percentuale 12 4 2" xfId="19925" xr:uid="{00000000-0005-0000-0000-0000B2960000}"/>
    <cellStyle name="Percentuale 12 4 2 2" xfId="20931" xr:uid="{00000000-0005-0000-0000-0000B3960000}"/>
    <cellStyle name="Percentuale 12 4 3" xfId="20930" xr:uid="{00000000-0005-0000-0000-0000B4960000}"/>
    <cellStyle name="Percentuale 12 4 4" xfId="19924" xr:uid="{00000000-0005-0000-0000-0000B5960000}"/>
    <cellStyle name="Percentuale 12 4 5" xfId="11810" xr:uid="{00000000-0005-0000-0000-0000B6960000}"/>
    <cellStyle name="Percentuale 12 5" xfId="1330" xr:uid="{00000000-0005-0000-0000-0000B7960000}"/>
    <cellStyle name="Percentuale 12 5 2" xfId="11811" xr:uid="{00000000-0005-0000-0000-0000B8960000}"/>
    <cellStyle name="Percentuale 12 6" xfId="1331" xr:uid="{00000000-0005-0000-0000-0000B9960000}"/>
    <cellStyle name="Percentuale 12 6 2" xfId="21831" xr:uid="{00000000-0005-0000-0000-0000BA960000}"/>
    <cellStyle name="Percentuale 13" xfId="1332" xr:uid="{00000000-0005-0000-0000-0000BB960000}"/>
    <cellStyle name="Percentuale 13 2" xfId="1333" xr:uid="{00000000-0005-0000-0000-0000BC960000}"/>
    <cellStyle name="Percentuale 13 2 2" xfId="3745" xr:uid="{00000000-0005-0000-0000-0000BD960000}"/>
    <cellStyle name="Percentuale 13 3" xfId="1334" xr:uid="{00000000-0005-0000-0000-0000BE960000}"/>
    <cellStyle name="Percentuale 13 3 2" xfId="1335" xr:uid="{00000000-0005-0000-0000-0000BF960000}"/>
    <cellStyle name="Percentuale 13 3 3" xfId="19927" xr:uid="{00000000-0005-0000-0000-0000C0960000}"/>
    <cellStyle name="Percentuale 13 3 3 2" xfId="20933" xr:uid="{00000000-0005-0000-0000-0000C1960000}"/>
    <cellStyle name="Percentuale 13 3 4" xfId="20932" xr:uid="{00000000-0005-0000-0000-0000C2960000}"/>
    <cellStyle name="Percentuale 13 3 5" xfId="19926" xr:uid="{00000000-0005-0000-0000-0000C3960000}"/>
    <cellStyle name="Percentuale 13 4" xfId="1336" xr:uid="{00000000-0005-0000-0000-0000C4960000}"/>
    <cellStyle name="Percentuale 13 4 2" xfId="19929" xr:uid="{00000000-0005-0000-0000-0000C5960000}"/>
    <cellStyle name="Percentuale 13 4 2 2" xfId="20935" xr:uid="{00000000-0005-0000-0000-0000C6960000}"/>
    <cellStyle name="Percentuale 13 4 3" xfId="20934" xr:uid="{00000000-0005-0000-0000-0000C7960000}"/>
    <cellStyle name="Percentuale 13 4 4" xfId="19928" xr:uid="{00000000-0005-0000-0000-0000C8960000}"/>
    <cellStyle name="Percentuale 13 4 5" xfId="11812" xr:uid="{00000000-0005-0000-0000-0000C9960000}"/>
    <cellStyle name="Percentuale 13 5" xfId="1337" xr:uid="{00000000-0005-0000-0000-0000CA960000}"/>
    <cellStyle name="Percentuale 13 5 2" xfId="11813" xr:uid="{00000000-0005-0000-0000-0000CB960000}"/>
    <cellStyle name="Percentuale 13 6" xfId="1338" xr:uid="{00000000-0005-0000-0000-0000CC960000}"/>
    <cellStyle name="Percentuale 13 6 2" xfId="21832" xr:uid="{00000000-0005-0000-0000-0000CD960000}"/>
    <cellStyle name="Percentuale 14" xfId="1339" xr:uid="{00000000-0005-0000-0000-0000CE960000}"/>
    <cellStyle name="Percentuale 14 2" xfId="1340" xr:uid="{00000000-0005-0000-0000-0000CF960000}"/>
    <cellStyle name="Percentuale 14 2 2" xfId="3746" xr:uid="{00000000-0005-0000-0000-0000D0960000}"/>
    <cellStyle name="Percentuale 14 3" xfId="1341" xr:uid="{00000000-0005-0000-0000-0000D1960000}"/>
    <cellStyle name="Percentuale 14 3 2" xfId="1342" xr:uid="{00000000-0005-0000-0000-0000D2960000}"/>
    <cellStyle name="Percentuale 14 3 3" xfId="19931" xr:uid="{00000000-0005-0000-0000-0000D3960000}"/>
    <cellStyle name="Percentuale 14 3 3 2" xfId="20937" xr:uid="{00000000-0005-0000-0000-0000D4960000}"/>
    <cellStyle name="Percentuale 14 3 4" xfId="20936" xr:uid="{00000000-0005-0000-0000-0000D5960000}"/>
    <cellStyle name="Percentuale 14 3 5" xfId="19930" xr:uid="{00000000-0005-0000-0000-0000D6960000}"/>
    <cellStyle name="Percentuale 14 4" xfId="1343" xr:uid="{00000000-0005-0000-0000-0000D7960000}"/>
    <cellStyle name="Percentuale 14 4 2" xfId="19933" xr:uid="{00000000-0005-0000-0000-0000D8960000}"/>
    <cellStyle name="Percentuale 14 4 2 2" xfId="20939" xr:uid="{00000000-0005-0000-0000-0000D9960000}"/>
    <cellStyle name="Percentuale 14 4 3" xfId="20938" xr:uid="{00000000-0005-0000-0000-0000DA960000}"/>
    <cellStyle name="Percentuale 14 4 4" xfId="19932" xr:uid="{00000000-0005-0000-0000-0000DB960000}"/>
    <cellStyle name="Percentuale 14 4 5" xfId="11814" xr:uid="{00000000-0005-0000-0000-0000DC960000}"/>
    <cellStyle name="Percentuale 14 5" xfId="1344" xr:uid="{00000000-0005-0000-0000-0000DD960000}"/>
    <cellStyle name="Percentuale 14 5 2" xfId="11815" xr:uid="{00000000-0005-0000-0000-0000DE960000}"/>
    <cellStyle name="Percentuale 14 6" xfId="1345" xr:uid="{00000000-0005-0000-0000-0000DF960000}"/>
    <cellStyle name="Percentuale 14 6 2" xfId="21833" xr:uid="{00000000-0005-0000-0000-0000E0960000}"/>
    <cellStyle name="Percentuale 15" xfId="1346" xr:uid="{00000000-0005-0000-0000-0000E1960000}"/>
    <cellStyle name="Percentuale 15 2" xfId="1347" xr:uid="{00000000-0005-0000-0000-0000E2960000}"/>
    <cellStyle name="Percentuale 15 2 2" xfId="3747" xr:uid="{00000000-0005-0000-0000-0000E3960000}"/>
    <cellStyle name="Percentuale 15 3" xfId="1348" xr:uid="{00000000-0005-0000-0000-0000E4960000}"/>
    <cellStyle name="Percentuale 15 3 2" xfId="1349" xr:uid="{00000000-0005-0000-0000-0000E5960000}"/>
    <cellStyle name="Percentuale 15 3 3" xfId="19935" xr:uid="{00000000-0005-0000-0000-0000E6960000}"/>
    <cellStyle name="Percentuale 15 3 3 2" xfId="20941" xr:uid="{00000000-0005-0000-0000-0000E7960000}"/>
    <cellStyle name="Percentuale 15 3 4" xfId="20940" xr:uid="{00000000-0005-0000-0000-0000E8960000}"/>
    <cellStyle name="Percentuale 15 3 5" xfId="19934" xr:uid="{00000000-0005-0000-0000-0000E9960000}"/>
    <cellStyle name="Percentuale 15 4" xfId="1350" xr:uid="{00000000-0005-0000-0000-0000EA960000}"/>
    <cellStyle name="Percentuale 15 4 2" xfId="19937" xr:uid="{00000000-0005-0000-0000-0000EB960000}"/>
    <cellStyle name="Percentuale 15 4 2 2" xfId="20943" xr:uid="{00000000-0005-0000-0000-0000EC960000}"/>
    <cellStyle name="Percentuale 15 4 3" xfId="20942" xr:uid="{00000000-0005-0000-0000-0000ED960000}"/>
    <cellStyle name="Percentuale 15 4 4" xfId="19936" xr:uid="{00000000-0005-0000-0000-0000EE960000}"/>
    <cellStyle name="Percentuale 15 4 5" xfId="11816" xr:uid="{00000000-0005-0000-0000-0000EF960000}"/>
    <cellStyle name="Percentuale 15 5" xfId="1351" xr:uid="{00000000-0005-0000-0000-0000F0960000}"/>
    <cellStyle name="Percentuale 15 5 2" xfId="11817" xr:uid="{00000000-0005-0000-0000-0000F1960000}"/>
    <cellStyle name="Percentuale 15 6" xfId="1352" xr:uid="{00000000-0005-0000-0000-0000F2960000}"/>
    <cellStyle name="Percentuale 15 6 2" xfId="21834" xr:uid="{00000000-0005-0000-0000-0000F3960000}"/>
    <cellStyle name="Percentuale 16" xfId="1353" xr:uid="{00000000-0005-0000-0000-0000F4960000}"/>
    <cellStyle name="Percentuale 16 2" xfId="1354" xr:uid="{00000000-0005-0000-0000-0000F5960000}"/>
    <cellStyle name="Percentuale 16 2 2" xfId="3748" xr:uid="{00000000-0005-0000-0000-0000F6960000}"/>
    <cellStyle name="Percentuale 16 3" xfId="1355" xr:uid="{00000000-0005-0000-0000-0000F7960000}"/>
    <cellStyle name="Percentuale 16 3 2" xfId="1356" xr:uid="{00000000-0005-0000-0000-0000F8960000}"/>
    <cellStyle name="Percentuale 16 3 3" xfId="19939" xr:uid="{00000000-0005-0000-0000-0000F9960000}"/>
    <cellStyle name="Percentuale 16 3 3 2" xfId="20945" xr:uid="{00000000-0005-0000-0000-0000FA960000}"/>
    <cellStyle name="Percentuale 16 3 4" xfId="20944" xr:uid="{00000000-0005-0000-0000-0000FB960000}"/>
    <cellStyle name="Percentuale 16 3 5" xfId="19938" xr:uid="{00000000-0005-0000-0000-0000FC960000}"/>
    <cellStyle name="Percentuale 16 4" xfId="1357" xr:uid="{00000000-0005-0000-0000-0000FD960000}"/>
    <cellStyle name="Percentuale 16 4 2" xfId="19941" xr:uid="{00000000-0005-0000-0000-0000FE960000}"/>
    <cellStyle name="Percentuale 16 4 2 2" xfId="20947" xr:uid="{00000000-0005-0000-0000-0000FF960000}"/>
    <cellStyle name="Percentuale 16 4 3" xfId="20946" xr:uid="{00000000-0005-0000-0000-000000970000}"/>
    <cellStyle name="Percentuale 16 4 4" xfId="19940" xr:uid="{00000000-0005-0000-0000-000001970000}"/>
    <cellStyle name="Percentuale 16 4 5" xfId="11818" xr:uid="{00000000-0005-0000-0000-000002970000}"/>
    <cellStyle name="Percentuale 16 5" xfId="1358" xr:uid="{00000000-0005-0000-0000-000003970000}"/>
    <cellStyle name="Percentuale 16 5 2" xfId="11819" xr:uid="{00000000-0005-0000-0000-000004970000}"/>
    <cellStyle name="Percentuale 16 6" xfId="1359" xr:uid="{00000000-0005-0000-0000-000005970000}"/>
    <cellStyle name="Percentuale 16 6 2" xfId="21835" xr:uid="{00000000-0005-0000-0000-000006970000}"/>
    <cellStyle name="Percentuale 17" xfId="1360" xr:uid="{00000000-0005-0000-0000-000007970000}"/>
    <cellStyle name="Percentuale 17 2" xfId="1361" xr:uid="{00000000-0005-0000-0000-000008970000}"/>
    <cellStyle name="Percentuale 17 2 2" xfId="3749" xr:uid="{00000000-0005-0000-0000-000009970000}"/>
    <cellStyle name="Percentuale 17 3" xfId="1362" xr:uid="{00000000-0005-0000-0000-00000A970000}"/>
    <cellStyle name="Percentuale 17 3 2" xfId="1363" xr:uid="{00000000-0005-0000-0000-00000B970000}"/>
    <cellStyle name="Percentuale 17 3 3" xfId="19943" xr:uid="{00000000-0005-0000-0000-00000C970000}"/>
    <cellStyle name="Percentuale 17 3 3 2" xfId="20949" xr:uid="{00000000-0005-0000-0000-00000D970000}"/>
    <cellStyle name="Percentuale 17 3 4" xfId="20948" xr:uid="{00000000-0005-0000-0000-00000E970000}"/>
    <cellStyle name="Percentuale 17 3 5" xfId="19942" xr:uid="{00000000-0005-0000-0000-00000F970000}"/>
    <cellStyle name="Percentuale 17 4" xfId="1364" xr:uid="{00000000-0005-0000-0000-000010970000}"/>
    <cellStyle name="Percentuale 17 4 2" xfId="19945" xr:uid="{00000000-0005-0000-0000-000011970000}"/>
    <cellStyle name="Percentuale 17 4 2 2" xfId="20951" xr:uid="{00000000-0005-0000-0000-000012970000}"/>
    <cellStyle name="Percentuale 17 4 3" xfId="20950" xr:uid="{00000000-0005-0000-0000-000013970000}"/>
    <cellStyle name="Percentuale 17 4 4" xfId="19944" xr:uid="{00000000-0005-0000-0000-000014970000}"/>
    <cellStyle name="Percentuale 17 4 5" xfId="11820" xr:uid="{00000000-0005-0000-0000-000015970000}"/>
    <cellStyle name="Percentuale 17 5" xfId="1365" xr:uid="{00000000-0005-0000-0000-000016970000}"/>
    <cellStyle name="Percentuale 17 5 2" xfId="11821" xr:uid="{00000000-0005-0000-0000-000017970000}"/>
    <cellStyle name="Percentuale 17 6" xfId="1366" xr:uid="{00000000-0005-0000-0000-000018970000}"/>
    <cellStyle name="Percentuale 17 6 2" xfId="21836" xr:uid="{00000000-0005-0000-0000-000019970000}"/>
    <cellStyle name="Percentuale 18" xfId="1367" xr:uid="{00000000-0005-0000-0000-00001A970000}"/>
    <cellStyle name="Percentuale 18 2" xfId="1368" xr:uid="{00000000-0005-0000-0000-00001B970000}"/>
    <cellStyle name="Percentuale 18 2 2" xfId="3750" xr:uid="{00000000-0005-0000-0000-00001C970000}"/>
    <cellStyle name="Percentuale 18 3" xfId="1369" xr:uid="{00000000-0005-0000-0000-00001D970000}"/>
    <cellStyle name="Percentuale 18 3 2" xfId="1370" xr:uid="{00000000-0005-0000-0000-00001E970000}"/>
    <cellStyle name="Percentuale 18 3 3" xfId="19947" xr:uid="{00000000-0005-0000-0000-00001F970000}"/>
    <cellStyle name="Percentuale 18 3 3 2" xfId="20953" xr:uid="{00000000-0005-0000-0000-000020970000}"/>
    <cellStyle name="Percentuale 18 3 4" xfId="20952" xr:uid="{00000000-0005-0000-0000-000021970000}"/>
    <cellStyle name="Percentuale 18 3 5" xfId="19946" xr:uid="{00000000-0005-0000-0000-000022970000}"/>
    <cellStyle name="Percentuale 18 4" xfId="1371" xr:uid="{00000000-0005-0000-0000-000023970000}"/>
    <cellStyle name="Percentuale 18 4 2" xfId="19949" xr:uid="{00000000-0005-0000-0000-000024970000}"/>
    <cellStyle name="Percentuale 18 4 2 2" xfId="20955" xr:uid="{00000000-0005-0000-0000-000025970000}"/>
    <cellStyle name="Percentuale 18 4 3" xfId="20954" xr:uid="{00000000-0005-0000-0000-000026970000}"/>
    <cellStyle name="Percentuale 18 4 4" xfId="19948" xr:uid="{00000000-0005-0000-0000-000027970000}"/>
    <cellStyle name="Percentuale 18 4 5" xfId="11822" xr:uid="{00000000-0005-0000-0000-000028970000}"/>
    <cellStyle name="Percentuale 18 5" xfId="1372" xr:uid="{00000000-0005-0000-0000-000029970000}"/>
    <cellStyle name="Percentuale 18 5 2" xfId="11823" xr:uid="{00000000-0005-0000-0000-00002A970000}"/>
    <cellStyle name="Percentuale 18 6" xfId="1373" xr:uid="{00000000-0005-0000-0000-00002B970000}"/>
    <cellStyle name="Percentuale 18 6 2" xfId="21837" xr:uid="{00000000-0005-0000-0000-00002C970000}"/>
    <cellStyle name="Percentuale 19" xfId="1374" xr:uid="{00000000-0005-0000-0000-00002D970000}"/>
    <cellStyle name="Percentuale 19 2" xfId="1375" xr:uid="{00000000-0005-0000-0000-00002E970000}"/>
    <cellStyle name="Percentuale 19 2 2" xfId="3751" xr:uid="{00000000-0005-0000-0000-00002F970000}"/>
    <cellStyle name="Percentuale 19 3" xfId="1376" xr:uid="{00000000-0005-0000-0000-000030970000}"/>
    <cellStyle name="Percentuale 19 3 2" xfId="1377" xr:uid="{00000000-0005-0000-0000-000031970000}"/>
    <cellStyle name="Percentuale 19 3 3" xfId="19951" xr:uid="{00000000-0005-0000-0000-000032970000}"/>
    <cellStyle name="Percentuale 19 3 3 2" xfId="20957" xr:uid="{00000000-0005-0000-0000-000033970000}"/>
    <cellStyle name="Percentuale 19 3 4" xfId="20956" xr:uid="{00000000-0005-0000-0000-000034970000}"/>
    <cellStyle name="Percentuale 19 3 5" xfId="19950" xr:uid="{00000000-0005-0000-0000-000035970000}"/>
    <cellStyle name="Percentuale 19 4" xfId="1378" xr:uid="{00000000-0005-0000-0000-000036970000}"/>
    <cellStyle name="Percentuale 19 4 2" xfId="19953" xr:uid="{00000000-0005-0000-0000-000037970000}"/>
    <cellStyle name="Percentuale 19 4 2 2" xfId="20959" xr:uid="{00000000-0005-0000-0000-000038970000}"/>
    <cellStyle name="Percentuale 19 4 3" xfId="20958" xr:uid="{00000000-0005-0000-0000-000039970000}"/>
    <cellStyle name="Percentuale 19 4 4" xfId="19952" xr:uid="{00000000-0005-0000-0000-00003A970000}"/>
    <cellStyle name="Percentuale 19 4 5" xfId="11824" xr:uid="{00000000-0005-0000-0000-00003B970000}"/>
    <cellStyle name="Percentuale 19 5" xfId="1379" xr:uid="{00000000-0005-0000-0000-00003C970000}"/>
    <cellStyle name="Percentuale 19 5 2" xfId="11825" xr:uid="{00000000-0005-0000-0000-00003D970000}"/>
    <cellStyle name="Percentuale 19 6" xfId="1380" xr:uid="{00000000-0005-0000-0000-00003E970000}"/>
    <cellStyle name="Percentuale 19 6 2" xfId="21838" xr:uid="{00000000-0005-0000-0000-00003F970000}"/>
    <cellStyle name="Percentuale 2" xfId="1381" xr:uid="{00000000-0005-0000-0000-000040970000}"/>
    <cellStyle name="Percentuale 2 2" xfId="1382" xr:uid="{00000000-0005-0000-0000-000041970000}"/>
    <cellStyle name="Percentuale 2 2 2" xfId="3752" xr:uid="{00000000-0005-0000-0000-000042970000}"/>
    <cellStyle name="Percentuale 2 3" xfId="1383" xr:uid="{00000000-0005-0000-0000-000043970000}"/>
    <cellStyle name="Percentuale 2 3 2" xfId="1384" xr:uid="{00000000-0005-0000-0000-000044970000}"/>
    <cellStyle name="Percentuale 2 3 3" xfId="19955" xr:uid="{00000000-0005-0000-0000-000045970000}"/>
    <cellStyle name="Percentuale 2 3 3 2" xfId="20961" xr:uid="{00000000-0005-0000-0000-000046970000}"/>
    <cellStyle name="Percentuale 2 3 4" xfId="20960" xr:uid="{00000000-0005-0000-0000-000047970000}"/>
    <cellStyle name="Percentuale 2 3 5" xfId="19954" xr:uid="{00000000-0005-0000-0000-000048970000}"/>
    <cellStyle name="Percentuale 2 4" xfId="1385" xr:uid="{00000000-0005-0000-0000-000049970000}"/>
    <cellStyle name="Percentuale 2 4 2" xfId="19957" xr:uid="{00000000-0005-0000-0000-00004A970000}"/>
    <cellStyle name="Percentuale 2 4 2 2" xfId="20963" xr:uid="{00000000-0005-0000-0000-00004B970000}"/>
    <cellStyle name="Percentuale 2 4 3" xfId="20962" xr:uid="{00000000-0005-0000-0000-00004C970000}"/>
    <cellStyle name="Percentuale 2 4 4" xfId="19956" xr:uid="{00000000-0005-0000-0000-00004D970000}"/>
    <cellStyle name="Percentuale 2 4 5" xfId="11826" xr:uid="{00000000-0005-0000-0000-00004E970000}"/>
    <cellStyle name="Percentuale 2 5" xfId="1386" xr:uid="{00000000-0005-0000-0000-00004F970000}"/>
    <cellStyle name="Percentuale 2 5 2" xfId="11827" xr:uid="{00000000-0005-0000-0000-000050970000}"/>
    <cellStyle name="Percentuale 2 6" xfId="1387" xr:uid="{00000000-0005-0000-0000-000051970000}"/>
    <cellStyle name="Percentuale 2 6 2" xfId="21839" xr:uid="{00000000-0005-0000-0000-000052970000}"/>
    <cellStyle name="Percentuale 20" xfId="1388" xr:uid="{00000000-0005-0000-0000-000053970000}"/>
    <cellStyle name="Percentuale 20 2" xfId="1389" xr:uid="{00000000-0005-0000-0000-000054970000}"/>
    <cellStyle name="Percentuale 20 2 2" xfId="3753" xr:uid="{00000000-0005-0000-0000-000055970000}"/>
    <cellStyle name="Percentuale 20 3" xfId="1390" xr:uid="{00000000-0005-0000-0000-000056970000}"/>
    <cellStyle name="Percentuale 20 3 2" xfId="1391" xr:uid="{00000000-0005-0000-0000-000057970000}"/>
    <cellStyle name="Percentuale 20 3 3" xfId="19959" xr:uid="{00000000-0005-0000-0000-000058970000}"/>
    <cellStyle name="Percentuale 20 3 3 2" xfId="20965" xr:uid="{00000000-0005-0000-0000-000059970000}"/>
    <cellStyle name="Percentuale 20 3 4" xfId="20964" xr:uid="{00000000-0005-0000-0000-00005A970000}"/>
    <cellStyle name="Percentuale 20 3 5" xfId="19958" xr:uid="{00000000-0005-0000-0000-00005B970000}"/>
    <cellStyle name="Percentuale 20 4" xfId="1392" xr:uid="{00000000-0005-0000-0000-00005C970000}"/>
    <cellStyle name="Percentuale 20 4 2" xfId="19961" xr:uid="{00000000-0005-0000-0000-00005D970000}"/>
    <cellStyle name="Percentuale 20 4 2 2" xfId="20967" xr:uid="{00000000-0005-0000-0000-00005E970000}"/>
    <cellStyle name="Percentuale 20 4 3" xfId="20966" xr:uid="{00000000-0005-0000-0000-00005F970000}"/>
    <cellStyle name="Percentuale 20 4 4" xfId="19960" xr:uid="{00000000-0005-0000-0000-000060970000}"/>
    <cellStyle name="Percentuale 20 4 5" xfId="11828" xr:uid="{00000000-0005-0000-0000-000061970000}"/>
    <cellStyle name="Percentuale 20 5" xfId="1393" xr:uid="{00000000-0005-0000-0000-000062970000}"/>
    <cellStyle name="Percentuale 20 5 2" xfId="11829" xr:uid="{00000000-0005-0000-0000-000063970000}"/>
    <cellStyle name="Percentuale 20 6" xfId="1394" xr:uid="{00000000-0005-0000-0000-000064970000}"/>
    <cellStyle name="Percentuale 20 6 2" xfId="21840" xr:uid="{00000000-0005-0000-0000-000065970000}"/>
    <cellStyle name="Percentuale 21" xfId="1395" xr:uid="{00000000-0005-0000-0000-000066970000}"/>
    <cellStyle name="Percentuale 21 2" xfId="1396" xr:uid="{00000000-0005-0000-0000-000067970000}"/>
    <cellStyle name="Percentuale 21 2 2" xfId="3754" xr:uid="{00000000-0005-0000-0000-000068970000}"/>
    <cellStyle name="Percentuale 21 3" xfId="1397" xr:uid="{00000000-0005-0000-0000-000069970000}"/>
    <cellStyle name="Percentuale 21 3 2" xfId="1398" xr:uid="{00000000-0005-0000-0000-00006A970000}"/>
    <cellStyle name="Percentuale 21 3 3" xfId="19963" xr:uid="{00000000-0005-0000-0000-00006B970000}"/>
    <cellStyle name="Percentuale 21 3 3 2" xfId="20969" xr:uid="{00000000-0005-0000-0000-00006C970000}"/>
    <cellStyle name="Percentuale 21 3 4" xfId="20968" xr:uid="{00000000-0005-0000-0000-00006D970000}"/>
    <cellStyle name="Percentuale 21 3 5" xfId="19962" xr:uid="{00000000-0005-0000-0000-00006E970000}"/>
    <cellStyle name="Percentuale 21 4" xfId="1399" xr:uid="{00000000-0005-0000-0000-00006F970000}"/>
    <cellStyle name="Percentuale 21 4 2" xfId="19965" xr:uid="{00000000-0005-0000-0000-000070970000}"/>
    <cellStyle name="Percentuale 21 4 2 2" xfId="20971" xr:uid="{00000000-0005-0000-0000-000071970000}"/>
    <cellStyle name="Percentuale 21 4 3" xfId="20970" xr:uid="{00000000-0005-0000-0000-000072970000}"/>
    <cellStyle name="Percentuale 21 4 4" xfId="19964" xr:uid="{00000000-0005-0000-0000-000073970000}"/>
    <cellStyle name="Percentuale 21 4 5" xfId="11830" xr:uid="{00000000-0005-0000-0000-000074970000}"/>
    <cellStyle name="Percentuale 21 5" xfId="1400" xr:uid="{00000000-0005-0000-0000-000075970000}"/>
    <cellStyle name="Percentuale 21 5 2" xfId="11831" xr:uid="{00000000-0005-0000-0000-000076970000}"/>
    <cellStyle name="Percentuale 21 6" xfId="1401" xr:uid="{00000000-0005-0000-0000-000077970000}"/>
    <cellStyle name="Percentuale 21 6 2" xfId="21841" xr:uid="{00000000-0005-0000-0000-000078970000}"/>
    <cellStyle name="Percentuale 22" xfId="1402" xr:uid="{00000000-0005-0000-0000-000079970000}"/>
    <cellStyle name="Percentuale 22 2" xfId="1403" xr:uid="{00000000-0005-0000-0000-00007A970000}"/>
    <cellStyle name="Percentuale 22 2 2" xfId="3755" xr:uid="{00000000-0005-0000-0000-00007B970000}"/>
    <cellStyle name="Percentuale 22 3" xfId="1404" xr:uid="{00000000-0005-0000-0000-00007C970000}"/>
    <cellStyle name="Percentuale 22 3 2" xfId="1405" xr:uid="{00000000-0005-0000-0000-00007D970000}"/>
    <cellStyle name="Percentuale 22 3 3" xfId="19967" xr:uid="{00000000-0005-0000-0000-00007E970000}"/>
    <cellStyle name="Percentuale 22 3 3 2" xfId="20973" xr:uid="{00000000-0005-0000-0000-00007F970000}"/>
    <cellStyle name="Percentuale 22 3 4" xfId="20972" xr:uid="{00000000-0005-0000-0000-000080970000}"/>
    <cellStyle name="Percentuale 22 3 5" xfId="19966" xr:uid="{00000000-0005-0000-0000-000081970000}"/>
    <cellStyle name="Percentuale 22 4" xfId="1406" xr:uid="{00000000-0005-0000-0000-000082970000}"/>
    <cellStyle name="Percentuale 22 4 2" xfId="19969" xr:uid="{00000000-0005-0000-0000-000083970000}"/>
    <cellStyle name="Percentuale 22 4 2 2" xfId="20975" xr:uid="{00000000-0005-0000-0000-000084970000}"/>
    <cellStyle name="Percentuale 22 4 3" xfId="20974" xr:uid="{00000000-0005-0000-0000-000085970000}"/>
    <cellStyle name="Percentuale 22 4 4" xfId="19968" xr:uid="{00000000-0005-0000-0000-000086970000}"/>
    <cellStyle name="Percentuale 22 4 5" xfId="11832" xr:uid="{00000000-0005-0000-0000-000087970000}"/>
    <cellStyle name="Percentuale 22 5" xfId="1407" xr:uid="{00000000-0005-0000-0000-000088970000}"/>
    <cellStyle name="Percentuale 22 5 2" xfId="11833" xr:uid="{00000000-0005-0000-0000-000089970000}"/>
    <cellStyle name="Percentuale 22 6" xfId="1408" xr:uid="{00000000-0005-0000-0000-00008A970000}"/>
    <cellStyle name="Percentuale 22 6 2" xfId="21842" xr:uid="{00000000-0005-0000-0000-00008B970000}"/>
    <cellStyle name="Percentuale 23" xfId="1409" xr:uid="{00000000-0005-0000-0000-00008C970000}"/>
    <cellStyle name="Percentuale 23 2" xfId="1410" xr:uid="{00000000-0005-0000-0000-00008D970000}"/>
    <cellStyle name="Percentuale 23 2 2" xfId="3756" xr:uid="{00000000-0005-0000-0000-00008E970000}"/>
    <cellStyle name="Percentuale 23 3" xfId="1411" xr:uid="{00000000-0005-0000-0000-00008F970000}"/>
    <cellStyle name="Percentuale 23 3 2" xfId="1412" xr:uid="{00000000-0005-0000-0000-000090970000}"/>
    <cellStyle name="Percentuale 23 3 3" xfId="19971" xr:uid="{00000000-0005-0000-0000-000091970000}"/>
    <cellStyle name="Percentuale 23 3 3 2" xfId="20977" xr:uid="{00000000-0005-0000-0000-000092970000}"/>
    <cellStyle name="Percentuale 23 3 4" xfId="20976" xr:uid="{00000000-0005-0000-0000-000093970000}"/>
    <cellStyle name="Percentuale 23 3 5" xfId="19970" xr:uid="{00000000-0005-0000-0000-000094970000}"/>
    <cellStyle name="Percentuale 23 4" xfId="1413" xr:uid="{00000000-0005-0000-0000-000095970000}"/>
    <cellStyle name="Percentuale 23 4 2" xfId="19973" xr:uid="{00000000-0005-0000-0000-000096970000}"/>
    <cellStyle name="Percentuale 23 4 2 2" xfId="20979" xr:uid="{00000000-0005-0000-0000-000097970000}"/>
    <cellStyle name="Percentuale 23 4 3" xfId="20978" xr:uid="{00000000-0005-0000-0000-000098970000}"/>
    <cellStyle name="Percentuale 23 4 4" xfId="19972" xr:uid="{00000000-0005-0000-0000-000099970000}"/>
    <cellStyle name="Percentuale 23 4 5" xfId="11834" xr:uid="{00000000-0005-0000-0000-00009A970000}"/>
    <cellStyle name="Percentuale 23 5" xfId="1414" xr:uid="{00000000-0005-0000-0000-00009B970000}"/>
    <cellStyle name="Percentuale 23 5 2" xfId="11835" xr:uid="{00000000-0005-0000-0000-00009C970000}"/>
    <cellStyle name="Percentuale 23 6" xfId="1415" xr:uid="{00000000-0005-0000-0000-00009D970000}"/>
    <cellStyle name="Percentuale 23 6 2" xfId="21843" xr:uid="{00000000-0005-0000-0000-00009E970000}"/>
    <cellStyle name="Percentuale 24" xfId="1416" xr:uid="{00000000-0005-0000-0000-00009F970000}"/>
    <cellStyle name="Percentuale 24 2" xfId="1417" xr:uid="{00000000-0005-0000-0000-0000A0970000}"/>
    <cellStyle name="Percentuale 24 2 2" xfId="3757" xr:uid="{00000000-0005-0000-0000-0000A1970000}"/>
    <cellStyle name="Percentuale 24 3" xfId="1418" xr:uid="{00000000-0005-0000-0000-0000A2970000}"/>
    <cellStyle name="Percentuale 24 3 2" xfId="1419" xr:uid="{00000000-0005-0000-0000-0000A3970000}"/>
    <cellStyle name="Percentuale 24 3 3" xfId="19975" xr:uid="{00000000-0005-0000-0000-0000A4970000}"/>
    <cellStyle name="Percentuale 24 3 3 2" xfId="20981" xr:uid="{00000000-0005-0000-0000-0000A5970000}"/>
    <cellStyle name="Percentuale 24 3 4" xfId="20980" xr:uid="{00000000-0005-0000-0000-0000A6970000}"/>
    <cellStyle name="Percentuale 24 3 5" xfId="19974" xr:uid="{00000000-0005-0000-0000-0000A7970000}"/>
    <cellStyle name="Percentuale 24 4" xfId="1420" xr:uid="{00000000-0005-0000-0000-0000A8970000}"/>
    <cellStyle name="Percentuale 24 4 2" xfId="19977" xr:uid="{00000000-0005-0000-0000-0000A9970000}"/>
    <cellStyle name="Percentuale 24 4 2 2" xfId="20983" xr:uid="{00000000-0005-0000-0000-0000AA970000}"/>
    <cellStyle name="Percentuale 24 4 3" xfId="20982" xr:uid="{00000000-0005-0000-0000-0000AB970000}"/>
    <cellStyle name="Percentuale 24 4 4" xfId="19976" xr:uid="{00000000-0005-0000-0000-0000AC970000}"/>
    <cellStyle name="Percentuale 24 4 5" xfId="11836" xr:uid="{00000000-0005-0000-0000-0000AD970000}"/>
    <cellStyle name="Percentuale 24 5" xfId="1421" xr:uid="{00000000-0005-0000-0000-0000AE970000}"/>
    <cellStyle name="Percentuale 24 5 2" xfId="11837" xr:uid="{00000000-0005-0000-0000-0000AF970000}"/>
    <cellStyle name="Percentuale 24 6" xfId="1422" xr:uid="{00000000-0005-0000-0000-0000B0970000}"/>
    <cellStyle name="Percentuale 24 6 2" xfId="21844" xr:uid="{00000000-0005-0000-0000-0000B1970000}"/>
    <cellStyle name="Percentuale 25" xfId="1423" xr:uid="{00000000-0005-0000-0000-0000B2970000}"/>
    <cellStyle name="Percentuale 25 2" xfId="1424" xr:uid="{00000000-0005-0000-0000-0000B3970000}"/>
    <cellStyle name="Percentuale 25 2 2" xfId="3758" xr:uid="{00000000-0005-0000-0000-0000B4970000}"/>
    <cellStyle name="Percentuale 25 3" xfId="1425" xr:uid="{00000000-0005-0000-0000-0000B5970000}"/>
    <cellStyle name="Percentuale 25 3 2" xfId="1426" xr:uid="{00000000-0005-0000-0000-0000B6970000}"/>
    <cellStyle name="Percentuale 25 3 3" xfId="19979" xr:uid="{00000000-0005-0000-0000-0000B7970000}"/>
    <cellStyle name="Percentuale 25 3 3 2" xfId="20985" xr:uid="{00000000-0005-0000-0000-0000B8970000}"/>
    <cellStyle name="Percentuale 25 3 4" xfId="20984" xr:uid="{00000000-0005-0000-0000-0000B9970000}"/>
    <cellStyle name="Percentuale 25 3 5" xfId="19978" xr:uid="{00000000-0005-0000-0000-0000BA970000}"/>
    <cellStyle name="Percentuale 25 4" xfId="1427" xr:uid="{00000000-0005-0000-0000-0000BB970000}"/>
    <cellStyle name="Percentuale 25 4 2" xfId="19981" xr:uid="{00000000-0005-0000-0000-0000BC970000}"/>
    <cellStyle name="Percentuale 25 4 2 2" xfId="20987" xr:uid="{00000000-0005-0000-0000-0000BD970000}"/>
    <cellStyle name="Percentuale 25 4 3" xfId="20986" xr:uid="{00000000-0005-0000-0000-0000BE970000}"/>
    <cellStyle name="Percentuale 25 4 4" xfId="19980" xr:uid="{00000000-0005-0000-0000-0000BF970000}"/>
    <cellStyle name="Percentuale 25 4 5" xfId="11838" xr:uid="{00000000-0005-0000-0000-0000C0970000}"/>
    <cellStyle name="Percentuale 25 5" xfId="1428" xr:uid="{00000000-0005-0000-0000-0000C1970000}"/>
    <cellStyle name="Percentuale 25 5 2" xfId="11839" xr:uid="{00000000-0005-0000-0000-0000C2970000}"/>
    <cellStyle name="Percentuale 25 6" xfId="1429" xr:uid="{00000000-0005-0000-0000-0000C3970000}"/>
    <cellStyle name="Percentuale 25 6 2" xfId="21845" xr:uid="{00000000-0005-0000-0000-0000C4970000}"/>
    <cellStyle name="Percentuale 26" xfId="1430" xr:uid="{00000000-0005-0000-0000-0000C5970000}"/>
    <cellStyle name="Percentuale 26 2" xfId="1431" xr:uid="{00000000-0005-0000-0000-0000C6970000}"/>
    <cellStyle name="Percentuale 26 2 2" xfId="3759" xr:uid="{00000000-0005-0000-0000-0000C7970000}"/>
    <cellStyle name="Percentuale 26 3" xfId="1432" xr:uid="{00000000-0005-0000-0000-0000C8970000}"/>
    <cellStyle name="Percentuale 26 3 2" xfId="1433" xr:uid="{00000000-0005-0000-0000-0000C9970000}"/>
    <cellStyle name="Percentuale 26 3 3" xfId="19983" xr:uid="{00000000-0005-0000-0000-0000CA970000}"/>
    <cellStyle name="Percentuale 26 3 3 2" xfId="20989" xr:uid="{00000000-0005-0000-0000-0000CB970000}"/>
    <cellStyle name="Percentuale 26 3 4" xfId="20988" xr:uid="{00000000-0005-0000-0000-0000CC970000}"/>
    <cellStyle name="Percentuale 26 3 5" xfId="19982" xr:uid="{00000000-0005-0000-0000-0000CD970000}"/>
    <cellStyle name="Percentuale 26 4" xfId="1434" xr:uid="{00000000-0005-0000-0000-0000CE970000}"/>
    <cellStyle name="Percentuale 26 4 2" xfId="19985" xr:uid="{00000000-0005-0000-0000-0000CF970000}"/>
    <cellStyle name="Percentuale 26 4 2 2" xfId="20991" xr:uid="{00000000-0005-0000-0000-0000D0970000}"/>
    <cellStyle name="Percentuale 26 4 3" xfId="20990" xr:uid="{00000000-0005-0000-0000-0000D1970000}"/>
    <cellStyle name="Percentuale 26 4 4" xfId="19984" xr:uid="{00000000-0005-0000-0000-0000D2970000}"/>
    <cellStyle name="Percentuale 26 4 5" xfId="11840" xr:uid="{00000000-0005-0000-0000-0000D3970000}"/>
    <cellStyle name="Percentuale 26 5" xfId="1435" xr:uid="{00000000-0005-0000-0000-0000D4970000}"/>
    <cellStyle name="Percentuale 26 5 2" xfId="11841" xr:uid="{00000000-0005-0000-0000-0000D5970000}"/>
    <cellStyle name="Percentuale 26 6" xfId="1436" xr:uid="{00000000-0005-0000-0000-0000D6970000}"/>
    <cellStyle name="Percentuale 26 6 2" xfId="21846" xr:uid="{00000000-0005-0000-0000-0000D7970000}"/>
    <cellStyle name="Percentuale 27" xfId="1437" xr:uid="{00000000-0005-0000-0000-0000D8970000}"/>
    <cellStyle name="Percentuale 27 2" xfId="1438" xr:uid="{00000000-0005-0000-0000-0000D9970000}"/>
    <cellStyle name="Percentuale 27 2 2" xfId="3760" xr:uid="{00000000-0005-0000-0000-0000DA970000}"/>
    <cellStyle name="Percentuale 27 3" xfId="1439" xr:uid="{00000000-0005-0000-0000-0000DB970000}"/>
    <cellStyle name="Percentuale 27 3 2" xfId="1440" xr:uid="{00000000-0005-0000-0000-0000DC970000}"/>
    <cellStyle name="Percentuale 27 3 3" xfId="19987" xr:uid="{00000000-0005-0000-0000-0000DD970000}"/>
    <cellStyle name="Percentuale 27 3 3 2" xfId="20993" xr:uid="{00000000-0005-0000-0000-0000DE970000}"/>
    <cellStyle name="Percentuale 27 3 4" xfId="20992" xr:uid="{00000000-0005-0000-0000-0000DF970000}"/>
    <cellStyle name="Percentuale 27 3 5" xfId="19986" xr:uid="{00000000-0005-0000-0000-0000E0970000}"/>
    <cellStyle name="Percentuale 27 4" xfId="1441" xr:uid="{00000000-0005-0000-0000-0000E1970000}"/>
    <cellStyle name="Percentuale 27 4 2" xfId="19989" xr:uid="{00000000-0005-0000-0000-0000E2970000}"/>
    <cellStyle name="Percentuale 27 4 2 2" xfId="20995" xr:uid="{00000000-0005-0000-0000-0000E3970000}"/>
    <cellStyle name="Percentuale 27 4 3" xfId="20994" xr:uid="{00000000-0005-0000-0000-0000E4970000}"/>
    <cellStyle name="Percentuale 27 4 4" xfId="19988" xr:uid="{00000000-0005-0000-0000-0000E5970000}"/>
    <cellStyle name="Percentuale 27 4 5" xfId="11842" xr:uid="{00000000-0005-0000-0000-0000E6970000}"/>
    <cellStyle name="Percentuale 27 5" xfId="1442" xr:uid="{00000000-0005-0000-0000-0000E7970000}"/>
    <cellStyle name="Percentuale 27 5 2" xfId="11843" xr:uid="{00000000-0005-0000-0000-0000E8970000}"/>
    <cellStyle name="Percentuale 27 6" xfId="1443" xr:uid="{00000000-0005-0000-0000-0000E9970000}"/>
    <cellStyle name="Percentuale 27 6 2" xfId="21847" xr:uid="{00000000-0005-0000-0000-0000EA970000}"/>
    <cellStyle name="Percentuale 28" xfId="1444" xr:uid="{00000000-0005-0000-0000-0000EB970000}"/>
    <cellStyle name="Percentuale 28 2" xfId="1445" xr:uid="{00000000-0005-0000-0000-0000EC970000}"/>
    <cellStyle name="Percentuale 28 2 2" xfId="3761" xr:uid="{00000000-0005-0000-0000-0000ED970000}"/>
    <cellStyle name="Percentuale 28 3" xfId="1446" xr:uid="{00000000-0005-0000-0000-0000EE970000}"/>
    <cellStyle name="Percentuale 28 3 2" xfId="1447" xr:uid="{00000000-0005-0000-0000-0000EF970000}"/>
    <cellStyle name="Percentuale 28 3 3" xfId="19991" xr:uid="{00000000-0005-0000-0000-0000F0970000}"/>
    <cellStyle name="Percentuale 28 3 3 2" xfId="20997" xr:uid="{00000000-0005-0000-0000-0000F1970000}"/>
    <cellStyle name="Percentuale 28 3 4" xfId="20996" xr:uid="{00000000-0005-0000-0000-0000F2970000}"/>
    <cellStyle name="Percentuale 28 3 5" xfId="19990" xr:uid="{00000000-0005-0000-0000-0000F3970000}"/>
    <cellStyle name="Percentuale 28 4" xfId="1448" xr:uid="{00000000-0005-0000-0000-0000F4970000}"/>
    <cellStyle name="Percentuale 28 4 2" xfId="19993" xr:uid="{00000000-0005-0000-0000-0000F5970000}"/>
    <cellStyle name="Percentuale 28 4 2 2" xfId="20999" xr:uid="{00000000-0005-0000-0000-0000F6970000}"/>
    <cellStyle name="Percentuale 28 4 3" xfId="20998" xr:uid="{00000000-0005-0000-0000-0000F7970000}"/>
    <cellStyle name="Percentuale 28 4 4" xfId="19992" xr:uid="{00000000-0005-0000-0000-0000F8970000}"/>
    <cellStyle name="Percentuale 28 4 5" xfId="11844" xr:uid="{00000000-0005-0000-0000-0000F9970000}"/>
    <cellStyle name="Percentuale 28 5" xfId="1449" xr:uid="{00000000-0005-0000-0000-0000FA970000}"/>
    <cellStyle name="Percentuale 28 5 2" xfId="11845" xr:uid="{00000000-0005-0000-0000-0000FB970000}"/>
    <cellStyle name="Percentuale 28 6" xfId="1450" xr:uid="{00000000-0005-0000-0000-0000FC970000}"/>
    <cellStyle name="Percentuale 28 6 2" xfId="21848" xr:uid="{00000000-0005-0000-0000-0000FD970000}"/>
    <cellStyle name="Percentuale 29" xfId="1451" xr:uid="{00000000-0005-0000-0000-0000FE970000}"/>
    <cellStyle name="Percentuale 29 2" xfId="1452" xr:uid="{00000000-0005-0000-0000-0000FF970000}"/>
    <cellStyle name="Percentuale 29 2 2" xfId="3762" xr:uid="{00000000-0005-0000-0000-000000980000}"/>
    <cellStyle name="Percentuale 29 3" xfId="1453" xr:uid="{00000000-0005-0000-0000-000001980000}"/>
    <cellStyle name="Percentuale 29 3 2" xfId="1454" xr:uid="{00000000-0005-0000-0000-000002980000}"/>
    <cellStyle name="Percentuale 29 3 3" xfId="19995" xr:uid="{00000000-0005-0000-0000-000003980000}"/>
    <cellStyle name="Percentuale 29 3 3 2" xfId="21001" xr:uid="{00000000-0005-0000-0000-000004980000}"/>
    <cellStyle name="Percentuale 29 3 4" xfId="21000" xr:uid="{00000000-0005-0000-0000-000005980000}"/>
    <cellStyle name="Percentuale 29 3 5" xfId="19994" xr:uid="{00000000-0005-0000-0000-000006980000}"/>
    <cellStyle name="Percentuale 29 4" xfId="1455" xr:uid="{00000000-0005-0000-0000-000007980000}"/>
    <cellStyle name="Percentuale 29 4 2" xfId="19997" xr:uid="{00000000-0005-0000-0000-000008980000}"/>
    <cellStyle name="Percentuale 29 4 2 2" xfId="21003" xr:uid="{00000000-0005-0000-0000-000009980000}"/>
    <cellStyle name="Percentuale 29 4 3" xfId="21002" xr:uid="{00000000-0005-0000-0000-00000A980000}"/>
    <cellStyle name="Percentuale 29 4 4" xfId="19996" xr:uid="{00000000-0005-0000-0000-00000B980000}"/>
    <cellStyle name="Percentuale 29 4 5" xfId="11846" xr:uid="{00000000-0005-0000-0000-00000C980000}"/>
    <cellStyle name="Percentuale 29 5" xfId="1456" xr:uid="{00000000-0005-0000-0000-00000D980000}"/>
    <cellStyle name="Percentuale 29 5 2" xfId="11847" xr:uid="{00000000-0005-0000-0000-00000E980000}"/>
    <cellStyle name="Percentuale 29 6" xfId="1457" xr:uid="{00000000-0005-0000-0000-00000F980000}"/>
    <cellStyle name="Percentuale 29 6 2" xfId="21849" xr:uid="{00000000-0005-0000-0000-000010980000}"/>
    <cellStyle name="Percentuale 3" xfId="1458" xr:uid="{00000000-0005-0000-0000-000011980000}"/>
    <cellStyle name="Percentuale 3 2" xfId="1459" xr:uid="{00000000-0005-0000-0000-000012980000}"/>
    <cellStyle name="Percentuale 3 2 2" xfId="3763" xr:uid="{00000000-0005-0000-0000-000013980000}"/>
    <cellStyle name="Percentuale 3 3" xfId="1460" xr:uid="{00000000-0005-0000-0000-000014980000}"/>
    <cellStyle name="Percentuale 3 3 2" xfId="1461" xr:uid="{00000000-0005-0000-0000-000015980000}"/>
    <cellStyle name="Percentuale 3 3 3" xfId="19999" xr:uid="{00000000-0005-0000-0000-000016980000}"/>
    <cellStyle name="Percentuale 3 3 3 2" xfId="21005" xr:uid="{00000000-0005-0000-0000-000017980000}"/>
    <cellStyle name="Percentuale 3 3 4" xfId="21004" xr:uid="{00000000-0005-0000-0000-000018980000}"/>
    <cellStyle name="Percentuale 3 3 5" xfId="19998" xr:uid="{00000000-0005-0000-0000-000019980000}"/>
    <cellStyle name="Percentuale 3 4" xfId="1462" xr:uid="{00000000-0005-0000-0000-00001A980000}"/>
    <cellStyle name="Percentuale 3 4 2" xfId="20001" xr:uid="{00000000-0005-0000-0000-00001B980000}"/>
    <cellStyle name="Percentuale 3 4 2 2" xfId="21007" xr:uid="{00000000-0005-0000-0000-00001C980000}"/>
    <cellStyle name="Percentuale 3 4 3" xfId="21006" xr:uid="{00000000-0005-0000-0000-00001D980000}"/>
    <cellStyle name="Percentuale 3 4 4" xfId="20000" xr:uid="{00000000-0005-0000-0000-00001E980000}"/>
    <cellStyle name="Percentuale 3 4 5" xfId="11848" xr:uid="{00000000-0005-0000-0000-00001F980000}"/>
    <cellStyle name="Percentuale 3 5" xfId="1463" xr:uid="{00000000-0005-0000-0000-000020980000}"/>
    <cellStyle name="Percentuale 3 5 2" xfId="11849" xr:uid="{00000000-0005-0000-0000-000021980000}"/>
    <cellStyle name="Percentuale 3 6" xfId="1464" xr:uid="{00000000-0005-0000-0000-000022980000}"/>
    <cellStyle name="Percentuale 3 6 2" xfId="21850" xr:uid="{00000000-0005-0000-0000-000023980000}"/>
    <cellStyle name="Percentuale 30" xfId="1465" xr:uid="{00000000-0005-0000-0000-000024980000}"/>
    <cellStyle name="Percentuale 30 2" xfId="1466" xr:uid="{00000000-0005-0000-0000-000025980000}"/>
    <cellStyle name="Percentuale 30 2 2" xfId="3764" xr:uid="{00000000-0005-0000-0000-000026980000}"/>
    <cellStyle name="Percentuale 30 3" xfId="1467" xr:uid="{00000000-0005-0000-0000-000027980000}"/>
    <cellStyle name="Percentuale 30 3 2" xfId="1468" xr:uid="{00000000-0005-0000-0000-000028980000}"/>
    <cellStyle name="Percentuale 30 3 3" xfId="20003" xr:uid="{00000000-0005-0000-0000-000029980000}"/>
    <cellStyle name="Percentuale 30 3 3 2" xfId="21009" xr:uid="{00000000-0005-0000-0000-00002A980000}"/>
    <cellStyle name="Percentuale 30 3 4" xfId="21008" xr:uid="{00000000-0005-0000-0000-00002B980000}"/>
    <cellStyle name="Percentuale 30 3 5" xfId="20002" xr:uid="{00000000-0005-0000-0000-00002C980000}"/>
    <cellStyle name="Percentuale 30 4" xfId="1469" xr:uid="{00000000-0005-0000-0000-00002D980000}"/>
    <cellStyle name="Percentuale 30 4 2" xfId="20005" xr:uid="{00000000-0005-0000-0000-00002E980000}"/>
    <cellStyle name="Percentuale 30 4 2 2" xfId="21011" xr:uid="{00000000-0005-0000-0000-00002F980000}"/>
    <cellStyle name="Percentuale 30 4 3" xfId="21010" xr:uid="{00000000-0005-0000-0000-000030980000}"/>
    <cellStyle name="Percentuale 30 4 4" xfId="20004" xr:uid="{00000000-0005-0000-0000-000031980000}"/>
    <cellStyle name="Percentuale 30 4 5" xfId="11850" xr:uid="{00000000-0005-0000-0000-000032980000}"/>
    <cellStyle name="Percentuale 30 5" xfId="1470" xr:uid="{00000000-0005-0000-0000-000033980000}"/>
    <cellStyle name="Percentuale 30 5 2" xfId="11851" xr:uid="{00000000-0005-0000-0000-000034980000}"/>
    <cellStyle name="Percentuale 30 6" xfId="1471" xr:uid="{00000000-0005-0000-0000-000035980000}"/>
    <cellStyle name="Percentuale 30 6 2" xfId="21851" xr:uid="{00000000-0005-0000-0000-000036980000}"/>
    <cellStyle name="Percentuale 31" xfId="1472" xr:uid="{00000000-0005-0000-0000-000037980000}"/>
    <cellStyle name="Percentuale 31 2" xfId="1473" xr:uid="{00000000-0005-0000-0000-000038980000}"/>
    <cellStyle name="Percentuale 31 2 2" xfId="3765" xr:uid="{00000000-0005-0000-0000-000039980000}"/>
    <cellStyle name="Percentuale 31 3" xfId="1474" xr:uid="{00000000-0005-0000-0000-00003A980000}"/>
    <cellStyle name="Percentuale 31 3 2" xfId="1475" xr:uid="{00000000-0005-0000-0000-00003B980000}"/>
    <cellStyle name="Percentuale 31 3 3" xfId="20007" xr:uid="{00000000-0005-0000-0000-00003C980000}"/>
    <cellStyle name="Percentuale 31 3 3 2" xfId="21013" xr:uid="{00000000-0005-0000-0000-00003D980000}"/>
    <cellStyle name="Percentuale 31 3 4" xfId="21012" xr:uid="{00000000-0005-0000-0000-00003E980000}"/>
    <cellStyle name="Percentuale 31 3 5" xfId="20006" xr:uid="{00000000-0005-0000-0000-00003F980000}"/>
    <cellStyle name="Percentuale 31 4" xfId="1476" xr:uid="{00000000-0005-0000-0000-000040980000}"/>
    <cellStyle name="Percentuale 31 4 2" xfId="20009" xr:uid="{00000000-0005-0000-0000-000041980000}"/>
    <cellStyle name="Percentuale 31 4 2 2" xfId="21015" xr:uid="{00000000-0005-0000-0000-000042980000}"/>
    <cellStyle name="Percentuale 31 4 3" xfId="21014" xr:uid="{00000000-0005-0000-0000-000043980000}"/>
    <cellStyle name="Percentuale 31 4 4" xfId="20008" xr:uid="{00000000-0005-0000-0000-000044980000}"/>
    <cellStyle name="Percentuale 31 4 5" xfId="11852" xr:uid="{00000000-0005-0000-0000-000045980000}"/>
    <cellStyle name="Percentuale 31 5" xfId="1477" xr:uid="{00000000-0005-0000-0000-000046980000}"/>
    <cellStyle name="Percentuale 31 5 2" xfId="11853" xr:uid="{00000000-0005-0000-0000-000047980000}"/>
    <cellStyle name="Percentuale 31 6" xfId="1478" xr:uid="{00000000-0005-0000-0000-000048980000}"/>
    <cellStyle name="Percentuale 31 6 2" xfId="21852" xr:uid="{00000000-0005-0000-0000-000049980000}"/>
    <cellStyle name="Percentuale 32" xfId="1479" xr:uid="{00000000-0005-0000-0000-00004A980000}"/>
    <cellStyle name="Percentuale 32 2" xfId="1480" xr:uid="{00000000-0005-0000-0000-00004B980000}"/>
    <cellStyle name="Percentuale 32 2 2" xfId="3766" xr:uid="{00000000-0005-0000-0000-00004C980000}"/>
    <cellStyle name="Percentuale 32 3" xfId="1481" xr:uid="{00000000-0005-0000-0000-00004D980000}"/>
    <cellStyle name="Percentuale 32 3 2" xfId="1482" xr:uid="{00000000-0005-0000-0000-00004E980000}"/>
    <cellStyle name="Percentuale 32 3 3" xfId="20011" xr:uid="{00000000-0005-0000-0000-00004F980000}"/>
    <cellStyle name="Percentuale 32 3 3 2" xfId="21017" xr:uid="{00000000-0005-0000-0000-000050980000}"/>
    <cellStyle name="Percentuale 32 3 4" xfId="21016" xr:uid="{00000000-0005-0000-0000-000051980000}"/>
    <cellStyle name="Percentuale 32 3 5" xfId="20010" xr:uid="{00000000-0005-0000-0000-000052980000}"/>
    <cellStyle name="Percentuale 32 4" xfId="1483" xr:uid="{00000000-0005-0000-0000-000053980000}"/>
    <cellStyle name="Percentuale 32 4 2" xfId="20013" xr:uid="{00000000-0005-0000-0000-000054980000}"/>
    <cellStyle name="Percentuale 32 4 2 2" xfId="21019" xr:uid="{00000000-0005-0000-0000-000055980000}"/>
    <cellStyle name="Percentuale 32 4 3" xfId="21018" xr:uid="{00000000-0005-0000-0000-000056980000}"/>
    <cellStyle name="Percentuale 32 4 4" xfId="20012" xr:uid="{00000000-0005-0000-0000-000057980000}"/>
    <cellStyle name="Percentuale 32 4 5" xfId="11854" xr:uid="{00000000-0005-0000-0000-000058980000}"/>
    <cellStyle name="Percentuale 32 5" xfId="1484" xr:uid="{00000000-0005-0000-0000-000059980000}"/>
    <cellStyle name="Percentuale 32 5 2" xfId="11855" xr:uid="{00000000-0005-0000-0000-00005A980000}"/>
    <cellStyle name="Percentuale 32 6" xfId="1485" xr:uid="{00000000-0005-0000-0000-00005B980000}"/>
    <cellStyle name="Percentuale 32 6 2" xfId="21853" xr:uid="{00000000-0005-0000-0000-00005C980000}"/>
    <cellStyle name="Percentuale 33" xfId="1486" xr:uid="{00000000-0005-0000-0000-00005D980000}"/>
    <cellStyle name="Percentuale 33 2" xfId="1487" xr:uid="{00000000-0005-0000-0000-00005E980000}"/>
    <cellStyle name="Percentuale 33 2 2" xfId="3767" xr:uid="{00000000-0005-0000-0000-00005F980000}"/>
    <cellStyle name="Percentuale 33 3" xfId="1488" xr:uid="{00000000-0005-0000-0000-000060980000}"/>
    <cellStyle name="Percentuale 33 3 2" xfId="1489" xr:uid="{00000000-0005-0000-0000-000061980000}"/>
    <cellStyle name="Percentuale 33 3 3" xfId="20015" xr:uid="{00000000-0005-0000-0000-000062980000}"/>
    <cellStyle name="Percentuale 33 3 3 2" xfId="21021" xr:uid="{00000000-0005-0000-0000-000063980000}"/>
    <cellStyle name="Percentuale 33 3 4" xfId="21020" xr:uid="{00000000-0005-0000-0000-000064980000}"/>
    <cellStyle name="Percentuale 33 3 5" xfId="20014" xr:uid="{00000000-0005-0000-0000-000065980000}"/>
    <cellStyle name="Percentuale 33 4" xfId="1490" xr:uid="{00000000-0005-0000-0000-000066980000}"/>
    <cellStyle name="Percentuale 33 4 2" xfId="20017" xr:uid="{00000000-0005-0000-0000-000067980000}"/>
    <cellStyle name="Percentuale 33 4 2 2" xfId="21023" xr:uid="{00000000-0005-0000-0000-000068980000}"/>
    <cellStyle name="Percentuale 33 4 3" xfId="21022" xr:uid="{00000000-0005-0000-0000-000069980000}"/>
    <cellStyle name="Percentuale 33 4 4" xfId="20016" xr:uid="{00000000-0005-0000-0000-00006A980000}"/>
    <cellStyle name="Percentuale 33 4 5" xfId="11856" xr:uid="{00000000-0005-0000-0000-00006B980000}"/>
    <cellStyle name="Percentuale 33 5" xfId="1491" xr:uid="{00000000-0005-0000-0000-00006C980000}"/>
    <cellStyle name="Percentuale 33 5 2" xfId="11857" xr:uid="{00000000-0005-0000-0000-00006D980000}"/>
    <cellStyle name="Percentuale 33 6" xfId="1492" xr:uid="{00000000-0005-0000-0000-00006E980000}"/>
    <cellStyle name="Percentuale 33 6 2" xfId="21854" xr:uid="{00000000-0005-0000-0000-00006F980000}"/>
    <cellStyle name="Percentuale 34" xfId="1493" xr:uid="{00000000-0005-0000-0000-000070980000}"/>
    <cellStyle name="Percentuale 34 2" xfId="1494" xr:uid="{00000000-0005-0000-0000-000071980000}"/>
    <cellStyle name="Percentuale 34 2 2" xfId="3768" xr:uid="{00000000-0005-0000-0000-000072980000}"/>
    <cellStyle name="Percentuale 34 3" xfId="1495" xr:uid="{00000000-0005-0000-0000-000073980000}"/>
    <cellStyle name="Percentuale 34 3 2" xfId="1496" xr:uid="{00000000-0005-0000-0000-000074980000}"/>
    <cellStyle name="Percentuale 34 3 3" xfId="20019" xr:uid="{00000000-0005-0000-0000-000075980000}"/>
    <cellStyle name="Percentuale 34 3 3 2" xfId="21025" xr:uid="{00000000-0005-0000-0000-000076980000}"/>
    <cellStyle name="Percentuale 34 3 4" xfId="21024" xr:uid="{00000000-0005-0000-0000-000077980000}"/>
    <cellStyle name="Percentuale 34 3 5" xfId="20018" xr:uid="{00000000-0005-0000-0000-000078980000}"/>
    <cellStyle name="Percentuale 34 4" xfId="1497" xr:uid="{00000000-0005-0000-0000-000079980000}"/>
    <cellStyle name="Percentuale 34 4 2" xfId="20021" xr:uid="{00000000-0005-0000-0000-00007A980000}"/>
    <cellStyle name="Percentuale 34 4 2 2" xfId="21027" xr:uid="{00000000-0005-0000-0000-00007B980000}"/>
    <cellStyle name="Percentuale 34 4 3" xfId="21026" xr:uid="{00000000-0005-0000-0000-00007C980000}"/>
    <cellStyle name="Percentuale 34 4 4" xfId="20020" xr:uid="{00000000-0005-0000-0000-00007D980000}"/>
    <cellStyle name="Percentuale 34 4 5" xfId="11858" xr:uid="{00000000-0005-0000-0000-00007E980000}"/>
    <cellStyle name="Percentuale 34 5" xfId="1498" xr:uid="{00000000-0005-0000-0000-00007F980000}"/>
    <cellStyle name="Percentuale 34 5 2" xfId="11859" xr:uid="{00000000-0005-0000-0000-000080980000}"/>
    <cellStyle name="Percentuale 34 6" xfId="1499" xr:uid="{00000000-0005-0000-0000-000081980000}"/>
    <cellStyle name="Percentuale 34 6 2" xfId="21855" xr:uid="{00000000-0005-0000-0000-000082980000}"/>
    <cellStyle name="Percentuale 35" xfId="1500" xr:uid="{00000000-0005-0000-0000-000083980000}"/>
    <cellStyle name="Percentuale 35 2" xfId="1501" xr:uid="{00000000-0005-0000-0000-000084980000}"/>
    <cellStyle name="Percentuale 35 2 2" xfId="3769" xr:uid="{00000000-0005-0000-0000-000085980000}"/>
    <cellStyle name="Percentuale 35 3" xfId="1502" xr:uid="{00000000-0005-0000-0000-000086980000}"/>
    <cellStyle name="Percentuale 35 3 2" xfId="1503" xr:uid="{00000000-0005-0000-0000-000087980000}"/>
    <cellStyle name="Percentuale 35 3 3" xfId="20023" xr:uid="{00000000-0005-0000-0000-000088980000}"/>
    <cellStyle name="Percentuale 35 3 3 2" xfId="21029" xr:uid="{00000000-0005-0000-0000-000089980000}"/>
    <cellStyle name="Percentuale 35 3 4" xfId="21028" xr:uid="{00000000-0005-0000-0000-00008A980000}"/>
    <cellStyle name="Percentuale 35 3 5" xfId="20022" xr:uid="{00000000-0005-0000-0000-00008B980000}"/>
    <cellStyle name="Percentuale 35 4" xfId="1504" xr:uid="{00000000-0005-0000-0000-00008C980000}"/>
    <cellStyle name="Percentuale 35 4 2" xfId="20025" xr:uid="{00000000-0005-0000-0000-00008D980000}"/>
    <cellStyle name="Percentuale 35 4 2 2" xfId="21031" xr:uid="{00000000-0005-0000-0000-00008E980000}"/>
    <cellStyle name="Percentuale 35 4 3" xfId="21030" xr:uid="{00000000-0005-0000-0000-00008F980000}"/>
    <cellStyle name="Percentuale 35 4 4" xfId="20024" xr:uid="{00000000-0005-0000-0000-000090980000}"/>
    <cellStyle name="Percentuale 35 4 5" xfId="11860" xr:uid="{00000000-0005-0000-0000-000091980000}"/>
    <cellStyle name="Percentuale 35 5" xfId="1505" xr:uid="{00000000-0005-0000-0000-000092980000}"/>
    <cellStyle name="Percentuale 35 5 2" xfId="11861" xr:uid="{00000000-0005-0000-0000-000093980000}"/>
    <cellStyle name="Percentuale 35 6" xfId="1506" xr:uid="{00000000-0005-0000-0000-000094980000}"/>
    <cellStyle name="Percentuale 35 6 2" xfId="21856" xr:uid="{00000000-0005-0000-0000-000095980000}"/>
    <cellStyle name="Percentuale 36" xfId="1507" xr:uid="{00000000-0005-0000-0000-000096980000}"/>
    <cellStyle name="Percentuale 36 2" xfId="1508" xr:uid="{00000000-0005-0000-0000-000097980000}"/>
    <cellStyle name="Percentuale 36 2 2" xfId="3770" xr:uid="{00000000-0005-0000-0000-000098980000}"/>
    <cellStyle name="Percentuale 36 3" xfId="1509" xr:uid="{00000000-0005-0000-0000-000099980000}"/>
    <cellStyle name="Percentuale 36 3 2" xfId="1510" xr:uid="{00000000-0005-0000-0000-00009A980000}"/>
    <cellStyle name="Percentuale 36 3 3" xfId="20027" xr:uid="{00000000-0005-0000-0000-00009B980000}"/>
    <cellStyle name="Percentuale 36 3 3 2" xfId="21033" xr:uid="{00000000-0005-0000-0000-00009C980000}"/>
    <cellStyle name="Percentuale 36 3 4" xfId="21032" xr:uid="{00000000-0005-0000-0000-00009D980000}"/>
    <cellStyle name="Percentuale 36 3 5" xfId="20026" xr:uid="{00000000-0005-0000-0000-00009E980000}"/>
    <cellStyle name="Percentuale 36 4" xfId="1511" xr:uid="{00000000-0005-0000-0000-00009F980000}"/>
    <cellStyle name="Percentuale 36 4 2" xfId="20029" xr:uid="{00000000-0005-0000-0000-0000A0980000}"/>
    <cellStyle name="Percentuale 36 4 2 2" xfId="21035" xr:uid="{00000000-0005-0000-0000-0000A1980000}"/>
    <cellStyle name="Percentuale 36 4 3" xfId="21034" xr:uid="{00000000-0005-0000-0000-0000A2980000}"/>
    <cellStyle name="Percentuale 36 4 4" xfId="20028" xr:uid="{00000000-0005-0000-0000-0000A3980000}"/>
    <cellStyle name="Percentuale 36 4 5" xfId="11862" xr:uid="{00000000-0005-0000-0000-0000A4980000}"/>
    <cellStyle name="Percentuale 36 5" xfId="1512" xr:uid="{00000000-0005-0000-0000-0000A5980000}"/>
    <cellStyle name="Percentuale 36 5 2" xfId="11863" xr:uid="{00000000-0005-0000-0000-0000A6980000}"/>
    <cellStyle name="Percentuale 36 6" xfId="1513" xr:uid="{00000000-0005-0000-0000-0000A7980000}"/>
    <cellStyle name="Percentuale 36 6 2" xfId="21857" xr:uid="{00000000-0005-0000-0000-0000A8980000}"/>
    <cellStyle name="Percentuale 37" xfId="1514" xr:uid="{00000000-0005-0000-0000-0000A9980000}"/>
    <cellStyle name="Percentuale 37 2" xfId="1515" xr:uid="{00000000-0005-0000-0000-0000AA980000}"/>
    <cellStyle name="Percentuale 37 2 2" xfId="3771" xr:uid="{00000000-0005-0000-0000-0000AB980000}"/>
    <cellStyle name="Percentuale 37 3" xfId="1516" xr:uid="{00000000-0005-0000-0000-0000AC980000}"/>
    <cellStyle name="Percentuale 37 3 2" xfId="1517" xr:uid="{00000000-0005-0000-0000-0000AD980000}"/>
    <cellStyle name="Percentuale 37 3 3" xfId="20031" xr:uid="{00000000-0005-0000-0000-0000AE980000}"/>
    <cellStyle name="Percentuale 37 3 3 2" xfId="21037" xr:uid="{00000000-0005-0000-0000-0000AF980000}"/>
    <cellStyle name="Percentuale 37 3 4" xfId="21036" xr:uid="{00000000-0005-0000-0000-0000B0980000}"/>
    <cellStyle name="Percentuale 37 3 5" xfId="20030" xr:uid="{00000000-0005-0000-0000-0000B1980000}"/>
    <cellStyle name="Percentuale 37 4" xfId="1518" xr:uid="{00000000-0005-0000-0000-0000B2980000}"/>
    <cellStyle name="Percentuale 37 4 2" xfId="20033" xr:uid="{00000000-0005-0000-0000-0000B3980000}"/>
    <cellStyle name="Percentuale 37 4 2 2" xfId="21039" xr:uid="{00000000-0005-0000-0000-0000B4980000}"/>
    <cellStyle name="Percentuale 37 4 3" xfId="21038" xr:uid="{00000000-0005-0000-0000-0000B5980000}"/>
    <cellStyle name="Percentuale 37 4 4" xfId="20032" xr:uid="{00000000-0005-0000-0000-0000B6980000}"/>
    <cellStyle name="Percentuale 37 4 5" xfId="11864" xr:uid="{00000000-0005-0000-0000-0000B7980000}"/>
    <cellStyle name="Percentuale 37 5" xfId="1519" xr:uid="{00000000-0005-0000-0000-0000B8980000}"/>
    <cellStyle name="Percentuale 37 5 2" xfId="11865" xr:uid="{00000000-0005-0000-0000-0000B9980000}"/>
    <cellStyle name="Percentuale 37 6" xfId="1520" xr:uid="{00000000-0005-0000-0000-0000BA980000}"/>
    <cellStyle name="Percentuale 37 6 2" xfId="21858" xr:uid="{00000000-0005-0000-0000-0000BB980000}"/>
    <cellStyle name="Percentuale 38" xfId="1521" xr:uid="{00000000-0005-0000-0000-0000BC980000}"/>
    <cellStyle name="Percentuale 38 2" xfId="1522" xr:uid="{00000000-0005-0000-0000-0000BD980000}"/>
    <cellStyle name="Percentuale 38 2 2" xfId="3772" xr:uid="{00000000-0005-0000-0000-0000BE980000}"/>
    <cellStyle name="Percentuale 38 3" xfId="1523" xr:uid="{00000000-0005-0000-0000-0000BF980000}"/>
    <cellStyle name="Percentuale 38 3 2" xfId="1524" xr:uid="{00000000-0005-0000-0000-0000C0980000}"/>
    <cellStyle name="Percentuale 38 3 3" xfId="20035" xr:uid="{00000000-0005-0000-0000-0000C1980000}"/>
    <cellStyle name="Percentuale 38 3 3 2" xfId="21041" xr:uid="{00000000-0005-0000-0000-0000C2980000}"/>
    <cellStyle name="Percentuale 38 3 4" xfId="21040" xr:uid="{00000000-0005-0000-0000-0000C3980000}"/>
    <cellStyle name="Percentuale 38 3 5" xfId="20034" xr:uid="{00000000-0005-0000-0000-0000C4980000}"/>
    <cellStyle name="Percentuale 38 4" xfId="1525" xr:uid="{00000000-0005-0000-0000-0000C5980000}"/>
    <cellStyle name="Percentuale 38 4 2" xfId="20037" xr:uid="{00000000-0005-0000-0000-0000C6980000}"/>
    <cellStyle name="Percentuale 38 4 2 2" xfId="21043" xr:uid="{00000000-0005-0000-0000-0000C7980000}"/>
    <cellStyle name="Percentuale 38 4 3" xfId="21042" xr:uid="{00000000-0005-0000-0000-0000C8980000}"/>
    <cellStyle name="Percentuale 38 4 4" xfId="20036" xr:uid="{00000000-0005-0000-0000-0000C9980000}"/>
    <cellStyle name="Percentuale 38 4 5" xfId="11866" xr:uid="{00000000-0005-0000-0000-0000CA980000}"/>
    <cellStyle name="Percentuale 38 5" xfId="1526" xr:uid="{00000000-0005-0000-0000-0000CB980000}"/>
    <cellStyle name="Percentuale 38 5 2" xfId="11867" xr:uid="{00000000-0005-0000-0000-0000CC980000}"/>
    <cellStyle name="Percentuale 38 6" xfId="1527" xr:uid="{00000000-0005-0000-0000-0000CD980000}"/>
    <cellStyle name="Percentuale 38 6 2" xfId="21859" xr:uid="{00000000-0005-0000-0000-0000CE980000}"/>
    <cellStyle name="Percentuale 39" xfId="1528" xr:uid="{00000000-0005-0000-0000-0000CF980000}"/>
    <cellStyle name="Percentuale 39 2" xfId="1529" xr:uid="{00000000-0005-0000-0000-0000D0980000}"/>
    <cellStyle name="Percentuale 39 2 2" xfId="3773" xr:uid="{00000000-0005-0000-0000-0000D1980000}"/>
    <cellStyle name="Percentuale 39 3" xfId="1530" xr:uid="{00000000-0005-0000-0000-0000D2980000}"/>
    <cellStyle name="Percentuale 39 3 2" xfId="1531" xr:uid="{00000000-0005-0000-0000-0000D3980000}"/>
    <cellStyle name="Percentuale 39 3 3" xfId="20039" xr:uid="{00000000-0005-0000-0000-0000D4980000}"/>
    <cellStyle name="Percentuale 39 3 3 2" xfId="21045" xr:uid="{00000000-0005-0000-0000-0000D5980000}"/>
    <cellStyle name="Percentuale 39 3 4" xfId="21044" xr:uid="{00000000-0005-0000-0000-0000D6980000}"/>
    <cellStyle name="Percentuale 39 3 5" xfId="20038" xr:uid="{00000000-0005-0000-0000-0000D7980000}"/>
    <cellStyle name="Percentuale 39 4" xfId="1532" xr:uid="{00000000-0005-0000-0000-0000D8980000}"/>
    <cellStyle name="Percentuale 39 4 2" xfId="20041" xr:uid="{00000000-0005-0000-0000-0000D9980000}"/>
    <cellStyle name="Percentuale 39 4 2 2" xfId="21047" xr:uid="{00000000-0005-0000-0000-0000DA980000}"/>
    <cellStyle name="Percentuale 39 4 3" xfId="21046" xr:uid="{00000000-0005-0000-0000-0000DB980000}"/>
    <cellStyle name="Percentuale 39 4 4" xfId="20040" xr:uid="{00000000-0005-0000-0000-0000DC980000}"/>
    <cellStyle name="Percentuale 39 4 5" xfId="11868" xr:uid="{00000000-0005-0000-0000-0000DD980000}"/>
    <cellStyle name="Percentuale 39 5" xfId="1533" xr:uid="{00000000-0005-0000-0000-0000DE980000}"/>
    <cellStyle name="Percentuale 39 5 2" xfId="11869" xr:uid="{00000000-0005-0000-0000-0000DF980000}"/>
    <cellStyle name="Percentuale 39 6" xfId="1534" xr:uid="{00000000-0005-0000-0000-0000E0980000}"/>
    <cellStyle name="Percentuale 39 6 2" xfId="21860" xr:uid="{00000000-0005-0000-0000-0000E1980000}"/>
    <cellStyle name="Percentuale 4" xfId="1535" xr:uid="{00000000-0005-0000-0000-0000E2980000}"/>
    <cellStyle name="Percentuale 4 2" xfId="1536" xr:uid="{00000000-0005-0000-0000-0000E3980000}"/>
    <cellStyle name="Percentuale 4 2 2" xfId="3774" xr:uid="{00000000-0005-0000-0000-0000E4980000}"/>
    <cellStyle name="Percentuale 4 3" xfId="1537" xr:uid="{00000000-0005-0000-0000-0000E5980000}"/>
    <cellStyle name="Percentuale 4 3 2" xfId="1538" xr:uid="{00000000-0005-0000-0000-0000E6980000}"/>
    <cellStyle name="Percentuale 4 3 3" xfId="20043" xr:uid="{00000000-0005-0000-0000-0000E7980000}"/>
    <cellStyle name="Percentuale 4 3 3 2" xfId="21049" xr:uid="{00000000-0005-0000-0000-0000E8980000}"/>
    <cellStyle name="Percentuale 4 3 4" xfId="21048" xr:uid="{00000000-0005-0000-0000-0000E9980000}"/>
    <cellStyle name="Percentuale 4 3 5" xfId="20042" xr:uid="{00000000-0005-0000-0000-0000EA980000}"/>
    <cellStyle name="Percentuale 4 4" xfId="1539" xr:uid="{00000000-0005-0000-0000-0000EB980000}"/>
    <cellStyle name="Percentuale 4 4 2" xfId="20045" xr:uid="{00000000-0005-0000-0000-0000EC980000}"/>
    <cellStyle name="Percentuale 4 4 2 2" xfId="21051" xr:uid="{00000000-0005-0000-0000-0000ED980000}"/>
    <cellStyle name="Percentuale 4 4 3" xfId="21050" xr:uid="{00000000-0005-0000-0000-0000EE980000}"/>
    <cellStyle name="Percentuale 4 4 4" xfId="20044" xr:uid="{00000000-0005-0000-0000-0000EF980000}"/>
    <cellStyle name="Percentuale 4 4 5" xfId="11870" xr:uid="{00000000-0005-0000-0000-0000F0980000}"/>
    <cellStyle name="Percentuale 4 5" xfId="1540" xr:uid="{00000000-0005-0000-0000-0000F1980000}"/>
    <cellStyle name="Percentuale 4 5 2" xfId="11871" xr:uid="{00000000-0005-0000-0000-0000F2980000}"/>
    <cellStyle name="Percentuale 4 6" xfId="1541" xr:uid="{00000000-0005-0000-0000-0000F3980000}"/>
    <cellStyle name="Percentuale 4 6 2" xfId="21861" xr:uid="{00000000-0005-0000-0000-0000F4980000}"/>
    <cellStyle name="Percentuale 40" xfId="1542" xr:uid="{00000000-0005-0000-0000-0000F5980000}"/>
    <cellStyle name="Percentuale 40 2" xfId="1543" xr:uid="{00000000-0005-0000-0000-0000F6980000}"/>
    <cellStyle name="Percentuale 40 2 2" xfId="3775" xr:uid="{00000000-0005-0000-0000-0000F7980000}"/>
    <cellStyle name="Percentuale 40 3" xfId="1544" xr:uid="{00000000-0005-0000-0000-0000F8980000}"/>
    <cellStyle name="Percentuale 40 3 2" xfId="1545" xr:uid="{00000000-0005-0000-0000-0000F9980000}"/>
    <cellStyle name="Percentuale 40 3 3" xfId="20047" xr:uid="{00000000-0005-0000-0000-0000FA980000}"/>
    <cellStyle name="Percentuale 40 3 3 2" xfId="21053" xr:uid="{00000000-0005-0000-0000-0000FB980000}"/>
    <cellStyle name="Percentuale 40 3 4" xfId="21052" xr:uid="{00000000-0005-0000-0000-0000FC980000}"/>
    <cellStyle name="Percentuale 40 3 5" xfId="20046" xr:uid="{00000000-0005-0000-0000-0000FD980000}"/>
    <cellStyle name="Percentuale 40 4" xfId="1546" xr:uid="{00000000-0005-0000-0000-0000FE980000}"/>
    <cellStyle name="Percentuale 40 4 2" xfId="20049" xr:uid="{00000000-0005-0000-0000-0000FF980000}"/>
    <cellStyle name="Percentuale 40 4 2 2" xfId="21055" xr:uid="{00000000-0005-0000-0000-000000990000}"/>
    <cellStyle name="Percentuale 40 4 3" xfId="21054" xr:uid="{00000000-0005-0000-0000-000001990000}"/>
    <cellStyle name="Percentuale 40 4 4" xfId="20048" xr:uid="{00000000-0005-0000-0000-000002990000}"/>
    <cellStyle name="Percentuale 40 4 5" xfId="11872" xr:uid="{00000000-0005-0000-0000-000003990000}"/>
    <cellStyle name="Percentuale 40 5" xfId="1547" xr:uid="{00000000-0005-0000-0000-000004990000}"/>
    <cellStyle name="Percentuale 40 5 2" xfId="11873" xr:uid="{00000000-0005-0000-0000-000005990000}"/>
    <cellStyle name="Percentuale 40 6" xfId="1548" xr:uid="{00000000-0005-0000-0000-000006990000}"/>
    <cellStyle name="Percentuale 40 6 2" xfId="21862" xr:uid="{00000000-0005-0000-0000-000007990000}"/>
    <cellStyle name="Percentuale 41" xfId="1549" xr:uid="{00000000-0005-0000-0000-000008990000}"/>
    <cellStyle name="Percentuale 41 2" xfId="1550" xr:uid="{00000000-0005-0000-0000-000009990000}"/>
    <cellStyle name="Percentuale 41 2 2" xfId="3776" xr:uid="{00000000-0005-0000-0000-00000A990000}"/>
    <cellStyle name="Percentuale 41 3" xfId="1551" xr:uid="{00000000-0005-0000-0000-00000B990000}"/>
    <cellStyle name="Percentuale 41 3 2" xfId="1552" xr:uid="{00000000-0005-0000-0000-00000C990000}"/>
    <cellStyle name="Percentuale 41 3 3" xfId="20051" xr:uid="{00000000-0005-0000-0000-00000D990000}"/>
    <cellStyle name="Percentuale 41 3 3 2" xfId="21057" xr:uid="{00000000-0005-0000-0000-00000E990000}"/>
    <cellStyle name="Percentuale 41 3 4" xfId="21056" xr:uid="{00000000-0005-0000-0000-00000F990000}"/>
    <cellStyle name="Percentuale 41 3 5" xfId="20050" xr:uid="{00000000-0005-0000-0000-000010990000}"/>
    <cellStyle name="Percentuale 41 4" xfId="1553" xr:uid="{00000000-0005-0000-0000-000011990000}"/>
    <cellStyle name="Percentuale 41 4 2" xfId="20053" xr:uid="{00000000-0005-0000-0000-000012990000}"/>
    <cellStyle name="Percentuale 41 4 2 2" xfId="21059" xr:uid="{00000000-0005-0000-0000-000013990000}"/>
    <cellStyle name="Percentuale 41 4 3" xfId="21058" xr:uid="{00000000-0005-0000-0000-000014990000}"/>
    <cellStyle name="Percentuale 41 4 4" xfId="20052" xr:uid="{00000000-0005-0000-0000-000015990000}"/>
    <cellStyle name="Percentuale 41 4 5" xfId="11874" xr:uid="{00000000-0005-0000-0000-000016990000}"/>
    <cellStyle name="Percentuale 41 5" xfId="1554" xr:uid="{00000000-0005-0000-0000-000017990000}"/>
    <cellStyle name="Percentuale 41 5 2" xfId="11875" xr:uid="{00000000-0005-0000-0000-000018990000}"/>
    <cellStyle name="Percentuale 41 6" xfId="1555" xr:uid="{00000000-0005-0000-0000-000019990000}"/>
    <cellStyle name="Percentuale 41 6 2" xfId="21863" xr:uid="{00000000-0005-0000-0000-00001A990000}"/>
    <cellStyle name="Percentuale 42" xfId="1556" xr:uid="{00000000-0005-0000-0000-00001B990000}"/>
    <cellStyle name="Percentuale 42 2" xfId="1557" xr:uid="{00000000-0005-0000-0000-00001C990000}"/>
    <cellStyle name="Percentuale 42 2 2" xfId="3777" xr:uid="{00000000-0005-0000-0000-00001D990000}"/>
    <cellStyle name="Percentuale 42 3" xfId="1558" xr:uid="{00000000-0005-0000-0000-00001E990000}"/>
    <cellStyle name="Percentuale 42 3 2" xfId="1559" xr:uid="{00000000-0005-0000-0000-00001F990000}"/>
    <cellStyle name="Percentuale 42 3 3" xfId="20055" xr:uid="{00000000-0005-0000-0000-000020990000}"/>
    <cellStyle name="Percentuale 42 3 3 2" xfId="21061" xr:uid="{00000000-0005-0000-0000-000021990000}"/>
    <cellStyle name="Percentuale 42 3 4" xfId="21060" xr:uid="{00000000-0005-0000-0000-000022990000}"/>
    <cellStyle name="Percentuale 42 3 5" xfId="20054" xr:uid="{00000000-0005-0000-0000-000023990000}"/>
    <cellStyle name="Percentuale 42 4" xfId="1560" xr:uid="{00000000-0005-0000-0000-000024990000}"/>
    <cellStyle name="Percentuale 42 4 2" xfId="20057" xr:uid="{00000000-0005-0000-0000-000025990000}"/>
    <cellStyle name="Percentuale 42 4 2 2" xfId="21063" xr:uid="{00000000-0005-0000-0000-000026990000}"/>
    <cellStyle name="Percentuale 42 4 3" xfId="21062" xr:uid="{00000000-0005-0000-0000-000027990000}"/>
    <cellStyle name="Percentuale 42 4 4" xfId="20056" xr:uid="{00000000-0005-0000-0000-000028990000}"/>
    <cellStyle name="Percentuale 42 4 5" xfId="11876" xr:uid="{00000000-0005-0000-0000-000029990000}"/>
    <cellStyle name="Percentuale 42 5" xfId="1561" xr:uid="{00000000-0005-0000-0000-00002A990000}"/>
    <cellStyle name="Percentuale 42 5 2" xfId="11877" xr:uid="{00000000-0005-0000-0000-00002B990000}"/>
    <cellStyle name="Percentuale 42 6" xfId="1562" xr:uid="{00000000-0005-0000-0000-00002C990000}"/>
    <cellStyle name="Percentuale 42 6 2" xfId="21864" xr:uid="{00000000-0005-0000-0000-00002D990000}"/>
    <cellStyle name="Percentuale 43" xfId="1563" xr:uid="{00000000-0005-0000-0000-00002E990000}"/>
    <cellStyle name="Percentuale 43 2" xfId="1564" xr:uid="{00000000-0005-0000-0000-00002F990000}"/>
    <cellStyle name="Percentuale 43 2 2" xfId="3778" xr:uid="{00000000-0005-0000-0000-000030990000}"/>
    <cellStyle name="Percentuale 43 3" xfId="1565" xr:uid="{00000000-0005-0000-0000-000031990000}"/>
    <cellStyle name="Percentuale 43 3 2" xfId="1566" xr:uid="{00000000-0005-0000-0000-000032990000}"/>
    <cellStyle name="Percentuale 43 3 3" xfId="20059" xr:uid="{00000000-0005-0000-0000-000033990000}"/>
    <cellStyle name="Percentuale 43 3 3 2" xfId="21065" xr:uid="{00000000-0005-0000-0000-000034990000}"/>
    <cellStyle name="Percentuale 43 3 4" xfId="21064" xr:uid="{00000000-0005-0000-0000-000035990000}"/>
    <cellStyle name="Percentuale 43 3 5" xfId="20058" xr:uid="{00000000-0005-0000-0000-000036990000}"/>
    <cellStyle name="Percentuale 43 4" xfId="1567" xr:uid="{00000000-0005-0000-0000-000037990000}"/>
    <cellStyle name="Percentuale 43 4 2" xfId="20061" xr:uid="{00000000-0005-0000-0000-000038990000}"/>
    <cellStyle name="Percentuale 43 4 2 2" xfId="21067" xr:uid="{00000000-0005-0000-0000-000039990000}"/>
    <cellStyle name="Percentuale 43 4 3" xfId="21066" xr:uid="{00000000-0005-0000-0000-00003A990000}"/>
    <cellStyle name="Percentuale 43 4 4" xfId="20060" xr:uid="{00000000-0005-0000-0000-00003B990000}"/>
    <cellStyle name="Percentuale 43 4 5" xfId="11878" xr:uid="{00000000-0005-0000-0000-00003C990000}"/>
    <cellStyle name="Percentuale 43 5" xfId="1568" xr:uid="{00000000-0005-0000-0000-00003D990000}"/>
    <cellStyle name="Percentuale 43 5 2" xfId="11879" xr:uid="{00000000-0005-0000-0000-00003E990000}"/>
    <cellStyle name="Percentuale 43 6" xfId="1569" xr:uid="{00000000-0005-0000-0000-00003F990000}"/>
    <cellStyle name="Percentuale 43 6 2" xfId="21865" xr:uid="{00000000-0005-0000-0000-000040990000}"/>
    <cellStyle name="Percentuale 44" xfId="1570" xr:uid="{00000000-0005-0000-0000-000041990000}"/>
    <cellStyle name="Percentuale 44 2" xfId="1571" xr:uid="{00000000-0005-0000-0000-000042990000}"/>
    <cellStyle name="Percentuale 44 2 2" xfId="3779" xr:uid="{00000000-0005-0000-0000-000043990000}"/>
    <cellStyle name="Percentuale 44 3" xfId="1572" xr:uid="{00000000-0005-0000-0000-000044990000}"/>
    <cellStyle name="Percentuale 44 3 2" xfId="1573" xr:uid="{00000000-0005-0000-0000-000045990000}"/>
    <cellStyle name="Percentuale 44 3 3" xfId="20063" xr:uid="{00000000-0005-0000-0000-000046990000}"/>
    <cellStyle name="Percentuale 44 3 3 2" xfId="21069" xr:uid="{00000000-0005-0000-0000-000047990000}"/>
    <cellStyle name="Percentuale 44 3 4" xfId="21068" xr:uid="{00000000-0005-0000-0000-000048990000}"/>
    <cellStyle name="Percentuale 44 3 5" xfId="20062" xr:uid="{00000000-0005-0000-0000-000049990000}"/>
    <cellStyle name="Percentuale 44 4" xfId="1574" xr:uid="{00000000-0005-0000-0000-00004A990000}"/>
    <cellStyle name="Percentuale 44 4 2" xfId="20065" xr:uid="{00000000-0005-0000-0000-00004B990000}"/>
    <cellStyle name="Percentuale 44 4 2 2" xfId="21071" xr:uid="{00000000-0005-0000-0000-00004C990000}"/>
    <cellStyle name="Percentuale 44 4 3" xfId="21070" xr:uid="{00000000-0005-0000-0000-00004D990000}"/>
    <cellStyle name="Percentuale 44 4 4" xfId="20064" xr:uid="{00000000-0005-0000-0000-00004E990000}"/>
    <cellStyle name="Percentuale 44 4 5" xfId="11880" xr:uid="{00000000-0005-0000-0000-00004F990000}"/>
    <cellStyle name="Percentuale 44 5" xfId="1575" xr:uid="{00000000-0005-0000-0000-000050990000}"/>
    <cellStyle name="Percentuale 44 5 2" xfId="11881" xr:uid="{00000000-0005-0000-0000-000051990000}"/>
    <cellStyle name="Percentuale 44 6" xfId="1576" xr:uid="{00000000-0005-0000-0000-000052990000}"/>
    <cellStyle name="Percentuale 44 6 2" xfId="21866" xr:uid="{00000000-0005-0000-0000-000053990000}"/>
    <cellStyle name="Percentuale 45" xfId="1577" xr:uid="{00000000-0005-0000-0000-000054990000}"/>
    <cellStyle name="Percentuale 45 2" xfId="1578" xr:uid="{00000000-0005-0000-0000-000055990000}"/>
    <cellStyle name="Percentuale 45 2 2" xfId="3780" xr:uid="{00000000-0005-0000-0000-000056990000}"/>
    <cellStyle name="Percentuale 45 3" xfId="1579" xr:uid="{00000000-0005-0000-0000-000057990000}"/>
    <cellStyle name="Percentuale 45 3 2" xfId="1580" xr:uid="{00000000-0005-0000-0000-000058990000}"/>
    <cellStyle name="Percentuale 45 3 3" xfId="20067" xr:uid="{00000000-0005-0000-0000-000059990000}"/>
    <cellStyle name="Percentuale 45 3 3 2" xfId="21073" xr:uid="{00000000-0005-0000-0000-00005A990000}"/>
    <cellStyle name="Percentuale 45 3 4" xfId="21072" xr:uid="{00000000-0005-0000-0000-00005B990000}"/>
    <cellStyle name="Percentuale 45 3 5" xfId="20066" xr:uid="{00000000-0005-0000-0000-00005C990000}"/>
    <cellStyle name="Percentuale 45 4" xfId="1581" xr:uid="{00000000-0005-0000-0000-00005D990000}"/>
    <cellStyle name="Percentuale 45 4 2" xfId="20069" xr:uid="{00000000-0005-0000-0000-00005E990000}"/>
    <cellStyle name="Percentuale 45 4 2 2" xfId="21075" xr:uid="{00000000-0005-0000-0000-00005F990000}"/>
    <cellStyle name="Percentuale 45 4 3" xfId="21074" xr:uid="{00000000-0005-0000-0000-000060990000}"/>
    <cellStyle name="Percentuale 45 4 4" xfId="20068" xr:uid="{00000000-0005-0000-0000-000061990000}"/>
    <cellStyle name="Percentuale 45 4 5" xfId="11882" xr:uid="{00000000-0005-0000-0000-000062990000}"/>
    <cellStyle name="Percentuale 45 5" xfId="1582" xr:uid="{00000000-0005-0000-0000-000063990000}"/>
    <cellStyle name="Percentuale 45 5 2" xfId="11883" xr:uid="{00000000-0005-0000-0000-000064990000}"/>
    <cellStyle name="Percentuale 45 6" xfId="1583" xr:uid="{00000000-0005-0000-0000-000065990000}"/>
    <cellStyle name="Percentuale 45 6 2" xfId="21867" xr:uid="{00000000-0005-0000-0000-000066990000}"/>
    <cellStyle name="Percentuale 46" xfId="1584" xr:uid="{00000000-0005-0000-0000-000067990000}"/>
    <cellStyle name="Percentuale 46 2" xfId="1585" xr:uid="{00000000-0005-0000-0000-000068990000}"/>
    <cellStyle name="Percentuale 46 2 2" xfId="3781" xr:uid="{00000000-0005-0000-0000-000069990000}"/>
    <cellStyle name="Percentuale 46 3" xfId="1586" xr:uid="{00000000-0005-0000-0000-00006A990000}"/>
    <cellStyle name="Percentuale 46 3 2" xfId="1587" xr:uid="{00000000-0005-0000-0000-00006B990000}"/>
    <cellStyle name="Percentuale 46 3 3" xfId="20071" xr:uid="{00000000-0005-0000-0000-00006C990000}"/>
    <cellStyle name="Percentuale 46 3 3 2" xfId="21077" xr:uid="{00000000-0005-0000-0000-00006D990000}"/>
    <cellStyle name="Percentuale 46 3 4" xfId="21076" xr:uid="{00000000-0005-0000-0000-00006E990000}"/>
    <cellStyle name="Percentuale 46 3 5" xfId="20070" xr:uid="{00000000-0005-0000-0000-00006F990000}"/>
    <cellStyle name="Percentuale 46 4" xfId="1588" xr:uid="{00000000-0005-0000-0000-000070990000}"/>
    <cellStyle name="Percentuale 46 4 2" xfId="20073" xr:uid="{00000000-0005-0000-0000-000071990000}"/>
    <cellStyle name="Percentuale 46 4 2 2" xfId="21079" xr:uid="{00000000-0005-0000-0000-000072990000}"/>
    <cellStyle name="Percentuale 46 4 3" xfId="21078" xr:uid="{00000000-0005-0000-0000-000073990000}"/>
    <cellStyle name="Percentuale 46 4 4" xfId="20072" xr:uid="{00000000-0005-0000-0000-000074990000}"/>
    <cellStyle name="Percentuale 46 4 5" xfId="11884" xr:uid="{00000000-0005-0000-0000-000075990000}"/>
    <cellStyle name="Percentuale 46 5" xfId="1589" xr:uid="{00000000-0005-0000-0000-000076990000}"/>
    <cellStyle name="Percentuale 46 5 2" xfId="11885" xr:uid="{00000000-0005-0000-0000-000077990000}"/>
    <cellStyle name="Percentuale 46 6" xfId="1590" xr:uid="{00000000-0005-0000-0000-000078990000}"/>
    <cellStyle name="Percentuale 46 6 2" xfId="21868" xr:uid="{00000000-0005-0000-0000-000079990000}"/>
    <cellStyle name="Percentuale 47" xfId="1591" xr:uid="{00000000-0005-0000-0000-00007A990000}"/>
    <cellStyle name="Percentuale 47 2" xfId="1592" xr:uid="{00000000-0005-0000-0000-00007B990000}"/>
    <cellStyle name="Percentuale 47 2 2" xfId="3782" xr:uid="{00000000-0005-0000-0000-00007C990000}"/>
    <cellStyle name="Percentuale 47 3" xfId="1593" xr:uid="{00000000-0005-0000-0000-00007D990000}"/>
    <cellStyle name="Percentuale 47 3 2" xfId="1594" xr:uid="{00000000-0005-0000-0000-00007E990000}"/>
    <cellStyle name="Percentuale 47 3 3" xfId="20075" xr:uid="{00000000-0005-0000-0000-00007F990000}"/>
    <cellStyle name="Percentuale 47 3 3 2" xfId="21081" xr:uid="{00000000-0005-0000-0000-000080990000}"/>
    <cellStyle name="Percentuale 47 3 4" xfId="21080" xr:uid="{00000000-0005-0000-0000-000081990000}"/>
    <cellStyle name="Percentuale 47 3 5" xfId="20074" xr:uid="{00000000-0005-0000-0000-000082990000}"/>
    <cellStyle name="Percentuale 47 4" xfId="1595" xr:uid="{00000000-0005-0000-0000-000083990000}"/>
    <cellStyle name="Percentuale 47 4 2" xfId="20077" xr:uid="{00000000-0005-0000-0000-000084990000}"/>
    <cellStyle name="Percentuale 47 4 2 2" xfId="21083" xr:uid="{00000000-0005-0000-0000-000085990000}"/>
    <cellStyle name="Percentuale 47 4 3" xfId="21082" xr:uid="{00000000-0005-0000-0000-000086990000}"/>
    <cellStyle name="Percentuale 47 4 4" xfId="20076" xr:uid="{00000000-0005-0000-0000-000087990000}"/>
    <cellStyle name="Percentuale 47 4 5" xfId="11886" xr:uid="{00000000-0005-0000-0000-000088990000}"/>
    <cellStyle name="Percentuale 47 5" xfId="1596" xr:uid="{00000000-0005-0000-0000-000089990000}"/>
    <cellStyle name="Percentuale 47 5 2" xfId="11887" xr:uid="{00000000-0005-0000-0000-00008A990000}"/>
    <cellStyle name="Percentuale 47 6" xfId="1597" xr:uid="{00000000-0005-0000-0000-00008B990000}"/>
    <cellStyle name="Percentuale 47 6 2" xfId="21869" xr:uid="{00000000-0005-0000-0000-00008C990000}"/>
    <cellStyle name="Percentuale 48" xfId="1598" xr:uid="{00000000-0005-0000-0000-00008D990000}"/>
    <cellStyle name="Percentuale 48 2" xfId="1599" xr:uid="{00000000-0005-0000-0000-00008E990000}"/>
    <cellStyle name="Percentuale 48 2 2" xfId="3783" xr:uid="{00000000-0005-0000-0000-00008F990000}"/>
    <cellStyle name="Percentuale 48 3" xfId="1600" xr:uid="{00000000-0005-0000-0000-000090990000}"/>
    <cellStyle name="Percentuale 48 3 2" xfId="1601" xr:uid="{00000000-0005-0000-0000-000091990000}"/>
    <cellStyle name="Percentuale 48 3 3" xfId="20079" xr:uid="{00000000-0005-0000-0000-000092990000}"/>
    <cellStyle name="Percentuale 48 3 3 2" xfId="21085" xr:uid="{00000000-0005-0000-0000-000093990000}"/>
    <cellStyle name="Percentuale 48 3 4" xfId="21084" xr:uid="{00000000-0005-0000-0000-000094990000}"/>
    <cellStyle name="Percentuale 48 3 5" xfId="20078" xr:uid="{00000000-0005-0000-0000-000095990000}"/>
    <cellStyle name="Percentuale 48 4" xfId="1602" xr:uid="{00000000-0005-0000-0000-000096990000}"/>
    <cellStyle name="Percentuale 48 4 2" xfId="20081" xr:uid="{00000000-0005-0000-0000-000097990000}"/>
    <cellStyle name="Percentuale 48 4 2 2" xfId="21087" xr:uid="{00000000-0005-0000-0000-000098990000}"/>
    <cellStyle name="Percentuale 48 4 3" xfId="21086" xr:uid="{00000000-0005-0000-0000-000099990000}"/>
    <cellStyle name="Percentuale 48 4 4" xfId="20080" xr:uid="{00000000-0005-0000-0000-00009A990000}"/>
    <cellStyle name="Percentuale 48 4 5" xfId="11888" xr:uid="{00000000-0005-0000-0000-00009B990000}"/>
    <cellStyle name="Percentuale 48 5" xfId="1603" xr:uid="{00000000-0005-0000-0000-00009C990000}"/>
    <cellStyle name="Percentuale 48 5 2" xfId="11889" xr:uid="{00000000-0005-0000-0000-00009D990000}"/>
    <cellStyle name="Percentuale 48 6" xfId="1604" xr:uid="{00000000-0005-0000-0000-00009E990000}"/>
    <cellStyle name="Percentuale 48 6 2" xfId="21870" xr:uid="{00000000-0005-0000-0000-00009F990000}"/>
    <cellStyle name="Percentuale 49" xfId="1605" xr:uid="{00000000-0005-0000-0000-0000A0990000}"/>
    <cellStyle name="Percentuale 49 2" xfId="1606" xr:uid="{00000000-0005-0000-0000-0000A1990000}"/>
    <cellStyle name="Percentuale 49 2 2" xfId="3784" xr:uid="{00000000-0005-0000-0000-0000A2990000}"/>
    <cellStyle name="Percentuale 49 3" xfId="1607" xr:uid="{00000000-0005-0000-0000-0000A3990000}"/>
    <cellStyle name="Percentuale 49 3 2" xfId="1608" xr:uid="{00000000-0005-0000-0000-0000A4990000}"/>
    <cellStyle name="Percentuale 49 3 3" xfId="20083" xr:uid="{00000000-0005-0000-0000-0000A5990000}"/>
    <cellStyle name="Percentuale 49 3 3 2" xfId="21089" xr:uid="{00000000-0005-0000-0000-0000A6990000}"/>
    <cellStyle name="Percentuale 49 3 4" xfId="21088" xr:uid="{00000000-0005-0000-0000-0000A7990000}"/>
    <cellStyle name="Percentuale 49 3 5" xfId="20082" xr:uid="{00000000-0005-0000-0000-0000A8990000}"/>
    <cellStyle name="Percentuale 49 4" xfId="1609" xr:uid="{00000000-0005-0000-0000-0000A9990000}"/>
    <cellStyle name="Percentuale 49 4 2" xfId="20085" xr:uid="{00000000-0005-0000-0000-0000AA990000}"/>
    <cellStyle name="Percentuale 49 4 2 2" xfId="21091" xr:uid="{00000000-0005-0000-0000-0000AB990000}"/>
    <cellStyle name="Percentuale 49 4 3" xfId="21090" xr:uid="{00000000-0005-0000-0000-0000AC990000}"/>
    <cellStyle name="Percentuale 49 4 4" xfId="20084" xr:uid="{00000000-0005-0000-0000-0000AD990000}"/>
    <cellStyle name="Percentuale 49 4 5" xfId="11890" xr:uid="{00000000-0005-0000-0000-0000AE990000}"/>
    <cellStyle name="Percentuale 49 5" xfId="1610" xr:uid="{00000000-0005-0000-0000-0000AF990000}"/>
    <cellStyle name="Percentuale 49 5 2" xfId="11891" xr:uid="{00000000-0005-0000-0000-0000B0990000}"/>
    <cellStyle name="Percentuale 49 6" xfId="1611" xr:uid="{00000000-0005-0000-0000-0000B1990000}"/>
    <cellStyle name="Percentuale 49 6 2" xfId="21871" xr:uid="{00000000-0005-0000-0000-0000B2990000}"/>
    <cellStyle name="Percentuale 5" xfId="1612" xr:uid="{00000000-0005-0000-0000-0000B3990000}"/>
    <cellStyle name="Percentuale 5 2" xfId="1613" xr:uid="{00000000-0005-0000-0000-0000B4990000}"/>
    <cellStyle name="Percentuale 5 2 2" xfId="3785" xr:uid="{00000000-0005-0000-0000-0000B5990000}"/>
    <cellStyle name="Percentuale 5 3" xfId="1614" xr:uid="{00000000-0005-0000-0000-0000B6990000}"/>
    <cellStyle name="Percentuale 5 3 2" xfId="1615" xr:uid="{00000000-0005-0000-0000-0000B7990000}"/>
    <cellStyle name="Percentuale 5 3 3" xfId="20087" xr:uid="{00000000-0005-0000-0000-0000B8990000}"/>
    <cellStyle name="Percentuale 5 3 3 2" xfId="21093" xr:uid="{00000000-0005-0000-0000-0000B9990000}"/>
    <cellStyle name="Percentuale 5 3 4" xfId="21092" xr:uid="{00000000-0005-0000-0000-0000BA990000}"/>
    <cellStyle name="Percentuale 5 3 5" xfId="20086" xr:uid="{00000000-0005-0000-0000-0000BB990000}"/>
    <cellStyle name="Percentuale 5 4" xfId="1616" xr:uid="{00000000-0005-0000-0000-0000BC990000}"/>
    <cellStyle name="Percentuale 5 4 2" xfId="20089" xr:uid="{00000000-0005-0000-0000-0000BD990000}"/>
    <cellStyle name="Percentuale 5 4 2 2" xfId="21095" xr:uid="{00000000-0005-0000-0000-0000BE990000}"/>
    <cellStyle name="Percentuale 5 4 3" xfId="21094" xr:uid="{00000000-0005-0000-0000-0000BF990000}"/>
    <cellStyle name="Percentuale 5 4 4" xfId="20088" xr:uid="{00000000-0005-0000-0000-0000C0990000}"/>
    <cellStyle name="Percentuale 5 4 5" xfId="11892" xr:uid="{00000000-0005-0000-0000-0000C1990000}"/>
    <cellStyle name="Percentuale 5 5" xfId="1617" xr:uid="{00000000-0005-0000-0000-0000C2990000}"/>
    <cellStyle name="Percentuale 5 5 2" xfId="11893" xr:uid="{00000000-0005-0000-0000-0000C3990000}"/>
    <cellStyle name="Percentuale 5 6" xfId="1618" xr:uid="{00000000-0005-0000-0000-0000C4990000}"/>
    <cellStyle name="Percentuale 5 6 2" xfId="21872" xr:uid="{00000000-0005-0000-0000-0000C5990000}"/>
    <cellStyle name="Percentuale 50" xfId="1619" xr:uid="{00000000-0005-0000-0000-0000C6990000}"/>
    <cellStyle name="Percentuale 50 2" xfId="1620" xr:uid="{00000000-0005-0000-0000-0000C7990000}"/>
    <cellStyle name="Percentuale 50 2 2" xfId="3786" xr:uid="{00000000-0005-0000-0000-0000C8990000}"/>
    <cellStyle name="Percentuale 50 3" xfId="1621" xr:uid="{00000000-0005-0000-0000-0000C9990000}"/>
    <cellStyle name="Percentuale 50 3 2" xfId="1622" xr:uid="{00000000-0005-0000-0000-0000CA990000}"/>
    <cellStyle name="Percentuale 50 3 3" xfId="20091" xr:uid="{00000000-0005-0000-0000-0000CB990000}"/>
    <cellStyle name="Percentuale 50 3 3 2" xfId="21097" xr:uid="{00000000-0005-0000-0000-0000CC990000}"/>
    <cellStyle name="Percentuale 50 3 4" xfId="21096" xr:uid="{00000000-0005-0000-0000-0000CD990000}"/>
    <cellStyle name="Percentuale 50 3 5" xfId="20090" xr:uid="{00000000-0005-0000-0000-0000CE990000}"/>
    <cellStyle name="Percentuale 50 4" xfId="1623" xr:uid="{00000000-0005-0000-0000-0000CF990000}"/>
    <cellStyle name="Percentuale 50 4 2" xfId="20093" xr:uid="{00000000-0005-0000-0000-0000D0990000}"/>
    <cellStyle name="Percentuale 50 4 2 2" xfId="21099" xr:uid="{00000000-0005-0000-0000-0000D1990000}"/>
    <cellStyle name="Percentuale 50 4 3" xfId="21098" xr:uid="{00000000-0005-0000-0000-0000D2990000}"/>
    <cellStyle name="Percentuale 50 4 4" xfId="20092" xr:uid="{00000000-0005-0000-0000-0000D3990000}"/>
    <cellStyle name="Percentuale 50 4 5" xfId="11894" xr:uid="{00000000-0005-0000-0000-0000D4990000}"/>
    <cellStyle name="Percentuale 50 5" xfId="1624" xr:uid="{00000000-0005-0000-0000-0000D5990000}"/>
    <cellStyle name="Percentuale 50 5 2" xfId="11895" xr:uid="{00000000-0005-0000-0000-0000D6990000}"/>
    <cellStyle name="Percentuale 50 6" xfId="1625" xr:uid="{00000000-0005-0000-0000-0000D7990000}"/>
    <cellStyle name="Percentuale 50 6 2" xfId="21873" xr:uid="{00000000-0005-0000-0000-0000D8990000}"/>
    <cellStyle name="Percentuale 51" xfId="1626" xr:uid="{00000000-0005-0000-0000-0000D9990000}"/>
    <cellStyle name="Percentuale 51 2" xfId="1627" xr:uid="{00000000-0005-0000-0000-0000DA990000}"/>
    <cellStyle name="Percentuale 51 2 2" xfId="3787" xr:uid="{00000000-0005-0000-0000-0000DB990000}"/>
    <cellStyle name="Percentuale 51 3" xfId="1628" xr:uid="{00000000-0005-0000-0000-0000DC990000}"/>
    <cellStyle name="Percentuale 51 3 2" xfId="1629" xr:uid="{00000000-0005-0000-0000-0000DD990000}"/>
    <cellStyle name="Percentuale 51 3 3" xfId="20095" xr:uid="{00000000-0005-0000-0000-0000DE990000}"/>
    <cellStyle name="Percentuale 51 3 3 2" xfId="21101" xr:uid="{00000000-0005-0000-0000-0000DF990000}"/>
    <cellStyle name="Percentuale 51 3 4" xfId="21100" xr:uid="{00000000-0005-0000-0000-0000E0990000}"/>
    <cellStyle name="Percentuale 51 3 5" xfId="20094" xr:uid="{00000000-0005-0000-0000-0000E1990000}"/>
    <cellStyle name="Percentuale 51 4" xfId="1630" xr:uid="{00000000-0005-0000-0000-0000E2990000}"/>
    <cellStyle name="Percentuale 51 4 2" xfId="20097" xr:uid="{00000000-0005-0000-0000-0000E3990000}"/>
    <cellStyle name="Percentuale 51 4 2 2" xfId="21103" xr:uid="{00000000-0005-0000-0000-0000E4990000}"/>
    <cellStyle name="Percentuale 51 4 3" xfId="21102" xr:uid="{00000000-0005-0000-0000-0000E5990000}"/>
    <cellStyle name="Percentuale 51 4 4" xfId="20096" xr:uid="{00000000-0005-0000-0000-0000E6990000}"/>
    <cellStyle name="Percentuale 51 4 5" xfId="11896" xr:uid="{00000000-0005-0000-0000-0000E7990000}"/>
    <cellStyle name="Percentuale 51 5" xfId="1631" xr:uid="{00000000-0005-0000-0000-0000E8990000}"/>
    <cellStyle name="Percentuale 51 5 2" xfId="11897" xr:uid="{00000000-0005-0000-0000-0000E9990000}"/>
    <cellStyle name="Percentuale 51 6" xfId="1632" xr:uid="{00000000-0005-0000-0000-0000EA990000}"/>
    <cellStyle name="Percentuale 51 6 2" xfId="21874" xr:uid="{00000000-0005-0000-0000-0000EB990000}"/>
    <cellStyle name="Percentuale 52" xfId="1633" xr:uid="{00000000-0005-0000-0000-0000EC990000}"/>
    <cellStyle name="Percentuale 52 2" xfId="1634" xr:uid="{00000000-0005-0000-0000-0000ED990000}"/>
    <cellStyle name="Percentuale 52 2 2" xfId="3788" xr:uid="{00000000-0005-0000-0000-0000EE990000}"/>
    <cellStyle name="Percentuale 52 3" xfId="1635" xr:uid="{00000000-0005-0000-0000-0000EF990000}"/>
    <cellStyle name="Percentuale 52 3 2" xfId="1636" xr:uid="{00000000-0005-0000-0000-0000F0990000}"/>
    <cellStyle name="Percentuale 52 3 3" xfId="20099" xr:uid="{00000000-0005-0000-0000-0000F1990000}"/>
    <cellStyle name="Percentuale 52 3 3 2" xfId="21105" xr:uid="{00000000-0005-0000-0000-0000F2990000}"/>
    <cellStyle name="Percentuale 52 3 4" xfId="21104" xr:uid="{00000000-0005-0000-0000-0000F3990000}"/>
    <cellStyle name="Percentuale 52 3 5" xfId="20098" xr:uid="{00000000-0005-0000-0000-0000F4990000}"/>
    <cellStyle name="Percentuale 52 4" xfId="1637" xr:uid="{00000000-0005-0000-0000-0000F5990000}"/>
    <cellStyle name="Percentuale 52 4 2" xfId="20101" xr:uid="{00000000-0005-0000-0000-0000F6990000}"/>
    <cellStyle name="Percentuale 52 4 2 2" xfId="21107" xr:uid="{00000000-0005-0000-0000-0000F7990000}"/>
    <cellStyle name="Percentuale 52 4 3" xfId="21106" xr:uid="{00000000-0005-0000-0000-0000F8990000}"/>
    <cellStyle name="Percentuale 52 4 4" xfId="20100" xr:uid="{00000000-0005-0000-0000-0000F9990000}"/>
    <cellStyle name="Percentuale 52 4 5" xfId="11898" xr:uid="{00000000-0005-0000-0000-0000FA990000}"/>
    <cellStyle name="Percentuale 52 5" xfId="1638" xr:uid="{00000000-0005-0000-0000-0000FB990000}"/>
    <cellStyle name="Percentuale 52 5 2" xfId="11899" xr:uid="{00000000-0005-0000-0000-0000FC990000}"/>
    <cellStyle name="Percentuale 52 6" xfId="1639" xr:uid="{00000000-0005-0000-0000-0000FD990000}"/>
    <cellStyle name="Percentuale 52 6 2" xfId="21875" xr:uid="{00000000-0005-0000-0000-0000FE990000}"/>
    <cellStyle name="Percentuale 53" xfId="1640" xr:uid="{00000000-0005-0000-0000-0000FF990000}"/>
    <cellStyle name="Percentuale 53 2" xfId="1641" xr:uid="{00000000-0005-0000-0000-0000009A0000}"/>
    <cellStyle name="Percentuale 53 2 2" xfId="3789" xr:uid="{00000000-0005-0000-0000-0000019A0000}"/>
    <cellStyle name="Percentuale 53 3" xfId="1642" xr:uid="{00000000-0005-0000-0000-0000029A0000}"/>
    <cellStyle name="Percentuale 53 3 2" xfId="1643" xr:uid="{00000000-0005-0000-0000-0000039A0000}"/>
    <cellStyle name="Percentuale 53 3 3" xfId="20103" xr:uid="{00000000-0005-0000-0000-0000049A0000}"/>
    <cellStyle name="Percentuale 53 3 3 2" xfId="21109" xr:uid="{00000000-0005-0000-0000-0000059A0000}"/>
    <cellStyle name="Percentuale 53 3 4" xfId="21108" xr:uid="{00000000-0005-0000-0000-0000069A0000}"/>
    <cellStyle name="Percentuale 53 3 5" xfId="20102" xr:uid="{00000000-0005-0000-0000-0000079A0000}"/>
    <cellStyle name="Percentuale 53 4" xfId="1644" xr:uid="{00000000-0005-0000-0000-0000089A0000}"/>
    <cellStyle name="Percentuale 53 4 2" xfId="20105" xr:uid="{00000000-0005-0000-0000-0000099A0000}"/>
    <cellStyle name="Percentuale 53 4 2 2" xfId="21111" xr:uid="{00000000-0005-0000-0000-00000A9A0000}"/>
    <cellStyle name="Percentuale 53 4 3" xfId="21110" xr:uid="{00000000-0005-0000-0000-00000B9A0000}"/>
    <cellStyle name="Percentuale 53 4 4" xfId="20104" xr:uid="{00000000-0005-0000-0000-00000C9A0000}"/>
    <cellStyle name="Percentuale 53 4 5" xfId="11900" xr:uid="{00000000-0005-0000-0000-00000D9A0000}"/>
    <cellStyle name="Percentuale 53 5" xfId="1645" xr:uid="{00000000-0005-0000-0000-00000E9A0000}"/>
    <cellStyle name="Percentuale 53 5 2" xfId="11901" xr:uid="{00000000-0005-0000-0000-00000F9A0000}"/>
    <cellStyle name="Percentuale 53 6" xfId="1646" xr:uid="{00000000-0005-0000-0000-0000109A0000}"/>
    <cellStyle name="Percentuale 53 6 2" xfId="21876" xr:uid="{00000000-0005-0000-0000-0000119A0000}"/>
    <cellStyle name="Percentuale 54" xfId="1647" xr:uid="{00000000-0005-0000-0000-0000129A0000}"/>
    <cellStyle name="Percentuale 54 2" xfId="1648" xr:uid="{00000000-0005-0000-0000-0000139A0000}"/>
    <cellStyle name="Percentuale 54 2 2" xfId="3790" xr:uid="{00000000-0005-0000-0000-0000149A0000}"/>
    <cellStyle name="Percentuale 54 3" xfId="1649" xr:uid="{00000000-0005-0000-0000-0000159A0000}"/>
    <cellStyle name="Percentuale 54 3 2" xfId="1650" xr:uid="{00000000-0005-0000-0000-0000169A0000}"/>
    <cellStyle name="Percentuale 54 3 3" xfId="20107" xr:uid="{00000000-0005-0000-0000-0000179A0000}"/>
    <cellStyle name="Percentuale 54 3 3 2" xfId="21113" xr:uid="{00000000-0005-0000-0000-0000189A0000}"/>
    <cellStyle name="Percentuale 54 3 4" xfId="21112" xr:uid="{00000000-0005-0000-0000-0000199A0000}"/>
    <cellStyle name="Percentuale 54 3 5" xfId="20106" xr:uid="{00000000-0005-0000-0000-00001A9A0000}"/>
    <cellStyle name="Percentuale 54 4" xfId="1651" xr:uid="{00000000-0005-0000-0000-00001B9A0000}"/>
    <cellStyle name="Percentuale 54 4 2" xfId="20109" xr:uid="{00000000-0005-0000-0000-00001C9A0000}"/>
    <cellStyle name="Percentuale 54 4 2 2" xfId="21115" xr:uid="{00000000-0005-0000-0000-00001D9A0000}"/>
    <cellStyle name="Percentuale 54 4 3" xfId="21114" xr:uid="{00000000-0005-0000-0000-00001E9A0000}"/>
    <cellStyle name="Percentuale 54 4 4" xfId="20108" xr:uid="{00000000-0005-0000-0000-00001F9A0000}"/>
    <cellStyle name="Percentuale 54 4 5" xfId="11902" xr:uid="{00000000-0005-0000-0000-0000209A0000}"/>
    <cellStyle name="Percentuale 54 5" xfId="1652" xr:uid="{00000000-0005-0000-0000-0000219A0000}"/>
    <cellStyle name="Percentuale 54 5 2" xfId="11903" xr:uid="{00000000-0005-0000-0000-0000229A0000}"/>
    <cellStyle name="Percentuale 54 6" xfId="1653" xr:uid="{00000000-0005-0000-0000-0000239A0000}"/>
    <cellStyle name="Percentuale 54 6 2" xfId="21877" xr:uid="{00000000-0005-0000-0000-0000249A0000}"/>
    <cellStyle name="Percentuale 55" xfId="1654" xr:uid="{00000000-0005-0000-0000-0000259A0000}"/>
    <cellStyle name="Percentuale 55 2" xfId="1655" xr:uid="{00000000-0005-0000-0000-0000269A0000}"/>
    <cellStyle name="Percentuale 55 2 2" xfId="3791" xr:uid="{00000000-0005-0000-0000-0000279A0000}"/>
    <cellStyle name="Percentuale 55 3" xfId="1656" xr:uid="{00000000-0005-0000-0000-0000289A0000}"/>
    <cellStyle name="Percentuale 55 3 2" xfId="1657" xr:uid="{00000000-0005-0000-0000-0000299A0000}"/>
    <cellStyle name="Percentuale 55 3 3" xfId="20111" xr:uid="{00000000-0005-0000-0000-00002A9A0000}"/>
    <cellStyle name="Percentuale 55 3 3 2" xfId="21117" xr:uid="{00000000-0005-0000-0000-00002B9A0000}"/>
    <cellStyle name="Percentuale 55 3 4" xfId="21116" xr:uid="{00000000-0005-0000-0000-00002C9A0000}"/>
    <cellStyle name="Percentuale 55 3 5" xfId="20110" xr:uid="{00000000-0005-0000-0000-00002D9A0000}"/>
    <cellStyle name="Percentuale 55 4" xfId="1658" xr:uid="{00000000-0005-0000-0000-00002E9A0000}"/>
    <cellStyle name="Percentuale 55 4 2" xfId="20113" xr:uid="{00000000-0005-0000-0000-00002F9A0000}"/>
    <cellStyle name="Percentuale 55 4 2 2" xfId="21119" xr:uid="{00000000-0005-0000-0000-0000309A0000}"/>
    <cellStyle name="Percentuale 55 4 3" xfId="21118" xr:uid="{00000000-0005-0000-0000-0000319A0000}"/>
    <cellStyle name="Percentuale 55 4 4" xfId="20112" xr:uid="{00000000-0005-0000-0000-0000329A0000}"/>
    <cellStyle name="Percentuale 55 4 5" xfId="11904" xr:uid="{00000000-0005-0000-0000-0000339A0000}"/>
    <cellStyle name="Percentuale 55 5" xfId="1659" xr:uid="{00000000-0005-0000-0000-0000349A0000}"/>
    <cellStyle name="Percentuale 55 5 2" xfId="11905" xr:uid="{00000000-0005-0000-0000-0000359A0000}"/>
    <cellStyle name="Percentuale 55 6" xfId="1660" xr:uid="{00000000-0005-0000-0000-0000369A0000}"/>
    <cellStyle name="Percentuale 55 6 2" xfId="21878" xr:uid="{00000000-0005-0000-0000-0000379A0000}"/>
    <cellStyle name="Percentuale 56" xfId="1661" xr:uid="{00000000-0005-0000-0000-0000389A0000}"/>
    <cellStyle name="Percentuale 56 2" xfId="1662" xr:uid="{00000000-0005-0000-0000-0000399A0000}"/>
    <cellStyle name="Percentuale 56 2 2" xfId="3792" xr:uid="{00000000-0005-0000-0000-00003A9A0000}"/>
    <cellStyle name="Percentuale 56 3" xfId="1663" xr:uid="{00000000-0005-0000-0000-00003B9A0000}"/>
    <cellStyle name="Percentuale 56 3 2" xfId="1664" xr:uid="{00000000-0005-0000-0000-00003C9A0000}"/>
    <cellStyle name="Percentuale 56 3 3" xfId="20115" xr:uid="{00000000-0005-0000-0000-00003D9A0000}"/>
    <cellStyle name="Percentuale 56 3 3 2" xfId="21121" xr:uid="{00000000-0005-0000-0000-00003E9A0000}"/>
    <cellStyle name="Percentuale 56 3 4" xfId="21120" xr:uid="{00000000-0005-0000-0000-00003F9A0000}"/>
    <cellStyle name="Percentuale 56 3 5" xfId="20114" xr:uid="{00000000-0005-0000-0000-0000409A0000}"/>
    <cellStyle name="Percentuale 56 4" xfId="1665" xr:uid="{00000000-0005-0000-0000-0000419A0000}"/>
    <cellStyle name="Percentuale 56 4 2" xfId="20117" xr:uid="{00000000-0005-0000-0000-0000429A0000}"/>
    <cellStyle name="Percentuale 56 4 2 2" xfId="21123" xr:uid="{00000000-0005-0000-0000-0000439A0000}"/>
    <cellStyle name="Percentuale 56 4 3" xfId="21122" xr:uid="{00000000-0005-0000-0000-0000449A0000}"/>
    <cellStyle name="Percentuale 56 4 4" xfId="20116" xr:uid="{00000000-0005-0000-0000-0000459A0000}"/>
    <cellStyle name="Percentuale 56 4 5" xfId="11906" xr:uid="{00000000-0005-0000-0000-0000469A0000}"/>
    <cellStyle name="Percentuale 56 5" xfId="1666" xr:uid="{00000000-0005-0000-0000-0000479A0000}"/>
    <cellStyle name="Percentuale 56 5 2" xfId="11907" xr:uid="{00000000-0005-0000-0000-0000489A0000}"/>
    <cellStyle name="Percentuale 56 6" xfId="1667" xr:uid="{00000000-0005-0000-0000-0000499A0000}"/>
    <cellStyle name="Percentuale 56 6 2" xfId="21879" xr:uid="{00000000-0005-0000-0000-00004A9A0000}"/>
    <cellStyle name="Percentuale 57" xfId="1668" xr:uid="{00000000-0005-0000-0000-00004B9A0000}"/>
    <cellStyle name="Percentuale 57 2" xfId="1669" xr:uid="{00000000-0005-0000-0000-00004C9A0000}"/>
    <cellStyle name="Percentuale 57 2 2" xfId="3793" xr:uid="{00000000-0005-0000-0000-00004D9A0000}"/>
    <cellStyle name="Percentuale 57 3" xfId="1670" xr:uid="{00000000-0005-0000-0000-00004E9A0000}"/>
    <cellStyle name="Percentuale 57 3 2" xfId="1671" xr:uid="{00000000-0005-0000-0000-00004F9A0000}"/>
    <cellStyle name="Percentuale 57 3 3" xfId="20119" xr:uid="{00000000-0005-0000-0000-0000509A0000}"/>
    <cellStyle name="Percentuale 57 3 3 2" xfId="21125" xr:uid="{00000000-0005-0000-0000-0000519A0000}"/>
    <cellStyle name="Percentuale 57 3 4" xfId="21124" xr:uid="{00000000-0005-0000-0000-0000529A0000}"/>
    <cellStyle name="Percentuale 57 3 5" xfId="20118" xr:uid="{00000000-0005-0000-0000-0000539A0000}"/>
    <cellStyle name="Percentuale 57 4" xfId="1672" xr:uid="{00000000-0005-0000-0000-0000549A0000}"/>
    <cellStyle name="Percentuale 57 4 2" xfId="20121" xr:uid="{00000000-0005-0000-0000-0000559A0000}"/>
    <cellStyle name="Percentuale 57 4 2 2" xfId="21127" xr:uid="{00000000-0005-0000-0000-0000569A0000}"/>
    <cellStyle name="Percentuale 57 4 3" xfId="21126" xr:uid="{00000000-0005-0000-0000-0000579A0000}"/>
    <cellStyle name="Percentuale 57 4 4" xfId="20120" xr:uid="{00000000-0005-0000-0000-0000589A0000}"/>
    <cellStyle name="Percentuale 57 4 5" xfId="11908" xr:uid="{00000000-0005-0000-0000-0000599A0000}"/>
    <cellStyle name="Percentuale 57 5" xfId="1673" xr:uid="{00000000-0005-0000-0000-00005A9A0000}"/>
    <cellStyle name="Percentuale 57 5 2" xfId="11909" xr:uid="{00000000-0005-0000-0000-00005B9A0000}"/>
    <cellStyle name="Percentuale 57 6" xfId="1674" xr:uid="{00000000-0005-0000-0000-00005C9A0000}"/>
    <cellStyle name="Percentuale 57 6 2" xfId="21880" xr:uid="{00000000-0005-0000-0000-00005D9A0000}"/>
    <cellStyle name="Percentuale 58" xfId="1675" xr:uid="{00000000-0005-0000-0000-00005E9A0000}"/>
    <cellStyle name="Percentuale 58 2" xfId="1676" xr:uid="{00000000-0005-0000-0000-00005F9A0000}"/>
    <cellStyle name="Percentuale 58 2 2" xfId="3794" xr:uid="{00000000-0005-0000-0000-0000609A0000}"/>
    <cellStyle name="Percentuale 58 3" xfId="1677" xr:uid="{00000000-0005-0000-0000-0000619A0000}"/>
    <cellStyle name="Percentuale 58 3 2" xfId="1678" xr:uid="{00000000-0005-0000-0000-0000629A0000}"/>
    <cellStyle name="Percentuale 58 3 3" xfId="20123" xr:uid="{00000000-0005-0000-0000-0000639A0000}"/>
    <cellStyle name="Percentuale 58 3 3 2" xfId="21129" xr:uid="{00000000-0005-0000-0000-0000649A0000}"/>
    <cellStyle name="Percentuale 58 3 4" xfId="21128" xr:uid="{00000000-0005-0000-0000-0000659A0000}"/>
    <cellStyle name="Percentuale 58 3 5" xfId="20122" xr:uid="{00000000-0005-0000-0000-0000669A0000}"/>
    <cellStyle name="Percentuale 58 4" xfId="1679" xr:uid="{00000000-0005-0000-0000-0000679A0000}"/>
    <cellStyle name="Percentuale 58 4 2" xfId="20125" xr:uid="{00000000-0005-0000-0000-0000689A0000}"/>
    <cellStyle name="Percentuale 58 4 2 2" xfId="21131" xr:uid="{00000000-0005-0000-0000-0000699A0000}"/>
    <cellStyle name="Percentuale 58 4 3" xfId="21130" xr:uid="{00000000-0005-0000-0000-00006A9A0000}"/>
    <cellStyle name="Percentuale 58 4 4" xfId="20124" xr:uid="{00000000-0005-0000-0000-00006B9A0000}"/>
    <cellStyle name="Percentuale 58 4 5" xfId="11910" xr:uid="{00000000-0005-0000-0000-00006C9A0000}"/>
    <cellStyle name="Percentuale 58 5" xfId="1680" xr:uid="{00000000-0005-0000-0000-00006D9A0000}"/>
    <cellStyle name="Percentuale 58 5 2" xfId="11911" xr:uid="{00000000-0005-0000-0000-00006E9A0000}"/>
    <cellStyle name="Percentuale 58 6" xfId="1681" xr:uid="{00000000-0005-0000-0000-00006F9A0000}"/>
    <cellStyle name="Percentuale 58 6 2" xfId="21881" xr:uid="{00000000-0005-0000-0000-0000709A0000}"/>
    <cellStyle name="Percentuale 59" xfId="1682" xr:uid="{00000000-0005-0000-0000-0000719A0000}"/>
    <cellStyle name="Percentuale 59 2" xfId="1683" xr:uid="{00000000-0005-0000-0000-0000729A0000}"/>
    <cellStyle name="Percentuale 59 2 2" xfId="3795" xr:uid="{00000000-0005-0000-0000-0000739A0000}"/>
    <cellStyle name="Percentuale 59 3" xfId="1684" xr:uid="{00000000-0005-0000-0000-0000749A0000}"/>
    <cellStyle name="Percentuale 59 3 2" xfId="1685" xr:uid="{00000000-0005-0000-0000-0000759A0000}"/>
    <cellStyle name="Percentuale 59 3 3" xfId="20127" xr:uid="{00000000-0005-0000-0000-0000769A0000}"/>
    <cellStyle name="Percentuale 59 3 3 2" xfId="21133" xr:uid="{00000000-0005-0000-0000-0000779A0000}"/>
    <cellStyle name="Percentuale 59 3 4" xfId="21132" xr:uid="{00000000-0005-0000-0000-0000789A0000}"/>
    <cellStyle name="Percentuale 59 3 5" xfId="20126" xr:uid="{00000000-0005-0000-0000-0000799A0000}"/>
    <cellStyle name="Percentuale 59 4" xfId="1686" xr:uid="{00000000-0005-0000-0000-00007A9A0000}"/>
    <cellStyle name="Percentuale 59 4 2" xfId="20129" xr:uid="{00000000-0005-0000-0000-00007B9A0000}"/>
    <cellStyle name="Percentuale 59 4 2 2" xfId="21135" xr:uid="{00000000-0005-0000-0000-00007C9A0000}"/>
    <cellStyle name="Percentuale 59 4 3" xfId="21134" xr:uid="{00000000-0005-0000-0000-00007D9A0000}"/>
    <cellStyle name="Percentuale 59 4 4" xfId="20128" xr:uid="{00000000-0005-0000-0000-00007E9A0000}"/>
    <cellStyle name="Percentuale 59 4 5" xfId="11912" xr:uid="{00000000-0005-0000-0000-00007F9A0000}"/>
    <cellStyle name="Percentuale 59 5" xfId="1687" xr:uid="{00000000-0005-0000-0000-0000809A0000}"/>
    <cellStyle name="Percentuale 59 5 2" xfId="11913" xr:uid="{00000000-0005-0000-0000-0000819A0000}"/>
    <cellStyle name="Percentuale 59 6" xfId="1688" xr:uid="{00000000-0005-0000-0000-0000829A0000}"/>
    <cellStyle name="Percentuale 59 6 2" xfId="21882" xr:uid="{00000000-0005-0000-0000-0000839A0000}"/>
    <cellStyle name="Percentuale 6" xfId="1689" xr:uid="{00000000-0005-0000-0000-0000849A0000}"/>
    <cellStyle name="Percentuale 6 2" xfId="1690" xr:uid="{00000000-0005-0000-0000-0000859A0000}"/>
    <cellStyle name="Percentuale 6 2 2" xfId="3796" xr:uid="{00000000-0005-0000-0000-0000869A0000}"/>
    <cellStyle name="Percentuale 6 3" xfId="1691" xr:uid="{00000000-0005-0000-0000-0000879A0000}"/>
    <cellStyle name="Percentuale 6 3 2" xfId="1692" xr:uid="{00000000-0005-0000-0000-0000889A0000}"/>
    <cellStyle name="Percentuale 6 3 3" xfId="20132" xr:uid="{00000000-0005-0000-0000-0000899A0000}"/>
    <cellStyle name="Percentuale 6 3 3 2" xfId="21137" xr:uid="{00000000-0005-0000-0000-00008A9A0000}"/>
    <cellStyle name="Percentuale 6 3 4" xfId="21136" xr:uid="{00000000-0005-0000-0000-00008B9A0000}"/>
    <cellStyle name="Percentuale 6 3 5" xfId="20130" xr:uid="{00000000-0005-0000-0000-00008C9A0000}"/>
    <cellStyle name="Percentuale 6 4" xfId="1693" xr:uid="{00000000-0005-0000-0000-00008D9A0000}"/>
    <cellStyle name="Percentuale 6 4 2" xfId="20134" xr:uid="{00000000-0005-0000-0000-00008E9A0000}"/>
    <cellStyle name="Percentuale 6 4 2 2" xfId="21139" xr:uid="{00000000-0005-0000-0000-00008F9A0000}"/>
    <cellStyle name="Percentuale 6 4 3" xfId="21138" xr:uid="{00000000-0005-0000-0000-0000909A0000}"/>
    <cellStyle name="Percentuale 6 4 4" xfId="20133" xr:uid="{00000000-0005-0000-0000-0000919A0000}"/>
    <cellStyle name="Percentuale 6 4 5" xfId="11914" xr:uid="{00000000-0005-0000-0000-0000929A0000}"/>
    <cellStyle name="Percentuale 6 5" xfId="1694" xr:uid="{00000000-0005-0000-0000-0000939A0000}"/>
    <cellStyle name="Percentuale 6 5 2" xfId="11915" xr:uid="{00000000-0005-0000-0000-0000949A0000}"/>
    <cellStyle name="Percentuale 6 6" xfId="1695" xr:uid="{00000000-0005-0000-0000-0000959A0000}"/>
    <cellStyle name="Percentuale 6 6 2" xfId="21883" xr:uid="{00000000-0005-0000-0000-0000969A0000}"/>
    <cellStyle name="Percentuale 60" xfId="1696" xr:uid="{00000000-0005-0000-0000-0000979A0000}"/>
    <cellStyle name="Percentuale 60 2" xfId="1697" xr:uid="{00000000-0005-0000-0000-0000989A0000}"/>
    <cellStyle name="Percentuale 60 2 2" xfId="3797" xr:uid="{00000000-0005-0000-0000-0000999A0000}"/>
    <cellStyle name="Percentuale 60 3" xfId="1698" xr:uid="{00000000-0005-0000-0000-00009A9A0000}"/>
    <cellStyle name="Percentuale 60 3 2" xfId="1699" xr:uid="{00000000-0005-0000-0000-00009B9A0000}"/>
    <cellStyle name="Percentuale 60 3 3" xfId="20136" xr:uid="{00000000-0005-0000-0000-00009C9A0000}"/>
    <cellStyle name="Percentuale 60 3 3 2" xfId="21141" xr:uid="{00000000-0005-0000-0000-00009D9A0000}"/>
    <cellStyle name="Percentuale 60 3 4" xfId="21140" xr:uid="{00000000-0005-0000-0000-00009E9A0000}"/>
    <cellStyle name="Percentuale 60 3 5" xfId="20135" xr:uid="{00000000-0005-0000-0000-00009F9A0000}"/>
    <cellStyle name="Percentuale 60 4" xfId="1700" xr:uid="{00000000-0005-0000-0000-0000A09A0000}"/>
    <cellStyle name="Percentuale 60 4 2" xfId="20138" xr:uid="{00000000-0005-0000-0000-0000A19A0000}"/>
    <cellStyle name="Percentuale 60 4 2 2" xfId="21143" xr:uid="{00000000-0005-0000-0000-0000A29A0000}"/>
    <cellStyle name="Percentuale 60 4 3" xfId="21142" xr:uid="{00000000-0005-0000-0000-0000A39A0000}"/>
    <cellStyle name="Percentuale 60 4 4" xfId="20137" xr:uid="{00000000-0005-0000-0000-0000A49A0000}"/>
    <cellStyle name="Percentuale 60 4 5" xfId="11916" xr:uid="{00000000-0005-0000-0000-0000A59A0000}"/>
    <cellStyle name="Percentuale 60 5" xfId="1701" xr:uid="{00000000-0005-0000-0000-0000A69A0000}"/>
    <cellStyle name="Percentuale 60 5 2" xfId="11917" xr:uid="{00000000-0005-0000-0000-0000A79A0000}"/>
    <cellStyle name="Percentuale 60 6" xfId="1702" xr:uid="{00000000-0005-0000-0000-0000A89A0000}"/>
    <cellStyle name="Percentuale 60 6 2" xfId="21884" xr:uid="{00000000-0005-0000-0000-0000A99A0000}"/>
    <cellStyle name="Percentuale 61" xfId="1703" xr:uid="{00000000-0005-0000-0000-0000AA9A0000}"/>
    <cellStyle name="Percentuale 61 2" xfId="1704" xr:uid="{00000000-0005-0000-0000-0000AB9A0000}"/>
    <cellStyle name="Percentuale 61 2 2" xfId="3798" xr:uid="{00000000-0005-0000-0000-0000AC9A0000}"/>
    <cellStyle name="Percentuale 61 3" xfId="1705" xr:uid="{00000000-0005-0000-0000-0000AD9A0000}"/>
    <cellStyle name="Percentuale 61 3 2" xfId="1706" xr:uid="{00000000-0005-0000-0000-0000AE9A0000}"/>
    <cellStyle name="Percentuale 61 3 3" xfId="20140" xr:uid="{00000000-0005-0000-0000-0000AF9A0000}"/>
    <cellStyle name="Percentuale 61 3 3 2" xfId="21145" xr:uid="{00000000-0005-0000-0000-0000B09A0000}"/>
    <cellStyle name="Percentuale 61 3 4" xfId="21144" xr:uid="{00000000-0005-0000-0000-0000B19A0000}"/>
    <cellStyle name="Percentuale 61 3 5" xfId="20139" xr:uid="{00000000-0005-0000-0000-0000B29A0000}"/>
    <cellStyle name="Percentuale 61 4" xfId="1707" xr:uid="{00000000-0005-0000-0000-0000B39A0000}"/>
    <cellStyle name="Percentuale 61 4 2" xfId="20142" xr:uid="{00000000-0005-0000-0000-0000B49A0000}"/>
    <cellStyle name="Percentuale 61 4 2 2" xfId="21147" xr:uid="{00000000-0005-0000-0000-0000B59A0000}"/>
    <cellStyle name="Percentuale 61 4 3" xfId="21146" xr:uid="{00000000-0005-0000-0000-0000B69A0000}"/>
    <cellStyle name="Percentuale 61 4 4" xfId="20141" xr:uid="{00000000-0005-0000-0000-0000B79A0000}"/>
    <cellStyle name="Percentuale 61 4 5" xfId="11918" xr:uid="{00000000-0005-0000-0000-0000B89A0000}"/>
    <cellStyle name="Percentuale 61 5" xfId="1708" xr:uid="{00000000-0005-0000-0000-0000B99A0000}"/>
    <cellStyle name="Percentuale 61 5 2" xfId="11919" xr:uid="{00000000-0005-0000-0000-0000BA9A0000}"/>
    <cellStyle name="Percentuale 61 6" xfId="1709" xr:uid="{00000000-0005-0000-0000-0000BB9A0000}"/>
    <cellStyle name="Percentuale 61 6 2" xfId="21885" xr:uid="{00000000-0005-0000-0000-0000BC9A0000}"/>
    <cellStyle name="Percentuale 62" xfId="1710" xr:uid="{00000000-0005-0000-0000-0000BD9A0000}"/>
    <cellStyle name="Percentuale 62 2" xfId="3799" xr:uid="{00000000-0005-0000-0000-0000BE9A0000}"/>
    <cellStyle name="Percentuale 63" xfId="1711" xr:uid="{00000000-0005-0000-0000-0000BF9A0000}"/>
    <cellStyle name="Percentuale 63 2" xfId="3800" xr:uid="{00000000-0005-0000-0000-0000C09A0000}"/>
    <cellStyle name="Percentuale 64" xfId="1712" xr:uid="{00000000-0005-0000-0000-0000C19A0000}"/>
    <cellStyle name="Percentuale 64 2" xfId="3801" xr:uid="{00000000-0005-0000-0000-0000C29A0000}"/>
    <cellStyle name="Percentuale 65" xfId="1713" xr:uid="{00000000-0005-0000-0000-0000C39A0000}"/>
    <cellStyle name="Percentuale 65 2" xfId="3802" xr:uid="{00000000-0005-0000-0000-0000C49A0000}"/>
    <cellStyle name="Percentuale 66" xfId="1714" xr:uid="{00000000-0005-0000-0000-0000C59A0000}"/>
    <cellStyle name="Percentuale 66 2" xfId="3803" xr:uid="{00000000-0005-0000-0000-0000C69A0000}"/>
    <cellStyle name="Percentuale 67" xfId="1715" xr:uid="{00000000-0005-0000-0000-0000C79A0000}"/>
    <cellStyle name="Percentuale 67 2" xfId="3804" xr:uid="{00000000-0005-0000-0000-0000C89A0000}"/>
    <cellStyle name="Percentuale 68" xfId="1716" xr:uid="{00000000-0005-0000-0000-0000C99A0000}"/>
    <cellStyle name="Percentuale 68 2" xfId="1717" xr:uid="{00000000-0005-0000-0000-0000CA9A0000}"/>
    <cellStyle name="Percentuale 68 2 2" xfId="3805" xr:uid="{00000000-0005-0000-0000-0000CB9A0000}"/>
    <cellStyle name="Percentuale 68 3" xfId="1718" xr:uid="{00000000-0005-0000-0000-0000CC9A0000}"/>
    <cellStyle name="Percentuale 68 3 2" xfId="1719" xr:uid="{00000000-0005-0000-0000-0000CD9A0000}"/>
    <cellStyle name="Percentuale 68 3 3" xfId="20144" xr:uid="{00000000-0005-0000-0000-0000CE9A0000}"/>
    <cellStyle name="Percentuale 68 3 3 2" xfId="21149" xr:uid="{00000000-0005-0000-0000-0000CF9A0000}"/>
    <cellStyle name="Percentuale 68 3 4" xfId="21148" xr:uid="{00000000-0005-0000-0000-0000D09A0000}"/>
    <cellStyle name="Percentuale 68 3 5" xfId="20143" xr:uid="{00000000-0005-0000-0000-0000D19A0000}"/>
    <cellStyle name="Percentuale 68 4" xfId="1720" xr:uid="{00000000-0005-0000-0000-0000D29A0000}"/>
    <cellStyle name="Percentuale 68 4 2" xfId="20146" xr:uid="{00000000-0005-0000-0000-0000D39A0000}"/>
    <cellStyle name="Percentuale 68 4 2 2" xfId="21151" xr:uid="{00000000-0005-0000-0000-0000D49A0000}"/>
    <cellStyle name="Percentuale 68 4 3" xfId="21150" xr:uid="{00000000-0005-0000-0000-0000D59A0000}"/>
    <cellStyle name="Percentuale 68 4 4" xfId="20145" xr:uid="{00000000-0005-0000-0000-0000D69A0000}"/>
    <cellStyle name="Percentuale 68 4 5" xfId="11920" xr:uid="{00000000-0005-0000-0000-0000D79A0000}"/>
    <cellStyle name="Percentuale 68 5" xfId="1721" xr:uid="{00000000-0005-0000-0000-0000D89A0000}"/>
    <cellStyle name="Percentuale 68 5 2" xfId="11921" xr:uid="{00000000-0005-0000-0000-0000D99A0000}"/>
    <cellStyle name="Percentuale 68 6" xfId="1722" xr:uid="{00000000-0005-0000-0000-0000DA9A0000}"/>
    <cellStyle name="Percentuale 68 6 2" xfId="21886" xr:uid="{00000000-0005-0000-0000-0000DB9A0000}"/>
    <cellStyle name="Percentuale 69" xfId="1723" xr:uid="{00000000-0005-0000-0000-0000DC9A0000}"/>
    <cellStyle name="Percentuale 69 2" xfId="1724" xr:uid="{00000000-0005-0000-0000-0000DD9A0000}"/>
    <cellStyle name="Percentuale 69 2 2" xfId="3806" xr:uid="{00000000-0005-0000-0000-0000DE9A0000}"/>
    <cellStyle name="Percentuale 69 3" xfId="1725" xr:uid="{00000000-0005-0000-0000-0000DF9A0000}"/>
    <cellStyle name="Percentuale 69 3 2" xfId="1726" xr:uid="{00000000-0005-0000-0000-0000E09A0000}"/>
    <cellStyle name="Percentuale 69 3 3" xfId="20148" xr:uid="{00000000-0005-0000-0000-0000E19A0000}"/>
    <cellStyle name="Percentuale 69 3 3 2" xfId="21153" xr:uid="{00000000-0005-0000-0000-0000E29A0000}"/>
    <cellStyle name="Percentuale 69 3 4" xfId="21152" xr:uid="{00000000-0005-0000-0000-0000E39A0000}"/>
    <cellStyle name="Percentuale 69 3 5" xfId="20147" xr:uid="{00000000-0005-0000-0000-0000E49A0000}"/>
    <cellStyle name="Percentuale 69 4" xfId="1727" xr:uid="{00000000-0005-0000-0000-0000E59A0000}"/>
    <cellStyle name="Percentuale 69 4 2" xfId="20150" xr:uid="{00000000-0005-0000-0000-0000E69A0000}"/>
    <cellStyle name="Percentuale 69 4 2 2" xfId="21155" xr:uid="{00000000-0005-0000-0000-0000E79A0000}"/>
    <cellStyle name="Percentuale 69 4 3" xfId="21154" xr:uid="{00000000-0005-0000-0000-0000E89A0000}"/>
    <cellStyle name="Percentuale 69 4 4" xfId="20149" xr:uid="{00000000-0005-0000-0000-0000E99A0000}"/>
    <cellStyle name="Percentuale 69 4 5" xfId="11922" xr:uid="{00000000-0005-0000-0000-0000EA9A0000}"/>
    <cellStyle name="Percentuale 69 5" xfId="1728" xr:uid="{00000000-0005-0000-0000-0000EB9A0000}"/>
    <cellStyle name="Percentuale 69 5 2" xfId="11923" xr:uid="{00000000-0005-0000-0000-0000EC9A0000}"/>
    <cellStyle name="Percentuale 69 6" xfId="1729" xr:uid="{00000000-0005-0000-0000-0000ED9A0000}"/>
    <cellStyle name="Percentuale 69 6 2" xfId="21887" xr:uid="{00000000-0005-0000-0000-0000EE9A0000}"/>
    <cellStyle name="Percentuale 7" xfId="1730" xr:uid="{00000000-0005-0000-0000-0000EF9A0000}"/>
    <cellStyle name="Percentuale 7 2" xfId="1731" xr:uid="{00000000-0005-0000-0000-0000F09A0000}"/>
    <cellStyle name="Percentuale 7 2 2" xfId="3807" xr:uid="{00000000-0005-0000-0000-0000F19A0000}"/>
    <cellStyle name="Percentuale 7 3" xfId="1732" xr:uid="{00000000-0005-0000-0000-0000F29A0000}"/>
    <cellStyle name="Percentuale 7 3 2" xfId="1733" xr:uid="{00000000-0005-0000-0000-0000F39A0000}"/>
    <cellStyle name="Percentuale 7 3 3" xfId="20152" xr:uid="{00000000-0005-0000-0000-0000F49A0000}"/>
    <cellStyle name="Percentuale 7 3 3 2" xfId="21157" xr:uid="{00000000-0005-0000-0000-0000F59A0000}"/>
    <cellStyle name="Percentuale 7 3 4" xfId="21156" xr:uid="{00000000-0005-0000-0000-0000F69A0000}"/>
    <cellStyle name="Percentuale 7 3 5" xfId="20151" xr:uid="{00000000-0005-0000-0000-0000F79A0000}"/>
    <cellStyle name="Percentuale 7 4" xfId="1734" xr:uid="{00000000-0005-0000-0000-0000F89A0000}"/>
    <cellStyle name="Percentuale 7 4 2" xfId="20154" xr:uid="{00000000-0005-0000-0000-0000F99A0000}"/>
    <cellStyle name="Percentuale 7 4 2 2" xfId="21159" xr:uid="{00000000-0005-0000-0000-0000FA9A0000}"/>
    <cellStyle name="Percentuale 7 4 3" xfId="21158" xr:uid="{00000000-0005-0000-0000-0000FB9A0000}"/>
    <cellStyle name="Percentuale 7 4 4" xfId="20153" xr:uid="{00000000-0005-0000-0000-0000FC9A0000}"/>
    <cellStyle name="Percentuale 7 4 5" xfId="11924" xr:uid="{00000000-0005-0000-0000-0000FD9A0000}"/>
    <cellStyle name="Percentuale 7 5" xfId="1735" xr:uid="{00000000-0005-0000-0000-0000FE9A0000}"/>
    <cellStyle name="Percentuale 7 5 2" xfId="11925" xr:uid="{00000000-0005-0000-0000-0000FF9A0000}"/>
    <cellStyle name="Percentuale 7 6" xfId="1736" xr:uid="{00000000-0005-0000-0000-0000009B0000}"/>
    <cellStyle name="Percentuale 7 6 2" xfId="21888" xr:uid="{00000000-0005-0000-0000-0000019B0000}"/>
    <cellStyle name="Percentuale 8" xfId="1737" xr:uid="{00000000-0005-0000-0000-0000029B0000}"/>
    <cellStyle name="Percentuale 8 2" xfId="1738" xr:uid="{00000000-0005-0000-0000-0000039B0000}"/>
    <cellStyle name="Percentuale 8 2 2" xfId="3808" xr:uid="{00000000-0005-0000-0000-0000049B0000}"/>
    <cellStyle name="Percentuale 8 3" xfId="1739" xr:uid="{00000000-0005-0000-0000-0000059B0000}"/>
    <cellStyle name="Percentuale 8 3 2" xfId="1740" xr:uid="{00000000-0005-0000-0000-0000069B0000}"/>
    <cellStyle name="Percentuale 8 3 3" xfId="20156" xr:uid="{00000000-0005-0000-0000-0000079B0000}"/>
    <cellStyle name="Percentuale 8 3 3 2" xfId="21161" xr:uid="{00000000-0005-0000-0000-0000089B0000}"/>
    <cellStyle name="Percentuale 8 3 4" xfId="21160" xr:uid="{00000000-0005-0000-0000-0000099B0000}"/>
    <cellStyle name="Percentuale 8 3 5" xfId="20155" xr:uid="{00000000-0005-0000-0000-00000A9B0000}"/>
    <cellStyle name="Percentuale 8 4" xfId="1741" xr:uid="{00000000-0005-0000-0000-00000B9B0000}"/>
    <cellStyle name="Percentuale 8 4 2" xfId="20158" xr:uid="{00000000-0005-0000-0000-00000C9B0000}"/>
    <cellStyle name="Percentuale 8 4 2 2" xfId="21163" xr:uid="{00000000-0005-0000-0000-00000D9B0000}"/>
    <cellStyle name="Percentuale 8 4 3" xfId="21162" xr:uid="{00000000-0005-0000-0000-00000E9B0000}"/>
    <cellStyle name="Percentuale 8 4 4" xfId="20157" xr:uid="{00000000-0005-0000-0000-00000F9B0000}"/>
    <cellStyle name="Percentuale 8 4 5" xfId="11926" xr:uid="{00000000-0005-0000-0000-0000109B0000}"/>
    <cellStyle name="Percentuale 8 5" xfId="1742" xr:uid="{00000000-0005-0000-0000-0000119B0000}"/>
    <cellStyle name="Percentuale 8 5 2" xfId="11927" xr:uid="{00000000-0005-0000-0000-0000129B0000}"/>
    <cellStyle name="Percentuale 8 6" xfId="1743" xr:uid="{00000000-0005-0000-0000-0000139B0000}"/>
    <cellStyle name="Percentuale 8 6 2" xfId="21889" xr:uid="{00000000-0005-0000-0000-0000149B0000}"/>
    <cellStyle name="Percentuale 9" xfId="1744" xr:uid="{00000000-0005-0000-0000-0000159B0000}"/>
    <cellStyle name="Percentuale 9 2" xfId="1745" xr:uid="{00000000-0005-0000-0000-0000169B0000}"/>
    <cellStyle name="Percentuale 9 2 2" xfId="3809" xr:uid="{00000000-0005-0000-0000-0000179B0000}"/>
    <cellStyle name="Percentuale 9 3" xfId="1746" xr:uid="{00000000-0005-0000-0000-0000189B0000}"/>
    <cellStyle name="Percentuale 9 3 2" xfId="1747" xr:uid="{00000000-0005-0000-0000-0000199B0000}"/>
    <cellStyle name="Percentuale 9 3 3" xfId="20160" xr:uid="{00000000-0005-0000-0000-00001A9B0000}"/>
    <cellStyle name="Percentuale 9 3 3 2" xfId="21165" xr:uid="{00000000-0005-0000-0000-00001B9B0000}"/>
    <cellStyle name="Percentuale 9 3 4" xfId="21164" xr:uid="{00000000-0005-0000-0000-00001C9B0000}"/>
    <cellStyle name="Percentuale 9 3 5" xfId="20159" xr:uid="{00000000-0005-0000-0000-00001D9B0000}"/>
    <cellStyle name="Percentuale 9 4" xfId="1748" xr:uid="{00000000-0005-0000-0000-00001E9B0000}"/>
    <cellStyle name="Percentuale 9 4 2" xfId="20162" xr:uid="{00000000-0005-0000-0000-00001F9B0000}"/>
    <cellStyle name="Percentuale 9 4 2 2" xfId="21167" xr:uid="{00000000-0005-0000-0000-0000209B0000}"/>
    <cellStyle name="Percentuale 9 4 3" xfId="21166" xr:uid="{00000000-0005-0000-0000-0000219B0000}"/>
    <cellStyle name="Percentuale 9 4 4" xfId="20161" xr:uid="{00000000-0005-0000-0000-0000229B0000}"/>
    <cellStyle name="Percentuale 9 4 5" xfId="11928" xr:uid="{00000000-0005-0000-0000-0000239B0000}"/>
    <cellStyle name="Percentuale 9 5" xfId="1749" xr:uid="{00000000-0005-0000-0000-0000249B0000}"/>
    <cellStyle name="Percentuale 9 5 2" xfId="11929" xr:uid="{00000000-0005-0000-0000-0000259B0000}"/>
    <cellStyle name="Percentuale 9 6" xfId="1750" xr:uid="{00000000-0005-0000-0000-0000269B0000}"/>
    <cellStyle name="Percentuale 9 6 2" xfId="21890" xr:uid="{00000000-0005-0000-0000-0000279B0000}"/>
    <cellStyle name="Preliminary data" xfId="3475" xr:uid="{00000000-0005-0000-0000-0000289B0000}"/>
    <cellStyle name="Preliminary data 2" xfId="12294" xr:uid="{00000000-0005-0000-0000-0000299B0000}"/>
    <cellStyle name="Procent 10" xfId="2860" xr:uid="{00000000-0005-0000-0000-00002A9B0000}"/>
    <cellStyle name="Procent 10 2" xfId="2861" xr:uid="{00000000-0005-0000-0000-00002B9B0000}"/>
    <cellStyle name="Procent 10 2 2" xfId="2862" xr:uid="{00000000-0005-0000-0000-00002C9B0000}"/>
    <cellStyle name="Procent 10 2 2 2" xfId="22895" xr:uid="{00000000-0005-0000-0000-00002D9B0000}"/>
    <cellStyle name="Procent 10 2 3" xfId="22894" xr:uid="{00000000-0005-0000-0000-00002E9B0000}"/>
    <cellStyle name="Procent 10 3" xfId="2863" xr:uid="{00000000-0005-0000-0000-00002F9B0000}"/>
    <cellStyle name="Procent 10 3 2" xfId="2864" xr:uid="{00000000-0005-0000-0000-0000309B0000}"/>
    <cellStyle name="Procent 10 3 2 2" xfId="22897" xr:uid="{00000000-0005-0000-0000-0000319B0000}"/>
    <cellStyle name="Procent 10 3 3" xfId="22896" xr:uid="{00000000-0005-0000-0000-0000329B0000}"/>
    <cellStyle name="Procent 10 4" xfId="2865" xr:uid="{00000000-0005-0000-0000-0000339B0000}"/>
    <cellStyle name="Procent 10 4 2" xfId="2866" xr:uid="{00000000-0005-0000-0000-0000349B0000}"/>
    <cellStyle name="Procent 10 4 2 2" xfId="22899" xr:uid="{00000000-0005-0000-0000-0000359B0000}"/>
    <cellStyle name="Procent 10 4 3" xfId="22898" xr:uid="{00000000-0005-0000-0000-0000369B0000}"/>
    <cellStyle name="Procent 10 5" xfId="2867" xr:uid="{00000000-0005-0000-0000-0000379B0000}"/>
    <cellStyle name="Procent 10 5 2" xfId="22900" xr:uid="{00000000-0005-0000-0000-0000389B0000}"/>
    <cellStyle name="Procent 10 6" xfId="7494" xr:uid="{00000000-0005-0000-0000-0000399B0000}"/>
    <cellStyle name="Procent 10 7" xfId="22893" xr:uid="{00000000-0005-0000-0000-00003A9B0000}"/>
    <cellStyle name="Procent 11" xfId="2868" xr:uid="{00000000-0005-0000-0000-00003B9B0000}"/>
    <cellStyle name="Procent 11 2" xfId="2869" xr:uid="{00000000-0005-0000-0000-00003C9B0000}"/>
    <cellStyle name="Procent 11 2 2" xfId="22902" xr:uid="{00000000-0005-0000-0000-00003D9B0000}"/>
    <cellStyle name="Procent 11 3" xfId="7495" xr:uid="{00000000-0005-0000-0000-00003E9B0000}"/>
    <cellStyle name="Procent 11 4" xfId="22901" xr:uid="{00000000-0005-0000-0000-00003F9B0000}"/>
    <cellStyle name="Procent 12" xfId="2870" xr:uid="{00000000-0005-0000-0000-0000409B0000}"/>
    <cellStyle name="Procent 12 2" xfId="2871" xr:uid="{00000000-0005-0000-0000-0000419B0000}"/>
    <cellStyle name="Procent 12 2 2" xfId="7497" xr:uid="{00000000-0005-0000-0000-0000429B0000}"/>
    <cellStyle name="Procent 12 2 3" xfId="22904" xr:uid="{00000000-0005-0000-0000-0000439B0000}"/>
    <cellStyle name="Procent 12 3" xfId="7496" xr:uid="{00000000-0005-0000-0000-0000449B0000}"/>
    <cellStyle name="Procent 12 4" xfId="22903" xr:uid="{00000000-0005-0000-0000-0000459B0000}"/>
    <cellStyle name="Procent 13" xfId="2872" xr:uid="{00000000-0005-0000-0000-0000469B0000}"/>
    <cellStyle name="Procent 13 2" xfId="7498" xr:uid="{00000000-0005-0000-0000-0000479B0000}"/>
    <cellStyle name="Procent 14" xfId="7499" xr:uid="{00000000-0005-0000-0000-0000489B0000}"/>
    <cellStyle name="Procent 15" xfId="7493" xr:uid="{00000000-0005-0000-0000-0000499B0000}"/>
    <cellStyle name="Procent 16" xfId="3816" xr:uid="{00000000-0005-0000-0000-00004A9B0000}"/>
    <cellStyle name="Procent 16 2" xfId="11149" xr:uid="{00000000-0005-0000-0000-00004B9B0000}"/>
    <cellStyle name="Procent 17" xfId="11073" xr:uid="{00000000-0005-0000-0000-00004C9B0000}"/>
    <cellStyle name="Procent 2" xfId="2873" xr:uid="{00000000-0005-0000-0000-00004D9B0000}"/>
    <cellStyle name="Procent 2 10" xfId="2874" xr:uid="{00000000-0005-0000-0000-00004E9B0000}"/>
    <cellStyle name="Procent 2 10 2" xfId="2875" xr:uid="{00000000-0005-0000-0000-00004F9B0000}"/>
    <cellStyle name="Procent 2 10 2 2" xfId="2876" xr:uid="{00000000-0005-0000-0000-0000509B0000}"/>
    <cellStyle name="Procent 2 10 2 2 2" xfId="22908" xr:uid="{00000000-0005-0000-0000-0000519B0000}"/>
    <cellStyle name="Procent 2 10 2 3" xfId="22907" xr:uid="{00000000-0005-0000-0000-0000529B0000}"/>
    <cellStyle name="Procent 2 10 3" xfId="2877" xr:uid="{00000000-0005-0000-0000-0000539B0000}"/>
    <cellStyle name="Procent 2 10 3 2" xfId="22909" xr:uid="{00000000-0005-0000-0000-0000549B0000}"/>
    <cellStyle name="Procent 2 10 4" xfId="22906" xr:uid="{00000000-0005-0000-0000-0000559B0000}"/>
    <cellStyle name="Procent 2 11" xfId="2878" xr:uid="{00000000-0005-0000-0000-0000569B0000}"/>
    <cellStyle name="Procent 2 11 2" xfId="2879" xr:uid="{00000000-0005-0000-0000-0000579B0000}"/>
    <cellStyle name="Procent 2 11 2 2" xfId="22911" xr:uid="{00000000-0005-0000-0000-0000589B0000}"/>
    <cellStyle name="Procent 2 11 3" xfId="22910" xr:uid="{00000000-0005-0000-0000-0000599B0000}"/>
    <cellStyle name="Procent 2 12" xfId="2880" xr:uid="{00000000-0005-0000-0000-00005A9B0000}"/>
    <cellStyle name="Procent 2 12 2" xfId="2881" xr:uid="{00000000-0005-0000-0000-00005B9B0000}"/>
    <cellStyle name="Procent 2 12 2 2" xfId="22913" xr:uid="{00000000-0005-0000-0000-00005C9B0000}"/>
    <cellStyle name="Procent 2 12 3" xfId="22912" xr:uid="{00000000-0005-0000-0000-00005D9B0000}"/>
    <cellStyle name="Procent 2 13" xfId="2882" xr:uid="{00000000-0005-0000-0000-00005E9B0000}"/>
    <cellStyle name="Procent 2 13 2" xfId="2883" xr:uid="{00000000-0005-0000-0000-00005F9B0000}"/>
    <cellStyle name="Procent 2 13 2 2" xfId="22915" xr:uid="{00000000-0005-0000-0000-0000609B0000}"/>
    <cellStyle name="Procent 2 13 3" xfId="22914" xr:uid="{00000000-0005-0000-0000-0000619B0000}"/>
    <cellStyle name="Procent 2 14" xfId="2884" xr:uid="{00000000-0005-0000-0000-0000629B0000}"/>
    <cellStyle name="Procent 2 14 2" xfId="2885" xr:uid="{00000000-0005-0000-0000-0000639B0000}"/>
    <cellStyle name="Procent 2 14 2 2" xfId="22917" xr:uid="{00000000-0005-0000-0000-0000649B0000}"/>
    <cellStyle name="Procent 2 14 3" xfId="22916" xr:uid="{00000000-0005-0000-0000-0000659B0000}"/>
    <cellStyle name="Procent 2 15" xfId="2886" xr:uid="{00000000-0005-0000-0000-0000669B0000}"/>
    <cellStyle name="Procent 2 15 2" xfId="22918" xr:uid="{00000000-0005-0000-0000-0000679B0000}"/>
    <cellStyle name="Procent 2 16" xfId="22905" xr:uid="{00000000-0005-0000-0000-0000689B0000}"/>
    <cellStyle name="Procent 2 2" xfId="2887" xr:uid="{00000000-0005-0000-0000-0000699B0000}"/>
    <cellStyle name="Procent 2 2 10" xfId="22919" xr:uid="{00000000-0005-0000-0000-00006A9B0000}"/>
    <cellStyle name="Procent 2 2 11" xfId="39380" xr:uid="{00000000-0005-0000-0000-00006B9B0000}"/>
    <cellStyle name="Procent 2 2 2" xfId="2888" xr:uid="{00000000-0005-0000-0000-00006C9B0000}"/>
    <cellStyle name="Procent 2 2 2 2" xfId="2889" xr:uid="{00000000-0005-0000-0000-00006D9B0000}"/>
    <cellStyle name="Procent 2 2 2 2 2" xfId="2890" xr:uid="{00000000-0005-0000-0000-00006E9B0000}"/>
    <cellStyle name="Procent 2 2 2 2 2 2" xfId="22922" xr:uid="{00000000-0005-0000-0000-00006F9B0000}"/>
    <cellStyle name="Procent 2 2 2 2 3" xfId="18915" xr:uid="{00000000-0005-0000-0000-0000709B0000}"/>
    <cellStyle name="Procent 2 2 2 2 3 2" xfId="37075" xr:uid="{00000000-0005-0000-0000-0000719B0000}"/>
    <cellStyle name="Procent 2 2 2 2 4" xfId="22921" xr:uid="{00000000-0005-0000-0000-0000729B0000}"/>
    <cellStyle name="Procent 2 2 2 3" xfId="2891" xr:uid="{00000000-0005-0000-0000-0000739B0000}"/>
    <cellStyle name="Procent 2 2 2 3 2" xfId="2892" xr:uid="{00000000-0005-0000-0000-0000749B0000}"/>
    <cellStyle name="Procent 2 2 2 3 2 2" xfId="22924" xr:uid="{00000000-0005-0000-0000-0000759B0000}"/>
    <cellStyle name="Procent 2 2 2 3 3" xfId="22923" xr:uid="{00000000-0005-0000-0000-0000769B0000}"/>
    <cellStyle name="Procent 2 2 2 4" xfId="2893" xr:uid="{00000000-0005-0000-0000-0000779B0000}"/>
    <cellStyle name="Procent 2 2 2 4 2" xfId="2894" xr:uid="{00000000-0005-0000-0000-0000789B0000}"/>
    <cellStyle name="Procent 2 2 2 4 2 2" xfId="22926" xr:uid="{00000000-0005-0000-0000-0000799B0000}"/>
    <cellStyle name="Procent 2 2 2 4 3" xfId="22925" xr:uid="{00000000-0005-0000-0000-00007A9B0000}"/>
    <cellStyle name="Procent 2 2 2 5" xfId="2895" xr:uid="{00000000-0005-0000-0000-00007B9B0000}"/>
    <cellStyle name="Procent 2 2 2 5 2" xfId="2896" xr:uid="{00000000-0005-0000-0000-00007C9B0000}"/>
    <cellStyle name="Procent 2 2 2 5 2 2" xfId="22928" xr:uid="{00000000-0005-0000-0000-00007D9B0000}"/>
    <cellStyle name="Procent 2 2 2 5 3" xfId="22927" xr:uid="{00000000-0005-0000-0000-00007E9B0000}"/>
    <cellStyle name="Procent 2 2 2 6" xfId="2897" xr:uid="{00000000-0005-0000-0000-00007F9B0000}"/>
    <cellStyle name="Procent 2 2 2 6 2" xfId="22929" xr:uid="{00000000-0005-0000-0000-0000809B0000}"/>
    <cellStyle name="Procent 2 2 2 7" xfId="11066" xr:uid="{00000000-0005-0000-0000-0000819B0000}"/>
    <cellStyle name="Procent 2 2 2 7 2" xfId="30074" xr:uid="{00000000-0005-0000-0000-0000829B0000}"/>
    <cellStyle name="Procent 2 2 2 8" xfId="22920" xr:uid="{00000000-0005-0000-0000-0000839B0000}"/>
    <cellStyle name="Procent 2 2 3" xfId="2898" xr:uid="{00000000-0005-0000-0000-0000849B0000}"/>
    <cellStyle name="Procent 2 2 3 2" xfId="2899" xr:uid="{00000000-0005-0000-0000-0000859B0000}"/>
    <cellStyle name="Procent 2 2 3 2 2" xfId="2900" xr:uid="{00000000-0005-0000-0000-0000869B0000}"/>
    <cellStyle name="Procent 2 2 3 2 2 2" xfId="22932" xr:uid="{00000000-0005-0000-0000-0000879B0000}"/>
    <cellStyle name="Procent 2 2 3 2 3" xfId="22931" xr:uid="{00000000-0005-0000-0000-0000889B0000}"/>
    <cellStyle name="Procent 2 2 3 3" xfId="2901" xr:uid="{00000000-0005-0000-0000-0000899B0000}"/>
    <cellStyle name="Procent 2 2 3 3 2" xfId="22933" xr:uid="{00000000-0005-0000-0000-00008A9B0000}"/>
    <cellStyle name="Procent 2 2 3 4" xfId="7500" xr:uid="{00000000-0005-0000-0000-00008B9B0000}"/>
    <cellStyle name="Procent 2 2 3 5" xfId="22930" xr:uid="{00000000-0005-0000-0000-00008C9B0000}"/>
    <cellStyle name="Procent 2 2 4" xfId="2902" xr:uid="{00000000-0005-0000-0000-00008D9B0000}"/>
    <cellStyle name="Procent 2 2 4 2" xfId="2903" xr:uid="{00000000-0005-0000-0000-00008E9B0000}"/>
    <cellStyle name="Procent 2 2 4 2 2" xfId="18956" xr:uid="{00000000-0005-0000-0000-00008F9B0000}"/>
    <cellStyle name="Procent 2 2 4 2 2 2" xfId="37115" xr:uid="{00000000-0005-0000-0000-0000909B0000}"/>
    <cellStyle name="Procent 2 2 4 2 3" xfId="22935" xr:uid="{00000000-0005-0000-0000-0000919B0000}"/>
    <cellStyle name="Procent 2 2 4 3" xfId="11182" xr:uid="{00000000-0005-0000-0000-0000929B0000}"/>
    <cellStyle name="Procent 2 2 4 3 2" xfId="30114" xr:uid="{00000000-0005-0000-0000-0000939B0000}"/>
    <cellStyle name="Procent 2 2 4 4" xfId="22934" xr:uid="{00000000-0005-0000-0000-0000949B0000}"/>
    <cellStyle name="Procent 2 2 5" xfId="2904" xr:uid="{00000000-0005-0000-0000-0000959B0000}"/>
    <cellStyle name="Procent 2 2 5 2" xfId="2905" xr:uid="{00000000-0005-0000-0000-0000969B0000}"/>
    <cellStyle name="Procent 2 2 5 2 2" xfId="22937" xr:uid="{00000000-0005-0000-0000-0000979B0000}"/>
    <cellStyle name="Procent 2 2 5 3" xfId="12296" xr:uid="{00000000-0005-0000-0000-0000989B0000}"/>
    <cellStyle name="Procent 2 2 5 3 2" xfId="30466" xr:uid="{00000000-0005-0000-0000-0000999B0000}"/>
    <cellStyle name="Procent 2 2 5 4" xfId="22936" xr:uid="{00000000-0005-0000-0000-00009A9B0000}"/>
    <cellStyle name="Procent 2 2 6" xfId="2906" xr:uid="{00000000-0005-0000-0000-00009B9B0000}"/>
    <cellStyle name="Procent 2 2 6 2" xfId="2907" xr:uid="{00000000-0005-0000-0000-00009C9B0000}"/>
    <cellStyle name="Procent 2 2 6 2 2" xfId="22939" xr:uid="{00000000-0005-0000-0000-00009D9B0000}"/>
    <cellStyle name="Procent 2 2 6 3" xfId="21168" xr:uid="{00000000-0005-0000-0000-00009E9B0000}"/>
    <cellStyle name="Procent 2 2 6 4" xfId="22938" xr:uid="{00000000-0005-0000-0000-00009F9B0000}"/>
    <cellStyle name="Procent 2 2 7" xfId="2908" xr:uid="{00000000-0005-0000-0000-0000A09B0000}"/>
    <cellStyle name="Procent 2 2 7 2" xfId="2909" xr:uid="{00000000-0005-0000-0000-0000A19B0000}"/>
    <cellStyle name="Procent 2 2 7 2 2" xfId="22941" xr:uid="{00000000-0005-0000-0000-0000A29B0000}"/>
    <cellStyle name="Procent 2 2 7 3" xfId="22940" xr:uid="{00000000-0005-0000-0000-0000A39B0000}"/>
    <cellStyle name="Procent 2 2 8" xfId="2910" xr:uid="{00000000-0005-0000-0000-0000A49B0000}"/>
    <cellStyle name="Procent 2 2 8 2" xfId="22942" xr:uid="{00000000-0005-0000-0000-0000A59B0000}"/>
    <cellStyle name="Procent 2 2 9" xfId="3487" xr:uid="{00000000-0005-0000-0000-0000A69B0000}"/>
    <cellStyle name="Procent 2 2 9 2" xfId="23464" xr:uid="{00000000-0005-0000-0000-0000A79B0000}"/>
    <cellStyle name="Procent 2 3" xfId="2911" xr:uid="{00000000-0005-0000-0000-0000A89B0000}"/>
    <cellStyle name="Procent 2 3 10" xfId="22943" xr:uid="{00000000-0005-0000-0000-0000A99B0000}"/>
    <cellStyle name="Procent 2 3 2" xfId="2912" xr:uid="{00000000-0005-0000-0000-0000AA9B0000}"/>
    <cellStyle name="Procent 2 3 2 2" xfId="2913" xr:uid="{00000000-0005-0000-0000-0000AB9B0000}"/>
    <cellStyle name="Procent 2 3 2 2 2" xfId="2914" xr:uid="{00000000-0005-0000-0000-0000AC9B0000}"/>
    <cellStyle name="Procent 2 3 2 2 2 2" xfId="22946" xr:uid="{00000000-0005-0000-0000-0000AD9B0000}"/>
    <cellStyle name="Procent 2 3 2 2 3" xfId="22945" xr:uid="{00000000-0005-0000-0000-0000AE9B0000}"/>
    <cellStyle name="Procent 2 3 2 3" xfId="2915" xr:uid="{00000000-0005-0000-0000-0000AF9B0000}"/>
    <cellStyle name="Procent 2 3 2 3 2" xfId="2916" xr:uid="{00000000-0005-0000-0000-0000B09B0000}"/>
    <cellStyle name="Procent 2 3 2 3 2 2" xfId="22948" xr:uid="{00000000-0005-0000-0000-0000B19B0000}"/>
    <cellStyle name="Procent 2 3 2 3 3" xfId="22947" xr:uid="{00000000-0005-0000-0000-0000B29B0000}"/>
    <cellStyle name="Procent 2 3 2 4" xfId="2917" xr:uid="{00000000-0005-0000-0000-0000B39B0000}"/>
    <cellStyle name="Procent 2 3 2 4 2" xfId="22949" xr:uid="{00000000-0005-0000-0000-0000B49B0000}"/>
    <cellStyle name="Procent 2 3 2 5" xfId="22944" xr:uid="{00000000-0005-0000-0000-0000B59B0000}"/>
    <cellStyle name="Procent 2 3 3" xfId="2918" xr:uid="{00000000-0005-0000-0000-0000B69B0000}"/>
    <cellStyle name="Procent 2 3 3 2" xfId="2919" xr:uid="{00000000-0005-0000-0000-0000B79B0000}"/>
    <cellStyle name="Procent 2 3 3 2 2" xfId="22951" xr:uid="{00000000-0005-0000-0000-0000B89B0000}"/>
    <cellStyle name="Procent 2 3 3 3" xfId="22950" xr:uid="{00000000-0005-0000-0000-0000B99B0000}"/>
    <cellStyle name="Procent 2 3 4" xfId="2920" xr:uid="{00000000-0005-0000-0000-0000BA9B0000}"/>
    <cellStyle name="Procent 2 3 4 2" xfId="2921" xr:uid="{00000000-0005-0000-0000-0000BB9B0000}"/>
    <cellStyle name="Procent 2 3 4 2 2" xfId="22953" xr:uid="{00000000-0005-0000-0000-0000BC9B0000}"/>
    <cellStyle name="Procent 2 3 4 3" xfId="22952" xr:uid="{00000000-0005-0000-0000-0000BD9B0000}"/>
    <cellStyle name="Procent 2 3 5" xfId="2922" xr:uid="{00000000-0005-0000-0000-0000BE9B0000}"/>
    <cellStyle name="Procent 2 3 5 2" xfId="2923" xr:uid="{00000000-0005-0000-0000-0000BF9B0000}"/>
    <cellStyle name="Procent 2 3 5 2 2" xfId="22955" xr:uid="{00000000-0005-0000-0000-0000C09B0000}"/>
    <cellStyle name="Procent 2 3 5 3" xfId="22954" xr:uid="{00000000-0005-0000-0000-0000C19B0000}"/>
    <cellStyle name="Procent 2 3 6" xfId="2924" xr:uid="{00000000-0005-0000-0000-0000C29B0000}"/>
    <cellStyle name="Procent 2 3 6 2" xfId="2925" xr:uid="{00000000-0005-0000-0000-0000C39B0000}"/>
    <cellStyle name="Procent 2 3 6 2 2" xfId="22957" xr:uid="{00000000-0005-0000-0000-0000C49B0000}"/>
    <cellStyle name="Procent 2 3 6 3" xfId="22956" xr:uid="{00000000-0005-0000-0000-0000C59B0000}"/>
    <cellStyle name="Procent 2 3 7" xfId="2926" xr:uid="{00000000-0005-0000-0000-0000C69B0000}"/>
    <cellStyle name="Procent 2 3 7 2" xfId="2927" xr:uid="{00000000-0005-0000-0000-0000C79B0000}"/>
    <cellStyle name="Procent 2 3 7 2 2" xfId="22959" xr:uid="{00000000-0005-0000-0000-0000C89B0000}"/>
    <cellStyle name="Procent 2 3 7 3" xfId="22958" xr:uid="{00000000-0005-0000-0000-0000C99B0000}"/>
    <cellStyle name="Procent 2 3 8" xfId="2928" xr:uid="{00000000-0005-0000-0000-0000CA9B0000}"/>
    <cellStyle name="Procent 2 3 8 2" xfId="22960" xr:uid="{00000000-0005-0000-0000-0000CB9B0000}"/>
    <cellStyle name="Procent 2 3 9" xfId="7501" xr:uid="{00000000-0005-0000-0000-0000CC9B0000}"/>
    <cellStyle name="Procent 2 4" xfId="2929" xr:uid="{00000000-0005-0000-0000-0000CD9B0000}"/>
    <cellStyle name="Procent 2 4 10" xfId="22961" xr:uid="{00000000-0005-0000-0000-0000CE9B0000}"/>
    <cellStyle name="Procent 2 4 2" xfId="2930" xr:uid="{00000000-0005-0000-0000-0000CF9B0000}"/>
    <cellStyle name="Procent 2 4 2 2" xfId="2931" xr:uid="{00000000-0005-0000-0000-0000D09B0000}"/>
    <cellStyle name="Procent 2 4 2 2 2" xfId="2932" xr:uid="{00000000-0005-0000-0000-0000D19B0000}"/>
    <cellStyle name="Procent 2 4 2 2 2 2" xfId="22964" xr:uid="{00000000-0005-0000-0000-0000D29B0000}"/>
    <cellStyle name="Procent 2 4 2 2 3" xfId="22963" xr:uid="{00000000-0005-0000-0000-0000D39B0000}"/>
    <cellStyle name="Procent 2 4 2 3" xfId="2933" xr:uid="{00000000-0005-0000-0000-0000D49B0000}"/>
    <cellStyle name="Procent 2 4 2 3 2" xfId="2934" xr:uid="{00000000-0005-0000-0000-0000D59B0000}"/>
    <cellStyle name="Procent 2 4 2 3 2 2" xfId="22966" xr:uid="{00000000-0005-0000-0000-0000D69B0000}"/>
    <cellStyle name="Procent 2 4 2 3 3" xfId="22965" xr:uid="{00000000-0005-0000-0000-0000D79B0000}"/>
    <cellStyle name="Procent 2 4 2 4" xfId="2935" xr:uid="{00000000-0005-0000-0000-0000D89B0000}"/>
    <cellStyle name="Procent 2 4 2 4 2" xfId="22967" xr:uid="{00000000-0005-0000-0000-0000D99B0000}"/>
    <cellStyle name="Procent 2 4 2 5" xfId="7503" xr:uid="{00000000-0005-0000-0000-0000DA9B0000}"/>
    <cellStyle name="Procent 2 4 2 6" xfId="22962" xr:uid="{00000000-0005-0000-0000-0000DB9B0000}"/>
    <cellStyle name="Procent 2 4 3" xfId="2936" xr:uid="{00000000-0005-0000-0000-0000DC9B0000}"/>
    <cellStyle name="Procent 2 4 3 2" xfId="2937" xr:uid="{00000000-0005-0000-0000-0000DD9B0000}"/>
    <cellStyle name="Procent 2 4 3 2 2" xfId="22969" xr:uid="{00000000-0005-0000-0000-0000DE9B0000}"/>
    <cellStyle name="Procent 2 4 3 3" xfId="22968" xr:uid="{00000000-0005-0000-0000-0000DF9B0000}"/>
    <cellStyle name="Procent 2 4 4" xfId="2938" xr:uid="{00000000-0005-0000-0000-0000E09B0000}"/>
    <cellStyle name="Procent 2 4 4 2" xfId="2939" xr:uid="{00000000-0005-0000-0000-0000E19B0000}"/>
    <cellStyle name="Procent 2 4 4 2 2" xfId="22971" xr:uid="{00000000-0005-0000-0000-0000E29B0000}"/>
    <cellStyle name="Procent 2 4 4 3" xfId="22970" xr:uid="{00000000-0005-0000-0000-0000E39B0000}"/>
    <cellStyle name="Procent 2 4 5" xfId="2940" xr:uid="{00000000-0005-0000-0000-0000E49B0000}"/>
    <cellStyle name="Procent 2 4 5 2" xfId="2941" xr:uid="{00000000-0005-0000-0000-0000E59B0000}"/>
    <cellStyle name="Procent 2 4 5 2 2" xfId="22973" xr:uid="{00000000-0005-0000-0000-0000E69B0000}"/>
    <cellStyle name="Procent 2 4 5 3" xfId="22972" xr:uid="{00000000-0005-0000-0000-0000E79B0000}"/>
    <cellStyle name="Procent 2 4 6" xfId="2942" xr:uid="{00000000-0005-0000-0000-0000E89B0000}"/>
    <cellStyle name="Procent 2 4 6 2" xfId="2943" xr:uid="{00000000-0005-0000-0000-0000E99B0000}"/>
    <cellStyle name="Procent 2 4 6 2 2" xfId="22975" xr:uid="{00000000-0005-0000-0000-0000EA9B0000}"/>
    <cellStyle name="Procent 2 4 6 3" xfId="22974" xr:uid="{00000000-0005-0000-0000-0000EB9B0000}"/>
    <cellStyle name="Procent 2 4 7" xfId="2944" xr:uid="{00000000-0005-0000-0000-0000EC9B0000}"/>
    <cellStyle name="Procent 2 4 7 2" xfId="2945" xr:uid="{00000000-0005-0000-0000-0000ED9B0000}"/>
    <cellStyle name="Procent 2 4 7 2 2" xfId="22977" xr:uid="{00000000-0005-0000-0000-0000EE9B0000}"/>
    <cellStyle name="Procent 2 4 7 3" xfId="22976" xr:uid="{00000000-0005-0000-0000-0000EF9B0000}"/>
    <cellStyle name="Procent 2 4 8" xfId="2946" xr:uid="{00000000-0005-0000-0000-0000F09B0000}"/>
    <cellStyle name="Procent 2 4 8 2" xfId="22978" xr:uid="{00000000-0005-0000-0000-0000F19B0000}"/>
    <cellStyle name="Procent 2 4 9" xfId="7502" xr:uid="{00000000-0005-0000-0000-0000F29B0000}"/>
    <cellStyle name="Procent 2 5" xfId="1751" xr:uid="{00000000-0005-0000-0000-0000F39B0000}"/>
    <cellStyle name="Procent 2 5 2" xfId="2947" xr:uid="{00000000-0005-0000-0000-0000F49B0000}"/>
    <cellStyle name="Procent 2 5 2 2" xfId="2948" xr:uid="{00000000-0005-0000-0000-0000F59B0000}"/>
    <cellStyle name="Procent 2 5 2 2 2" xfId="2949" xr:uid="{00000000-0005-0000-0000-0000F69B0000}"/>
    <cellStyle name="Procent 2 5 2 2 2 2" xfId="22981" xr:uid="{00000000-0005-0000-0000-0000F79B0000}"/>
    <cellStyle name="Procent 2 5 2 2 3" xfId="22980" xr:uid="{00000000-0005-0000-0000-0000F89B0000}"/>
    <cellStyle name="Procent 2 5 2 3" xfId="2950" xr:uid="{00000000-0005-0000-0000-0000F99B0000}"/>
    <cellStyle name="Procent 2 5 2 3 2" xfId="2951" xr:uid="{00000000-0005-0000-0000-0000FA9B0000}"/>
    <cellStyle name="Procent 2 5 2 3 2 2" xfId="22983" xr:uid="{00000000-0005-0000-0000-0000FB9B0000}"/>
    <cellStyle name="Procent 2 5 2 3 3" xfId="22982" xr:uid="{00000000-0005-0000-0000-0000FC9B0000}"/>
    <cellStyle name="Procent 2 5 2 4" xfId="2952" xr:uid="{00000000-0005-0000-0000-0000FD9B0000}"/>
    <cellStyle name="Procent 2 5 2 4 2" xfId="22984" xr:uid="{00000000-0005-0000-0000-0000FE9B0000}"/>
    <cellStyle name="Procent 2 5 2 5" xfId="11119" xr:uid="{00000000-0005-0000-0000-0000FF9B0000}"/>
    <cellStyle name="Procent 2 5 2 6" xfId="22979" xr:uid="{00000000-0005-0000-0000-0000009C0000}"/>
    <cellStyle name="Procent 2 5 3" xfId="2953" xr:uid="{00000000-0005-0000-0000-0000019C0000}"/>
    <cellStyle name="Procent 2 5 3 2" xfId="2954" xr:uid="{00000000-0005-0000-0000-0000029C0000}"/>
    <cellStyle name="Procent 2 5 3 2 2" xfId="22986" xr:uid="{00000000-0005-0000-0000-0000039C0000}"/>
    <cellStyle name="Procent 2 5 3 3" xfId="22985" xr:uid="{00000000-0005-0000-0000-0000049C0000}"/>
    <cellStyle name="Procent 2 5 4" xfId="2955" xr:uid="{00000000-0005-0000-0000-0000059C0000}"/>
    <cellStyle name="Procent 2 5 4 2" xfId="2956" xr:uid="{00000000-0005-0000-0000-0000069C0000}"/>
    <cellStyle name="Procent 2 5 4 2 2" xfId="22988" xr:uid="{00000000-0005-0000-0000-0000079C0000}"/>
    <cellStyle name="Procent 2 5 4 3" xfId="22987" xr:uid="{00000000-0005-0000-0000-0000089C0000}"/>
    <cellStyle name="Procent 2 5 5" xfId="2957" xr:uid="{00000000-0005-0000-0000-0000099C0000}"/>
    <cellStyle name="Procent 2 5 5 2" xfId="2958" xr:uid="{00000000-0005-0000-0000-00000A9C0000}"/>
    <cellStyle name="Procent 2 5 5 2 2" xfId="22990" xr:uid="{00000000-0005-0000-0000-00000B9C0000}"/>
    <cellStyle name="Procent 2 5 5 3" xfId="22989" xr:uid="{00000000-0005-0000-0000-00000C9C0000}"/>
    <cellStyle name="Procent 2 5 6" xfId="2959" xr:uid="{00000000-0005-0000-0000-00000D9C0000}"/>
    <cellStyle name="Procent 2 5 6 2" xfId="2960" xr:uid="{00000000-0005-0000-0000-00000E9C0000}"/>
    <cellStyle name="Procent 2 5 6 2 2" xfId="22992" xr:uid="{00000000-0005-0000-0000-00000F9C0000}"/>
    <cellStyle name="Procent 2 5 6 3" xfId="22991" xr:uid="{00000000-0005-0000-0000-0000109C0000}"/>
    <cellStyle name="Procent 2 6" xfId="2961" xr:uid="{00000000-0005-0000-0000-0000119C0000}"/>
    <cellStyle name="Procent 2 6 2" xfId="2962" xr:uid="{00000000-0005-0000-0000-0000129C0000}"/>
    <cellStyle name="Procent 2 6 2 2" xfId="2963" xr:uid="{00000000-0005-0000-0000-0000139C0000}"/>
    <cellStyle name="Procent 2 6 2 2 2" xfId="2964" xr:uid="{00000000-0005-0000-0000-0000149C0000}"/>
    <cellStyle name="Procent 2 6 2 2 2 2" xfId="22996" xr:uid="{00000000-0005-0000-0000-0000159C0000}"/>
    <cellStyle name="Procent 2 6 2 2 3" xfId="22995" xr:uid="{00000000-0005-0000-0000-0000169C0000}"/>
    <cellStyle name="Procent 2 6 2 3" xfId="2965" xr:uid="{00000000-0005-0000-0000-0000179C0000}"/>
    <cellStyle name="Procent 2 6 2 3 2" xfId="2966" xr:uid="{00000000-0005-0000-0000-0000189C0000}"/>
    <cellStyle name="Procent 2 6 2 3 2 2" xfId="22998" xr:uid="{00000000-0005-0000-0000-0000199C0000}"/>
    <cellStyle name="Procent 2 6 2 3 3" xfId="22997" xr:uid="{00000000-0005-0000-0000-00001A9C0000}"/>
    <cellStyle name="Procent 2 6 2 4" xfId="2967" xr:uid="{00000000-0005-0000-0000-00001B9C0000}"/>
    <cellStyle name="Procent 2 6 2 4 2" xfId="22999" xr:uid="{00000000-0005-0000-0000-00001C9C0000}"/>
    <cellStyle name="Procent 2 6 2 5" xfId="12374" xr:uid="{00000000-0005-0000-0000-00001D9C0000}"/>
    <cellStyle name="Procent 2 6 2 5 2" xfId="30541" xr:uid="{00000000-0005-0000-0000-00001E9C0000}"/>
    <cellStyle name="Procent 2 6 2 6" xfId="22994" xr:uid="{00000000-0005-0000-0000-00001F9C0000}"/>
    <cellStyle name="Procent 2 6 3" xfId="2968" xr:uid="{00000000-0005-0000-0000-0000209C0000}"/>
    <cellStyle name="Procent 2 6 3 2" xfId="2969" xr:uid="{00000000-0005-0000-0000-0000219C0000}"/>
    <cellStyle name="Procent 2 6 3 2 2" xfId="23001" xr:uid="{00000000-0005-0000-0000-0000229C0000}"/>
    <cellStyle name="Procent 2 6 3 3" xfId="23000" xr:uid="{00000000-0005-0000-0000-0000239C0000}"/>
    <cellStyle name="Procent 2 6 4" xfId="2970" xr:uid="{00000000-0005-0000-0000-0000249C0000}"/>
    <cellStyle name="Procent 2 6 4 2" xfId="2971" xr:uid="{00000000-0005-0000-0000-0000259C0000}"/>
    <cellStyle name="Procent 2 6 4 2 2" xfId="23003" xr:uid="{00000000-0005-0000-0000-0000269C0000}"/>
    <cellStyle name="Procent 2 6 4 3" xfId="23002" xr:uid="{00000000-0005-0000-0000-0000279C0000}"/>
    <cellStyle name="Procent 2 6 5" xfId="2972" xr:uid="{00000000-0005-0000-0000-0000289C0000}"/>
    <cellStyle name="Procent 2 6 5 2" xfId="2973" xr:uid="{00000000-0005-0000-0000-0000299C0000}"/>
    <cellStyle name="Procent 2 6 5 2 2" xfId="23005" xr:uid="{00000000-0005-0000-0000-00002A9C0000}"/>
    <cellStyle name="Procent 2 6 5 3" xfId="23004" xr:uid="{00000000-0005-0000-0000-00002B9C0000}"/>
    <cellStyle name="Procent 2 6 6" xfId="2974" xr:uid="{00000000-0005-0000-0000-00002C9C0000}"/>
    <cellStyle name="Procent 2 6 6 2" xfId="23006" xr:uid="{00000000-0005-0000-0000-00002D9C0000}"/>
    <cellStyle name="Procent 2 6 7" xfId="3818" xr:uid="{00000000-0005-0000-0000-00002E9C0000}"/>
    <cellStyle name="Procent 2 6 7 2" xfId="23539" xr:uid="{00000000-0005-0000-0000-00002F9C0000}"/>
    <cellStyle name="Procent 2 6 8" xfId="22993" xr:uid="{00000000-0005-0000-0000-0000309C0000}"/>
    <cellStyle name="Procent 2 7" xfId="2975" xr:uid="{00000000-0005-0000-0000-0000319C0000}"/>
    <cellStyle name="Procent 2 7 2" xfId="2976" xr:uid="{00000000-0005-0000-0000-0000329C0000}"/>
    <cellStyle name="Procent 2 7 2 2" xfId="2977" xr:uid="{00000000-0005-0000-0000-0000339C0000}"/>
    <cellStyle name="Procent 2 7 2 2 2" xfId="2978" xr:uid="{00000000-0005-0000-0000-0000349C0000}"/>
    <cellStyle name="Procent 2 7 2 2 2 2" xfId="23010" xr:uid="{00000000-0005-0000-0000-0000359C0000}"/>
    <cellStyle name="Procent 2 7 2 2 3" xfId="23009" xr:uid="{00000000-0005-0000-0000-0000369C0000}"/>
    <cellStyle name="Procent 2 7 2 3" xfId="2979" xr:uid="{00000000-0005-0000-0000-0000379C0000}"/>
    <cellStyle name="Procent 2 7 2 3 2" xfId="2980" xr:uid="{00000000-0005-0000-0000-0000389C0000}"/>
    <cellStyle name="Procent 2 7 2 3 2 2" xfId="23012" xr:uid="{00000000-0005-0000-0000-0000399C0000}"/>
    <cellStyle name="Procent 2 7 2 3 3" xfId="23011" xr:uid="{00000000-0005-0000-0000-00003A9C0000}"/>
    <cellStyle name="Procent 2 7 2 4" xfId="2981" xr:uid="{00000000-0005-0000-0000-00003B9C0000}"/>
    <cellStyle name="Procent 2 7 2 4 2" xfId="23013" xr:uid="{00000000-0005-0000-0000-00003C9C0000}"/>
    <cellStyle name="Procent 2 7 2 5" xfId="23008" xr:uid="{00000000-0005-0000-0000-00003D9C0000}"/>
    <cellStyle name="Procent 2 7 3" xfId="2982" xr:uid="{00000000-0005-0000-0000-00003E9C0000}"/>
    <cellStyle name="Procent 2 7 3 2" xfId="2983" xr:uid="{00000000-0005-0000-0000-00003F9C0000}"/>
    <cellStyle name="Procent 2 7 3 2 2" xfId="23015" xr:uid="{00000000-0005-0000-0000-0000409C0000}"/>
    <cellStyle name="Procent 2 7 3 3" xfId="23014" xr:uid="{00000000-0005-0000-0000-0000419C0000}"/>
    <cellStyle name="Procent 2 7 4" xfId="2984" xr:uid="{00000000-0005-0000-0000-0000429C0000}"/>
    <cellStyle name="Procent 2 7 4 2" xfId="2985" xr:uid="{00000000-0005-0000-0000-0000439C0000}"/>
    <cellStyle name="Procent 2 7 4 2 2" xfId="23017" xr:uid="{00000000-0005-0000-0000-0000449C0000}"/>
    <cellStyle name="Procent 2 7 4 3" xfId="23016" xr:uid="{00000000-0005-0000-0000-0000459C0000}"/>
    <cellStyle name="Procent 2 7 5" xfId="2986" xr:uid="{00000000-0005-0000-0000-0000469C0000}"/>
    <cellStyle name="Procent 2 7 5 2" xfId="2987" xr:uid="{00000000-0005-0000-0000-0000479C0000}"/>
    <cellStyle name="Procent 2 7 5 2 2" xfId="23019" xr:uid="{00000000-0005-0000-0000-0000489C0000}"/>
    <cellStyle name="Procent 2 7 5 3" xfId="23018" xr:uid="{00000000-0005-0000-0000-0000499C0000}"/>
    <cellStyle name="Procent 2 7 6" xfId="2988" xr:uid="{00000000-0005-0000-0000-00004A9C0000}"/>
    <cellStyle name="Procent 2 7 6 2" xfId="23020" xr:uid="{00000000-0005-0000-0000-00004B9C0000}"/>
    <cellStyle name="Procent 2 7 7" xfId="23007" xr:uid="{00000000-0005-0000-0000-00004C9C0000}"/>
    <cellStyle name="Procent 2 8" xfId="2989" xr:uid="{00000000-0005-0000-0000-00004D9C0000}"/>
    <cellStyle name="Procent 2 8 2" xfId="2990" xr:uid="{00000000-0005-0000-0000-00004E9C0000}"/>
    <cellStyle name="Procent 2 8 2 2" xfId="2991" xr:uid="{00000000-0005-0000-0000-00004F9C0000}"/>
    <cellStyle name="Procent 2 8 2 2 2" xfId="2992" xr:uid="{00000000-0005-0000-0000-0000509C0000}"/>
    <cellStyle name="Procent 2 8 2 2 2 2" xfId="23024" xr:uid="{00000000-0005-0000-0000-0000519C0000}"/>
    <cellStyle name="Procent 2 8 2 2 3" xfId="23023" xr:uid="{00000000-0005-0000-0000-0000529C0000}"/>
    <cellStyle name="Procent 2 8 2 3" xfId="2993" xr:uid="{00000000-0005-0000-0000-0000539C0000}"/>
    <cellStyle name="Procent 2 8 2 3 2" xfId="2994" xr:uid="{00000000-0005-0000-0000-0000549C0000}"/>
    <cellStyle name="Procent 2 8 2 3 2 2" xfId="23026" xr:uid="{00000000-0005-0000-0000-0000559C0000}"/>
    <cellStyle name="Procent 2 8 2 3 3" xfId="23025" xr:uid="{00000000-0005-0000-0000-0000569C0000}"/>
    <cellStyle name="Procent 2 8 2 4" xfId="2995" xr:uid="{00000000-0005-0000-0000-0000579C0000}"/>
    <cellStyle name="Procent 2 8 2 4 2" xfId="23027" xr:uid="{00000000-0005-0000-0000-0000589C0000}"/>
    <cellStyle name="Procent 2 8 2 5" xfId="23022" xr:uid="{00000000-0005-0000-0000-0000599C0000}"/>
    <cellStyle name="Procent 2 8 3" xfId="2996" xr:uid="{00000000-0005-0000-0000-00005A9C0000}"/>
    <cellStyle name="Procent 2 8 3 2" xfId="2997" xr:uid="{00000000-0005-0000-0000-00005B9C0000}"/>
    <cellStyle name="Procent 2 8 3 2 2" xfId="23029" xr:uid="{00000000-0005-0000-0000-00005C9C0000}"/>
    <cellStyle name="Procent 2 8 3 3" xfId="23028" xr:uid="{00000000-0005-0000-0000-00005D9C0000}"/>
    <cellStyle name="Procent 2 8 4" xfId="2998" xr:uid="{00000000-0005-0000-0000-00005E9C0000}"/>
    <cellStyle name="Procent 2 8 4 2" xfId="2999" xr:uid="{00000000-0005-0000-0000-00005F9C0000}"/>
    <cellStyle name="Procent 2 8 4 2 2" xfId="23031" xr:uid="{00000000-0005-0000-0000-0000609C0000}"/>
    <cellStyle name="Procent 2 8 4 3" xfId="23030" xr:uid="{00000000-0005-0000-0000-0000619C0000}"/>
    <cellStyle name="Procent 2 8 5" xfId="3000" xr:uid="{00000000-0005-0000-0000-0000629C0000}"/>
    <cellStyle name="Procent 2 8 5 2" xfId="3001" xr:uid="{00000000-0005-0000-0000-0000639C0000}"/>
    <cellStyle name="Procent 2 8 5 2 2" xfId="23033" xr:uid="{00000000-0005-0000-0000-0000649C0000}"/>
    <cellStyle name="Procent 2 8 5 3" xfId="23032" xr:uid="{00000000-0005-0000-0000-0000659C0000}"/>
    <cellStyle name="Procent 2 8 6" xfId="3002" xr:uid="{00000000-0005-0000-0000-0000669C0000}"/>
    <cellStyle name="Procent 2 8 6 2" xfId="23034" xr:uid="{00000000-0005-0000-0000-0000679C0000}"/>
    <cellStyle name="Procent 2 8 7" xfId="23021" xr:uid="{00000000-0005-0000-0000-0000689C0000}"/>
    <cellStyle name="Procent 2 9" xfId="3003" xr:uid="{00000000-0005-0000-0000-0000699C0000}"/>
    <cellStyle name="Procent 2 9 2" xfId="3004" xr:uid="{00000000-0005-0000-0000-00006A9C0000}"/>
    <cellStyle name="Procent 2 9 2 2" xfId="3005" xr:uid="{00000000-0005-0000-0000-00006B9C0000}"/>
    <cellStyle name="Procent 2 9 2 2 2" xfId="23037" xr:uid="{00000000-0005-0000-0000-00006C9C0000}"/>
    <cellStyle name="Procent 2 9 2 3" xfId="23036" xr:uid="{00000000-0005-0000-0000-00006D9C0000}"/>
    <cellStyle name="Procent 2 9 3" xfId="3006" xr:uid="{00000000-0005-0000-0000-00006E9C0000}"/>
    <cellStyle name="Procent 2 9 3 2" xfId="3007" xr:uid="{00000000-0005-0000-0000-00006F9C0000}"/>
    <cellStyle name="Procent 2 9 3 2 2" xfId="23039" xr:uid="{00000000-0005-0000-0000-0000709C0000}"/>
    <cellStyle name="Procent 2 9 3 3" xfId="23038" xr:uid="{00000000-0005-0000-0000-0000719C0000}"/>
    <cellStyle name="Procent 2 9 4" xfId="3008" xr:uid="{00000000-0005-0000-0000-0000729C0000}"/>
    <cellStyle name="Procent 2 9 4 2" xfId="23040" xr:uid="{00000000-0005-0000-0000-0000739C0000}"/>
    <cellStyle name="Procent 2 9 5" xfId="23035" xr:uid="{00000000-0005-0000-0000-0000749C0000}"/>
    <cellStyle name="Procent 3" xfId="3009" xr:uid="{00000000-0005-0000-0000-0000759C0000}"/>
    <cellStyle name="Procent 3 2" xfId="3010" xr:uid="{00000000-0005-0000-0000-0000769C0000}"/>
    <cellStyle name="Procent 3 2 2" xfId="3011" xr:uid="{00000000-0005-0000-0000-0000779C0000}"/>
    <cellStyle name="Procent 3 2 2 2" xfId="3012" xr:uid="{00000000-0005-0000-0000-0000789C0000}"/>
    <cellStyle name="Procent 3 2 2 2 2" xfId="23044" xr:uid="{00000000-0005-0000-0000-0000799C0000}"/>
    <cellStyle name="Procent 3 2 2 3" xfId="20164" xr:uid="{00000000-0005-0000-0000-00007A9C0000}"/>
    <cellStyle name="Procent 3 2 2 4" xfId="23043" xr:uid="{00000000-0005-0000-0000-00007B9C0000}"/>
    <cellStyle name="Procent 3 2 3" xfId="3013" xr:uid="{00000000-0005-0000-0000-00007C9C0000}"/>
    <cellStyle name="Procent 3 2 3 2" xfId="3014" xr:uid="{00000000-0005-0000-0000-00007D9C0000}"/>
    <cellStyle name="Procent 3 2 3 2 2" xfId="23046" xr:uid="{00000000-0005-0000-0000-00007E9C0000}"/>
    <cellStyle name="Procent 3 2 3 3" xfId="23045" xr:uid="{00000000-0005-0000-0000-00007F9C0000}"/>
    <cellStyle name="Procent 3 2 4" xfId="3015" xr:uid="{00000000-0005-0000-0000-0000809C0000}"/>
    <cellStyle name="Procent 3 2 4 2" xfId="23047" xr:uid="{00000000-0005-0000-0000-0000819C0000}"/>
    <cellStyle name="Procent 3 2 5" xfId="7505" xr:uid="{00000000-0005-0000-0000-0000829C0000}"/>
    <cellStyle name="Procent 3 2 6" xfId="23042" xr:uid="{00000000-0005-0000-0000-0000839C0000}"/>
    <cellStyle name="Procent 3 3" xfId="3016" xr:uid="{00000000-0005-0000-0000-0000849C0000}"/>
    <cellStyle name="Procent 3 3 2" xfId="3017" xr:uid="{00000000-0005-0000-0000-0000859C0000}"/>
    <cellStyle name="Procent 3 3 2 2" xfId="23049" xr:uid="{00000000-0005-0000-0000-0000869C0000}"/>
    <cellStyle name="Procent 3 3 3" xfId="7504" xr:uid="{00000000-0005-0000-0000-0000879C0000}"/>
    <cellStyle name="Procent 3 3 4" xfId="23048" xr:uid="{00000000-0005-0000-0000-0000889C0000}"/>
    <cellStyle name="Procent 3 4" xfId="3018" xr:uid="{00000000-0005-0000-0000-0000899C0000}"/>
    <cellStyle name="Procent 3 4 2" xfId="3019" xr:uid="{00000000-0005-0000-0000-00008A9C0000}"/>
    <cellStyle name="Procent 3 4 2 2" xfId="23051" xr:uid="{00000000-0005-0000-0000-00008B9C0000}"/>
    <cellStyle name="Procent 3 4 3" xfId="20163" xr:uid="{00000000-0005-0000-0000-00008C9C0000}"/>
    <cellStyle name="Procent 3 4 4" xfId="23050" xr:uid="{00000000-0005-0000-0000-00008D9C0000}"/>
    <cellStyle name="Procent 3 5" xfId="3020" xr:uid="{00000000-0005-0000-0000-00008E9C0000}"/>
    <cellStyle name="Procent 3 6" xfId="3021" xr:uid="{00000000-0005-0000-0000-00008F9C0000}"/>
    <cellStyle name="Procent 3 6 2" xfId="23052" xr:uid="{00000000-0005-0000-0000-0000909C0000}"/>
    <cellStyle name="Procent 3 7" xfId="3478" xr:uid="{00000000-0005-0000-0000-0000919C0000}"/>
    <cellStyle name="Procent 3 8" xfId="23041" xr:uid="{00000000-0005-0000-0000-0000929C0000}"/>
    <cellStyle name="Procent 4" xfId="3022" xr:uid="{00000000-0005-0000-0000-0000939C0000}"/>
    <cellStyle name="Procent 4 2" xfId="3023" xr:uid="{00000000-0005-0000-0000-0000949C0000}"/>
    <cellStyle name="Procent 4 2 2" xfId="3024" xr:uid="{00000000-0005-0000-0000-0000959C0000}"/>
    <cellStyle name="Procent 4 2 2 2" xfId="3025" xr:uid="{00000000-0005-0000-0000-0000969C0000}"/>
    <cellStyle name="Procent 4 2 2 2 2" xfId="17974" xr:uid="{00000000-0005-0000-0000-0000979C0000}"/>
    <cellStyle name="Procent 4 2 2 2 2 2" xfId="36134" xr:uid="{00000000-0005-0000-0000-0000989C0000}"/>
    <cellStyle name="Procent 4 2 2 2 3" xfId="10073" xr:uid="{00000000-0005-0000-0000-0000999C0000}"/>
    <cellStyle name="Procent 4 2 2 2 3 2" xfId="29133" xr:uid="{00000000-0005-0000-0000-00009A9C0000}"/>
    <cellStyle name="Procent 4 2 2 2 4" xfId="23056" xr:uid="{00000000-0005-0000-0000-00009B9C0000}"/>
    <cellStyle name="Procent 4 2 2 3" xfId="21216" xr:uid="{00000000-0005-0000-0000-00009C9C0000}"/>
    <cellStyle name="Procent 4 2 2 3 2" xfId="38067" xr:uid="{00000000-0005-0000-0000-00009D9C0000}"/>
    <cellStyle name="Procent 4 2 2 4" xfId="7508" xr:uid="{00000000-0005-0000-0000-00009E9C0000}"/>
    <cellStyle name="Procent 4 2 2 5" xfId="23055" xr:uid="{00000000-0005-0000-0000-00009F9C0000}"/>
    <cellStyle name="Procent 4 2 2 6" xfId="39022" xr:uid="{00000000-0005-0000-0000-0000A09C0000}"/>
    <cellStyle name="Procent 4 2 3" xfId="3026" xr:uid="{00000000-0005-0000-0000-0000A19C0000}"/>
    <cellStyle name="Procent 4 2 3 2" xfId="3027" xr:uid="{00000000-0005-0000-0000-0000A29C0000}"/>
    <cellStyle name="Procent 4 2 3 2 2" xfId="23058" xr:uid="{00000000-0005-0000-0000-0000A39C0000}"/>
    <cellStyle name="Procent 4 2 3 3" xfId="21169" xr:uid="{00000000-0005-0000-0000-0000A49C0000}"/>
    <cellStyle name="Procent 4 2 3 3 2" xfId="38047" xr:uid="{00000000-0005-0000-0000-0000A59C0000}"/>
    <cellStyle name="Procent 4 2 3 4" xfId="23057" xr:uid="{00000000-0005-0000-0000-0000A69C0000}"/>
    <cellStyle name="Procent 4 2 4" xfId="3028" xr:uid="{00000000-0005-0000-0000-0000A79C0000}"/>
    <cellStyle name="Procent 4 2 4 2" xfId="23059" xr:uid="{00000000-0005-0000-0000-0000A89C0000}"/>
    <cellStyle name="Procent 4 2 5" xfId="7507" xr:uid="{00000000-0005-0000-0000-0000A99C0000}"/>
    <cellStyle name="Procent 4 2 6" xfId="23054" xr:uid="{00000000-0005-0000-0000-0000AA9C0000}"/>
    <cellStyle name="Procent 4 2 7" xfId="39002" xr:uid="{00000000-0005-0000-0000-0000AB9C0000}"/>
    <cellStyle name="Procent 4 3" xfId="3029" xr:uid="{00000000-0005-0000-0000-0000AC9C0000}"/>
    <cellStyle name="Procent 4 3 2" xfId="3030" xr:uid="{00000000-0005-0000-0000-0000AD9C0000}"/>
    <cellStyle name="Procent 4 3 2 2" xfId="10974" xr:uid="{00000000-0005-0000-0000-0000AE9C0000}"/>
    <cellStyle name="Procent 4 3 2 2 2" xfId="18853" xr:uid="{00000000-0005-0000-0000-0000AF9C0000}"/>
    <cellStyle name="Procent 4 3 2 2 2 2" xfId="37013" xr:uid="{00000000-0005-0000-0000-0000B09C0000}"/>
    <cellStyle name="Procent 4 3 2 2 3" xfId="30012" xr:uid="{00000000-0005-0000-0000-0000B19C0000}"/>
    <cellStyle name="Procent 4 3 2 3" xfId="7510" xr:uid="{00000000-0005-0000-0000-0000B29C0000}"/>
    <cellStyle name="Procent 4 3 2 4" xfId="23061" xr:uid="{00000000-0005-0000-0000-0000B39C0000}"/>
    <cellStyle name="Procent 4 3 3" xfId="8620" xr:uid="{00000000-0005-0000-0000-0000B49C0000}"/>
    <cellStyle name="Procent 4 3 3 2" xfId="16534" xr:uid="{00000000-0005-0000-0000-0000B59C0000}"/>
    <cellStyle name="Procent 4 3 3 2 2" xfId="34694" xr:uid="{00000000-0005-0000-0000-0000B69C0000}"/>
    <cellStyle name="Procent 4 3 3 3" xfId="27693" xr:uid="{00000000-0005-0000-0000-0000B79C0000}"/>
    <cellStyle name="Procent 4 3 4" xfId="21197" xr:uid="{00000000-0005-0000-0000-0000B89C0000}"/>
    <cellStyle name="Procent 4 3 4 2" xfId="38057" xr:uid="{00000000-0005-0000-0000-0000B99C0000}"/>
    <cellStyle name="Procent 4 3 5" xfId="7509" xr:uid="{00000000-0005-0000-0000-0000BA9C0000}"/>
    <cellStyle name="Procent 4 3 6" xfId="23060" xr:uid="{00000000-0005-0000-0000-0000BB9C0000}"/>
    <cellStyle name="Procent 4 3 7" xfId="39012" xr:uid="{00000000-0005-0000-0000-0000BC9C0000}"/>
    <cellStyle name="Procent 4 4" xfId="3031" xr:uid="{00000000-0005-0000-0000-0000BD9C0000}"/>
    <cellStyle name="Procent 4 4 2" xfId="3032" xr:uid="{00000000-0005-0000-0000-0000BE9C0000}"/>
    <cellStyle name="Procent 4 4 2 2" xfId="17226" xr:uid="{00000000-0005-0000-0000-0000BF9C0000}"/>
    <cellStyle name="Procent 4 4 2 2 2" xfId="35386" xr:uid="{00000000-0005-0000-0000-0000C09C0000}"/>
    <cellStyle name="Procent 4 4 2 3" xfId="9315" xr:uid="{00000000-0005-0000-0000-0000C19C0000}"/>
    <cellStyle name="Procent 4 4 2 3 2" xfId="28385" xr:uid="{00000000-0005-0000-0000-0000C29C0000}"/>
    <cellStyle name="Procent 4 4 2 4" xfId="23063" xr:uid="{00000000-0005-0000-0000-0000C39C0000}"/>
    <cellStyle name="Procent 4 4 3" xfId="7511" xr:uid="{00000000-0005-0000-0000-0000C49C0000}"/>
    <cellStyle name="Procent 4 4 4" xfId="23062" xr:uid="{00000000-0005-0000-0000-0000C59C0000}"/>
    <cellStyle name="Procent 4 5" xfId="3033" xr:uid="{00000000-0005-0000-0000-0000C69C0000}"/>
    <cellStyle name="Procent 4 5 2" xfId="3034" xr:uid="{00000000-0005-0000-0000-0000C79C0000}"/>
    <cellStyle name="Procent 4 5 2 2" xfId="23065" xr:uid="{00000000-0005-0000-0000-0000C89C0000}"/>
    <cellStyle name="Procent 4 5 3" xfId="20165" xr:uid="{00000000-0005-0000-0000-0000C99C0000}"/>
    <cellStyle name="Procent 4 5 3 2" xfId="37678" xr:uid="{00000000-0005-0000-0000-0000CA9C0000}"/>
    <cellStyle name="Procent 4 5 4" xfId="23064" xr:uid="{00000000-0005-0000-0000-0000CB9C0000}"/>
    <cellStyle name="Procent 4 6" xfId="3035" xr:uid="{00000000-0005-0000-0000-0000CC9C0000}"/>
    <cellStyle name="Procent 4 6 2" xfId="23066" xr:uid="{00000000-0005-0000-0000-0000CD9C0000}"/>
    <cellStyle name="Procent 4 7" xfId="7506" xr:uid="{00000000-0005-0000-0000-0000CE9C0000}"/>
    <cellStyle name="Procent 4 8" xfId="23053" xr:uid="{00000000-0005-0000-0000-0000CF9C0000}"/>
    <cellStyle name="Procent 4 9" xfId="38633" xr:uid="{00000000-0005-0000-0000-0000D09C0000}"/>
    <cellStyle name="Procent 5" xfId="3036" xr:uid="{00000000-0005-0000-0000-0000D19C0000}"/>
    <cellStyle name="Procent 5 2" xfId="3037" xr:uid="{00000000-0005-0000-0000-0000D29C0000}"/>
    <cellStyle name="Procent 5 2 2" xfId="3038" xr:uid="{00000000-0005-0000-0000-0000D39C0000}"/>
    <cellStyle name="Procent 5 2 2 2" xfId="3039" xr:uid="{00000000-0005-0000-0000-0000D49C0000}"/>
    <cellStyle name="Procent 5 2 2 2 2" xfId="23070" xr:uid="{00000000-0005-0000-0000-0000D59C0000}"/>
    <cellStyle name="Procent 5 2 2 3" xfId="23069" xr:uid="{00000000-0005-0000-0000-0000D69C0000}"/>
    <cellStyle name="Procent 5 2 3" xfId="3040" xr:uid="{00000000-0005-0000-0000-0000D79C0000}"/>
    <cellStyle name="Procent 5 2 3 2" xfId="3041" xr:uid="{00000000-0005-0000-0000-0000D89C0000}"/>
    <cellStyle name="Procent 5 2 3 2 2" xfId="23072" xr:uid="{00000000-0005-0000-0000-0000D99C0000}"/>
    <cellStyle name="Procent 5 2 3 3" xfId="23071" xr:uid="{00000000-0005-0000-0000-0000DA9C0000}"/>
    <cellStyle name="Procent 5 2 4" xfId="3042" xr:uid="{00000000-0005-0000-0000-0000DB9C0000}"/>
    <cellStyle name="Procent 5 2 4 2" xfId="23073" xr:uid="{00000000-0005-0000-0000-0000DC9C0000}"/>
    <cellStyle name="Procent 5 2 5" xfId="11120" xr:uid="{00000000-0005-0000-0000-0000DD9C0000}"/>
    <cellStyle name="Procent 5 2 6" xfId="23068" xr:uid="{00000000-0005-0000-0000-0000DE9C0000}"/>
    <cellStyle name="Procent 5 3" xfId="3043" xr:uid="{00000000-0005-0000-0000-0000DF9C0000}"/>
    <cellStyle name="Procent 5 3 2" xfId="3044" xr:uid="{00000000-0005-0000-0000-0000E09C0000}"/>
    <cellStyle name="Procent 5 3 2 2" xfId="23075" xr:uid="{00000000-0005-0000-0000-0000E19C0000}"/>
    <cellStyle name="Procent 5 3 3" xfId="21220" xr:uid="{00000000-0005-0000-0000-0000E29C0000}"/>
    <cellStyle name="Procent 5 3 3 2" xfId="38071" xr:uid="{00000000-0005-0000-0000-0000E39C0000}"/>
    <cellStyle name="Procent 5 3 4" xfId="23074" xr:uid="{00000000-0005-0000-0000-0000E49C0000}"/>
    <cellStyle name="Procent 5 4" xfId="3045" xr:uid="{00000000-0005-0000-0000-0000E59C0000}"/>
    <cellStyle name="Procent 5 4 2" xfId="3046" xr:uid="{00000000-0005-0000-0000-0000E69C0000}"/>
    <cellStyle name="Procent 5 4 2 2" xfId="23077" xr:uid="{00000000-0005-0000-0000-0000E79C0000}"/>
    <cellStyle name="Procent 5 4 3" xfId="23076" xr:uid="{00000000-0005-0000-0000-0000E89C0000}"/>
    <cellStyle name="Procent 5 5" xfId="3047" xr:uid="{00000000-0005-0000-0000-0000E99C0000}"/>
    <cellStyle name="Procent 5 5 2" xfId="3048" xr:uid="{00000000-0005-0000-0000-0000EA9C0000}"/>
    <cellStyle name="Procent 5 5 2 2" xfId="23079" xr:uid="{00000000-0005-0000-0000-0000EB9C0000}"/>
    <cellStyle name="Procent 5 5 3" xfId="23078" xr:uid="{00000000-0005-0000-0000-0000EC9C0000}"/>
    <cellStyle name="Procent 5 6" xfId="3049" xr:uid="{00000000-0005-0000-0000-0000ED9C0000}"/>
    <cellStyle name="Procent 5 6 2" xfId="23080" xr:uid="{00000000-0005-0000-0000-0000EE9C0000}"/>
    <cellStyle name="Procent 5 7" xfId="7512" xr:uid="{00000000-0005-0000-0000-0000EF9C0000}"/>
    <cellStyle name="Procent 5 8" xfId="23067" xr:uid="{00000000-0005-0000-0000-0000F09C0000}"/>
    <cellStyle name="Procent 5 9" xfId="39026" xr:uid="{00000000-0005-0000-0000-0000F19C0000}"/>
    <cellStyle name="Procent 6" xfId="3050" xr:uid="{00000000-0005-0000-0000-0000F29C0000}"/>
    <cellStyle name="Procent 6 2" xfId="3051" xr:uid="{00000000-0005-0000-0000-0000F39C0000}"/>
    <cellStyle name="Procent 6 2 2" xfId="3052" xr:uid="{00000000-0005-0000-0000-0000F49C0000}"/>
    <cellStyle name="Procent 6 2 2 2" xfId="3053" xr:uid="{00000000-0005-0000-0000-0000F59C0000}"/>
    <cellStyle name="Procent 6 2 2 2 2" xfId="23084" xr:uid="{00000000-0005-0000-0000-0000F69C0000}"/>
    <cellStyle name="Procent 6 2 2 3" xfId="23083" xr:uid="{00000000-0005-0000-0000-0000F79C0000}"/>
    <cellStyle name="Procent 6 2 3" xfId="3054" xr:uid="{00000000-0005-0000-0000-0000F89C0000}"/>
    <cellStyle name="Procent 6 2 3 2" xfId="3055" xr:uid="{00000000-0005-0000-0000-0000F99C0000}"/>
    <cellStyle name="Procent 6 2 3 2 2" xfId="23086" xr:uid="{00000000-0005-0000-0000-0000FA9C0000}"/>
    <cellStyle name="Procent 6 2 3 3" xfId="23085" xr:uid="{00000000-0005-0000-0000-0000FB9C0000}"/>
    <cellStyle name="Procent 6 2 4" xfId="3056" xr:uid="{00000000-0005-0000-0000-0000FC9C0000}"/>
    <cellStyle name="Procent 6 2 4 2" xfId="23087" xr:uid="{00000000-0005-0000-0000-0000FD9C0000}"/>
    <cellStyle name="Procent 6 2 5" xfId="11121" xr:uid="{00000000-0005-0000-0000-0000FE9C0000}"/>
    <cellStyle name="Procent 6 2 6" xfId="23082" xr:uid="{00000000-0005-0000-0000-0000FF9C0000}"/>
    <cellStyle name="Procent 6 3" xfId="3057" xr:uid="{00000000-0005-0000-0000-0000009D0000}"/>
    <cellStyle name="Procent 6 3 2" xfId="3058" xr:uid="{00000000-0005-0000-0000-0000019D0000}"/>
    <cellStyle name="Procent 6 3 2 2" xfId="23089" xr:uid="{00000000-0005-0000-0000-0000029D0000}"/>
    <cellStyle name="Procent 6 3 3" xfId="23088" xr:uid="{00000000-0005-0000-0000-0000039D0000}"/>
    <cellStyle name="Procent 6 4" xfId="3059" xr:uid="{00000000-0005-0000-0000-0000049D0000}"/>
    <cellStyle name="Procent 6 4 2" xfId="3060" xr:uid="{00000000-0005-0000-0000-0000059D0000}"/>
    <cellStyle name="Procent 6 4 2 2" xfId="23091" xr:uid="{00000000-0005-0000-0000-0000069D0000}"/>
    <cellStyle name="Procent 6 4 3" xfId="23090" xr:uid="{00000000-0005-0000-0000-0000079D0000}"/>
    <cellStyle name="Procent 6 5" xfId="3061" xr:uid="{00000000-0005-0000-0000-0000089D0000}"/>
    <cellStyle name="Procent 6 5 2" xfId="3062" xr:uid="{00000000-0005-0000-0000-0000099D0000}"/>
    <cellStyle name="Procent 6 5 2 2" xfId="23093" xr:uid="{00000000-0005-0000-0000-00000A9D0000}"/>
    <cellStyle name="Procent 6 5 3" xfId="23092" xr:uid="{00000000-0005-0000-0000-00000B9D0000}"/>
    <cellStyle name="Procent 6 6" xfId="3063" xr:uid="{00000000-0005-0000-0000-00000C9D0000}"/>
    <cellStyle name="Procent 6 6 2" xfId="23094" xr:uid="{00000000-0005-0000-0000-00000D9D0000}"/>
    <cellStyle name="Procent 6 7" xfId="7513" xr:uid="{00000000-0005-0000-0000-00000E9D0000}"/>
    <cellStyle name="Procent 6 8" xfId="23081" xr:uid="{00000000-0005-0000-0000-00000F9D0000}"/>
    <cellStyle name="Procent 7" xfId="3064" xr:uid="{00000000-0005-0000-0000-0000109D0000}"/>
    <cellStyle name="Procent 7 2" xfId="3065" xr:uid="{00000000-0005-0000-0000-0000119D0000}"/>
    <cellStyle name="Procent 7 2 2" xfId="3066" xr:uid="{00000000-0005-0000-0000-0000129D0000}"/>
    <cellStyle name="Procent 7 2 2 2" xfId="3067" xr:uid="{00000000-0005-0000-0000-0000139D0000}"/>
    <cellStyle name="Procent 7 2 2 2 2" xfId="23098" xr:uid="{00000000-0005-0000-0000-0000149D0000}"/>
    <cellStyle name="Procent 7 2 2 3" xfId="11123" xr:uid="{00000000-0005-0000-0000-0000159D0000}"/>
    <cellStyle name="Procent 7 2 2 4" xfId="23097" xr:uid="{00000000-0005-0000-0000-0000169D0000}"/>
    <cellStyle name="Procent 7 2 3" xfId="3068" xr:uid="{00000000-0005-0000-0000-0000179D0000}"/>
    <cellStyle name="Procent 7 2 3 2" xfId="3069" xr:uid="{00000000-0005-0000-0000-0000189D0000}"/>
    <cellStyle name="Procent 7 2 3 2 2" xfId="23100" xr:uid="{00000000-0005-0000-0000-0000199D0000}"/>
    <cellStyle name="Procent 7 2 3 3" xfId="23099" xr:uid="{00000000-0005-0000-0000-00001A9D0000}"/>
    <cellStyle name="Procent 7 2 4" xfId="3070" xr:uid="{00000000-0005-0000-0000-00001B9D0000}"/>
    <cellStyle name="Procent 7 2 4 2" xfId="23101" xr:uid="{00000000-0005-0000-0000-00001C9D0000}"/>
    <cellStyle name="Procent 7 2 5" xfId="7515" xr:uid="{00000000-0005-0000-0000-00001D9D0000}"/>
    <cellStyle name="Procent 7 2 6" xfId="23096" xr:uid="{00000000-0005-0000-0000-00001E9D0000}"/>
    <cellStyle name="Procent 7 3" xfId="3071" xr:uid="{00000000-0005-0000-0000-00001F9D0000}"/>
    <cellStyle name="Procent 7 3 2" xfId="3072" xr:uid="{00000000-0005-0000-0000-0000209D0000}"/>
    <cellStyle name="Procent 7 3 2 2" xfId="23103" xr:uid="{00000000-0005-0000-0000-0000219D0000}"/>
    <cellStyle name="Procent 7 3 3" xfId="11122" xr:uid="{00000000-0005-0000-0000-0000229D0000}"/>
    <cellStyle name="Procent 7 3 4" xfId="23102" xr:uid="{00000000-0005-0000-0000-0000239D0000}"/>
    <cellStyle name="Procent 7 4" xfId="3073" xr:uid="{00000000-0005-0000-0000-0000249D0000}"/>
    <cellStyle name="Procent 7 4 2" xfId="3074" xr:uid="{00000000-0005-0000-0000-0000259D0000}"/>
    <cellStyle name="Procent 7 4 2 2" xfId="23105" xr:uid="{00000000-0005-0000-0000-0000269D0000}"/>
    <cellStyle name="Procent 7 4 3" xfId="23104" xr:uid="{00000000-0005-0000-0000-0000279D0000}"/>
    <cellStyle name="Procent 7 5" xfId="3075" xr:uid="{00000000-0005-0000-0000-0000289D0000}"/>
    <cellStyle name="Procent 7 5 2" xfId="3076" xr:uid="{00000000-0005-0000-0000-0000299D0000}"/>
    <cellStyle name="Procent 7 5 2 2" xfId="23107" xr:uid="{00000000-0005-0000-0000-00002A9D0000}"/>
    <cellStyle name="Procent 7 5 3" xfId="23106" xr:uid="{00000000-0005-0000-0000-00002B9D0000}"/>
    <cellStyle name="Procent 7 6" xfId="3077" xr:uid="{00000000-0005-0000-0000-00002C9D0000}"/>
    <cellStyle name="Procent 7 6 2" xfId="23108" xr:uid="{00000000-0005-0000-0000-00002D9D0000}"/>
    <cellStyle name="Procent 7 7" xfId="7514" xr:uid="{00000000-0005-0000-0000-00002E9D0000}"/>
    <cellStyle name="Procent 7 8" xfId="23095" xr:uid="{00000000-0005-0000-0000-00002F9D0000}"/>
    <cellStyle name="Procent 8" xfId="3078" xr:uid="{00000000-0005-0000-0000-0000309D0000}"/>
    <cellStyle name="Procent 8 2" xfId="3079" xr:uid="{00000000-0005-0000-0000-0000319D0000}"/>
    <cellStyle name="Procent 8 2 2" xfId="3080" xr:uid="{00000000-0005-0000-0000-0000329D0000}"/>
    <cellStyle name="Procent 8 2 2 2" xfId="3081" xr:uid="{00000000-0005-0000-0000-0000339D0000}"/>
    <cellStyle name="Procent 8 2 2 2 2" xfId="23112" xr:uid="{00000000-0005-0000-0000-0000349D0000}"/>
    <cellStyle name="Procent 8 2 2 3" xfId="9713" xr:uid="{00000000-0005-0000-0000-0000359D0000}"/>
    <cellStyle name="Procent 8 2 2 4" xfId="23111" xr:uid="{00000000-0005-0000-0000-0000369D0000}"/>
    <cellStyle name="Procent 8 2 3" xfId="3082" xr:uid="{00000000-0005-0000-0000-0000379D0000}"/>
    <cellStyle name="Procent 8 2 3 2" xfId="3083" xr:uid="{00000000-0005-0000-0000-0000389D0000}"/>
    <cellStyle name="Procent 8 2 3 2 2" xfId="23114" xr:uid="{00000000-0005-0000-0000-0000399D0000}"/>
    <cellStyle name="Procent 8 2 3 3" xfId="23113" xr:uid="{00000000-0005-0000-0000-00003A9D0000}"/>
    <cellStyle name="Procent 8 2 4" xfId="3084" xr:uid="{00000000-0005-0000-0000-00003B9D0000}"/>
    <cellStyle name="Procent 8 2 4 2" xfId="23115" xr:uid="{00000000-0005-0000-0000-00003C9D0000}"/>
    <cellStyle name="Procent 8 2 5" xfId="7517" xr:uid="{00000000-0005-0000-0000-00003D9D0000}"/>
    <cellStyle name="Procent 8 2 6" xfId="23110" xr:uid="{00000000-0005-0000-0000-00003E9D0000}"/>
    <cellStyle name="Procent 8 3" xfId="3085" xr:uid="{00000000-0005-0000-0000-00003F9D0000}"/>
    <cellStyle name="Procent 8 3 2" xfId="3086" xr:uid="{00000000-0005-0000-0000-0000409D0000}"/>
    <cellStyle name="Procent 8 3 2 2" xfId="23117" xr:uid="{00000000-0005-0000-0000-0000419D0000}"/>
    <cellStyle name="Procent 8 3 3" xfId="23116" xr:uid="{00000000-0005-0000-0000-0000429D0000}"/>
    <cellStyle name="Procent 8 4" xfId="3087" xr:uid="{00000000-0005-0000-0000-0000439D0000}"/>
    <cellStyle name="Procent 8 4 2" xfId="3088" xr:uid="{00000000-0005-0000-0000-0000449D0000}"/>
    <cellStyle name="Procent 8 4 2 2" xfId="23119" xr:uid="{00000000-0005-0000-0000-0000459D0000}"/>
    <cellStyle name="Procent 8 4 3" xfId="23118" xr:uid="{00000000-0005-0000-0000-0000469D0000}"/>
    <cellStyle name="Procent 8 5" xfId="3089" xr:uid="{00000000-0005-0000-0000-0000479D0000}"/>
    <cellStyle name="Procent 8 5 2" xfId="23120" xr:uid="{00000000-0005-0000-0000-0000489D0000}"/>
    <cellStyle name="Procent 8 6" xfId="7516" xr:uid="{00000000-0005-0000-0000-0000499D0000}"/>
    <cellStyle name="Procent 8 7" xfId="23109" xr:uid="{00000000-0005-0000-0000-00004A9D0000}"/>
    <cellStyle name="Procent 9" xfId="3090" xr:uid="{00000000-0005-0000-0000-00004B9D0000}"/>
    <cellStyle name="Procent 9 2" xfId="3091" xr:uid="{00000000-0005-0000-0000-00004C9D0000}"/>
    <cellStyle name="Procent 9 2 2" xfId="3092" xr:uid="{00000000-0005-0000-0000-00004D9D0000}"/>
    <cellStyle name="Procent 9 2 2 2" xfId="23123" xr:uid="{00000000-0005-0000-0000-00004E9D0000}"/>
    <cellStyle name="Procent 9 2 3" xfId="7519" xr:uid="{00000000-0005-0000-0000-00004F9D0000}"/>
    <cellStyle name="Procent 9 2 4" xfId="23122" xr:uid="{00000000-0005-0000-0000-0000509D0000}"/>
    <cellStyle name="Procent 9 3" xfId="3093" xr:uid="{00000000-0005-0000-0000-0000519D0000}"/>
    <cellStyle name="Procent 9 3 2" xfId="3094" xr:uid="{00000000-0005-0000-0000-0000529D0000}"/>
    <cellStyle name="Procent 9 3 2 2" xfId="23125" xr:uid="{00000000-0005-0000-0000-0000539D0000}"/>
    <cellStyle name="Procent 9 3 3" xfId="7520" xr:uid="{00000000-0005-0000-0000-0000549D0000}"/>
    <cellStyle name="Procent 9 3 4" xfId="23124" xr:uid="{00000000-0005-0000-0000-0000559D0000}"/>
    <cellStyle name="Procent 9 4" xfId="3095" xr:uid="{00000000-0005-0000-0000-0000569D0000}"/>
    <cellStyle name="Procent 9 4 2" xfId="23126" xr:uid="{00000000-0005-0000-0000-0000579D0000}"/>
    <cellStyle name="Procent 9 5" xfId="7518" xr:uid="{00000000-0005-0000-0000-0000589D0000}"/>
    <cellStyle name="Procent 9 6" xfId="23121" xr:uid="{00000000-0005-0000-0000-0000599D0000}"/>
    <cellStyle name="Sammenkædet celle 2" xfId="7522" xr:uid="{00000000-0005-0000-0000-00005A9D0000}"/>
    <cellStyle name="Sammenkædet celle 2 2" xfId="7523" xr:uid="{00000000-0005-0000-0000-00005B9D0000}"/>
    <cellStyle name="Sammenkædet celle 3" xfId="7524" xr:uid="{00000000-0005-0000-0000-00005C9D0000}"/>
    <cellStyle name="Sammenkædet celle 3 2" xfId="7525" xr:uid="{00000000-0005-0000-0000-00005D9D0000}"/>
    <cellStyle name="Sammenkædet celle 4" xfId="7526" xr:uid="{00000000-0005-0000-0000-00005E9D0000}"/>
    <cellStyle name="Sammenkædet celle 5" xfId="7527" xr:uid="{00000000-0005-0000-0000-00005F9D0000}"/>
    <cellStyle name="Sammenkædet celle 5 2" xfId="10615" xr:uid="{00000000-0005-0000-0000-0000609D0000}"/>
    <cellStyle name="Sammenkædet celle 6" xfId="7609" xr:uid="{00000000-0005-0000-0000-0000619D0000}"/>
    <cellStyle name="Sammenkædet celle 7" xfId="7521" xr:uid="{00000000-0005-0000-0000-0000629D0000}"/>
    <cellStyle name="SAPBEXaggData" xfId="7528" xr:uid="{00000000-0005-0000-0000-0000639D0000}"/>
    <cellStyle name="SAPBEXaggDataEmph" xfId="7529" xr:uid="{00000000-0005-0000-0000-0000649D0000}"/>
    <cellStyle name="SAPBEXaggItem" xfId="7530" xr:uid="{00000000-0005-0000-0000-0000659D0000}"/>
    <cellStyle name="SAPBEXaggItemX" xfId="7531" xr:uid="{00000000-0005-0000-0000-0000669D0000}"/>
    <cellStyle name="SAPBEXaggItemX 2" xfId="11124" xr:uid="{00000000-0005-0000-0000-0000679D0000}"/>
    <cellStyle name="SAPBEXchaText" xfId="7532" xr:uid="{00000000-0005-0000-0000-0000689D0000}"/>
    <cellStyle name="SAPBEXexcBad" xfId="7533" xr:uid="{00000000-0005-0000-0000-0000699D0000}"/>
    <cellStyle name="SAPBEXexcBad7" xfId="7534" xr:uid="{00000000-0005-0000-0000-00006A9D0000}"/>
    <cellStyle name="SAPBEXexcBad7 2" xfId="11125" xr:uid="{00000000-0005-0000-0000-00006B9D0000}"/>
    <cellStyle name="SAPBEXexcBad8" xfId="7535" xr:uid="{00000000-0005-0000-0000-00006C9D0000}"/>
    <cellStyle name="SAPBEXexcBad8 2" xfId="11126" xr:uid="{00000000-0005-0000-0000-00006D9D0000}"/>
    <cellStyle name="SAPBEXexcBad9" xfId="7536" xr:uid="{00000000-0005-0000-0000-00006E9D0000}"/>
    <cellStyle name="SAPBEXexcBad9 2" xfId="11127" xr:uid="{00000000-0005-0000-0000-00006F9D0000}"/>
    <cellStyle name="SAPBEXexcCritical" xfId="7537" xr:uid="{00000000-0005-0000-0000-0000709D0000}"/>
    <cellStyle name="SAPBEXexcCritical4" xfId="7538" xr:uid="{00000000-0005-0000-0000-0000719D0000}"/>
    <cellStyle name="SAPBEXexcCritical4 2" xfId="11128" xr:uid="{00000000-0005-0000-0000-0000729D0000}"/>
    <cellStyle name="SAPBEXexcCritical5" xfId="7539" xr:uid="{00000000-0005-0000-0000-0000739D0000}"/>
    <cellStyle name="SAPBEXexcCritical5 2" xfId="11129" xr:uid="{00000000-0005-0000-0000-0000749D0000}"/>
    <cellStyle name="SAPBEXexcCritical6" xfId="7540" xr:uid="{00000000-0005-0000-0000-0000759D0000}"/>
    <cellStyle name="SAPBEXexcCritical6 2" xfId="11130" xr:uid="{00000000-0005-0000-0000-0000769D0000}"/>
    <cellStyle name="SAPBEXexcGood" xfId="7541" xr:uid="{00000000-0005-0000-0000-0000779D0000}"/>
    <cellStyle name="SAPBEXexcGood1" xfId="7542" xr:uid="{00000000-0005-0000-0000-0000789D0000}"/>
    <cellStyle name="SAPBEXexcGood1 2" xfId="11131" xr:uid="{00000000-0005-0000-0000-0000799D0000}"/>
    <cellStyle name="SAPBEXexcGood2" xfId="7543" xr:uid="{00000000-0005-0000-0000-00007A9D0000}"/>
    <cellStyle name="SAPBEXexcGood2 2" xfId="11132" xr:uid="{00000000-0005-0000-0000-00007B9D0000}"/>
    <cellStyle name="SAPBEXexcGood3" xfId="7544" xr:uid="{00000000-0005-0000-0000-00007C9D0000}"/>
    <cellStyle name="SAPBEXexcGood3 2" xfId="11133" xr:uid="{00000000-0005-0000-0000-00007D9D0000}"/>
    <cellStyle name="SAPBEXexcVeryBad" xfId="7545" xr:uid="{00000000-0005-0000-0000-00007E9D0000}"/>
    <cellStyle name="SAPBEXfilterDrill" xfId="7546" xr:uid="{00000000-0005-0000-0000-00007F9D0000}"/>
    <cellStyle name="SAPBEXfilterItem" xfId="7547" xr:uid="{00000000-0005-0000-0000-0000809D0000}"/>
    <cellStyle name="SAPBEXfilterText" xfId="7548" xr:uid="{00000000-0005-0000-0000-0000819D0000}"/>
    <cellStyle name="SAPBEXformats" xfId="7549" xr:uid="{00000000-0005-0000-0000-0000829D0000}"/>
    <cellStyle name="SAPBEXheaderData" xfId="7550" xr:uid="{00000000-0005-0000-0000-0000839D0000}"/>
    <cellStyle name="SAPBEXheaderItem" xfId="7551" xr:uid="{00000000-0005-0000-0000-0000849D0000}"/>
    <cellStyle name="SAPBEXheaderText" xfId="7552" xr:uid="{00000000-0005-0000-0000-0000859D0000}"/>
    <cellStyle name="SAPBEXHLevel0" xfId="7553" xr:uid="{00000000-0005-0000-0000-0000869D0000}"/>
    <cellStyle name="SAPBEXHLevel0 2" xfId="11134" xr:uid="{00000000-0005-0000-0000-0000879D0000}"/>
    <cellStyle name="SAPBEXHLevel0X" xfId="7554" xr:uid="{00000000-0005-0000-0000-0000889D0000}"/>
    <cellStyle name="SAPBEXHLevel0X 2" xfId="11135" xr:uid="{00000000-0005-0000-0000-0000899D0000}"/>
    <cellStyle name="SAPBEXHLevel1" xfId="7555" xr:uid="{00000000-0005-0000-0000-00008A9D0000}"/>
    <cellStyle name="SAPBEXHLevel1 2" xfId="11136" xr:uid="{00000000-0005-0000-0000-00008B9D0000}"/>
    <cellStyle name="SAPBEXHLevel1X" xfId="7556" xr:uid="{00000000-0005-0000-0000-00008C9D0000}"/>
    <cellStyle name="SAPBEXHLevel1X 2" xfId="11137" xr:uid="{00000000-0005-0000-0000-00008D9D0000}"/>
    <cellStyle name="SAPBEXHLevel2" xfId="7557" xr:uid="{00000000-0005-0000-0000-00008E9D0000}"/>
    <cellStyle name="SAPBEXHLevel2 2" xfId="11138" xr:uid="{00000000-0005-0000-0000-00008F9D0000}"/>
    <cellStyle name="SAPBEXHLevel2X" xfId="7558" xr:uid="{00000000-0005-0000-0000-0000909D0000}"/>
    <cellStyle name="SAPBEXHLevel2X 2" xfId="11139" xr:uid="{00000000-0005-0000-0000-0000919D0000}"/>
    <cellStyle name="SAPBEXHLevel3" xfId="7559" xr:uid="{00000000-0005-0000-0000-0000929D0000}"/>
    <cellStyle name="SAPBEXHLevel3 2" xfId="11140" xr:uid="{00000000-0005-0000-0000-0000939D0000}"/>
    <cellStyle name="SAPBEXHLevel3X" xfId="7560" xr:uid="{00000000-0005-0000-0000-0000949D0000}"/>
    <cellStyle name="SAPBEXHLevel3X 2" xfId="11141" xr:uid="{00000000-0005-0000-0000-0000959D0000}"/>
    <cellStyle name="SAPBEXinputData" xfId="7561" xr:uid="{00000000-0005-0000-0000-0000969D0000}"/>
    <cellStyle name="SAPBEXinputData 2" xfId="11142" xr:uid="{00000000-0005-0000-0000-0000979D0000}"/>
    <cellStyle name="SAPBEXresData" xfId="7562" xr:uid="{00000000-0005-0000-0000-0000989D0000}"/>
    <cellStyle name="SAPBEXresDataEmph" xfId="7563" xr:uid="{00000000-0005-0000-0000-0000999D0000}"/>
    <cellStyle name="SAPBEXresItem" xfId="7564" xr:uid="{00000000-0005-0000-0000-00009A9D0000}"/>
    <cellStyle name="SAPBEXresItemX" xfId="7565" xr:uid="{00000000-0005-0000-0000-00009B9D0000}"/>
    <cellStyle name="SAPBEXresItemX 2" xfId="11143" xr:uid="{00000000-0005-0000-0000-00009C9D0000}"/>
    <cellStyle name="SAPBEXstdData" xfId="7566" xr:uid="{00000000-0005-0000-0000-00009D9D0000}"/>
    <cellStyle name="SAPBEXstdDataEmph" xfId="7567" xr:uid="{00000000-0005-0000-0000-00009E9D0000}"/>
    <cellStyle name="SAPBEXstdItem" xfId="7568" xr:uid="{00000000-0005-0000-0000-00009F9D0000}"/>
    <cellStyle name="SAPBEXstdItemX" xfId="7569" xr:uid="{00000000-0005-0000-0000-0000A09D0000}"/>
    <cellStyle name="SAPBEXstdItemX 2" xfId="11144" xr:uid="{00000000-0005-0000-0000-0000A19D0000}"/>
    <cellStyle name="SAPBEXsubData" xfId="7570" xr:uid="{00000000-0005-0000-0000-0000A29D0000}"/>
    <cellStyle name="SAPBEXsubDataEmph" xfId="7571" xr:uid="{00000000-0005-0000-0000-0000A39D0000}"/>
    <cellStyle name="SAPBEXsubItem" xfId="7572" xr:uid="{00000000-0005-0000-0000-0000A49D0000}"/>
    <cellStyle name="SAPBEXtitle" xfId="7573" xr:uid="{00000000-0005-0000-0000-0000A59D0000}"/>
    <cellStyle name="SAPBEXundefined" xfId="7574" xr:uid="{00000000-0005-0000-0000-0000A69D0000}"/>
    <cellStyle name="Standard_ENR_REF" xfId="7575" xr:uid="{00000000-0005-0000-0000-0000A79D0000}"/>
    <cellStyle name="Testo avviso" xfId="1752" xr:uid="{00000000-0005-0000-0000-0000A89D0000}"/>
    <cellStyle name="Testo descrittivo" xfId="1753" xr:uid="{00000000-0005-0000-0000-0000A99D0000}"/>
    <cellStyle name="Titel 2" xfId="3096" xr:uid="{00000000-0005-0000-0000-0000AA9D0000}"/>
    <cellStyle name="Titel 2 2" xfId="7577" xr:uid="{00000000-0005-0000-0000-0000AB9D0000}"/>
    <cellStyle name="Titel 3" xfId="7578" xr:uid="{00000000-0005-0000-0000-0000AC9D0000}"/>
    <cellStyle name="Titel 4" xfId="7579" xr:uid="{00000000-0005-0000-0000-0000AD9D0000}"/>
    <cellStyle name="Titel 5" xfId="7580" xr:uid="{00000000-0005-0000-0000-0000AE9D0000}"/>
    <cellStyle name="Titel 5 2" xfId="10825" xr:uid="{00000000-0005-0000-0000-0000AF9D0000}"/>
    <cellStyle name="Titel 6" xfId="7598" xr:uid="{00000000-0005-0000-0000-0000B09D0000}"/>
    <cellStyle name="Titel 7" xfId="7576" xr:uid="{00000000-0005-0000-0000-0000B19D0000}"/>
    <cellStyle name="Title 2" xfId="3097" xr:uid="{00000000-0005-0000-0000-0000B29D0000}"/>
    <cellStyle name="Title 3" xfId="3454" xr:uid="{00000000-0005-0000-0000-0000B39D0000}"/>
    <cellStyle name="Titolo" xfId="1754" xr:uid="{00000000-0005-0000-0000-0000B49D0000}"/>
    <cellStyle name="Titolo 1" xfId="1755" xr:uid="{00000000-0005-0000-0000-0000B59D0000}"/>
    <cellStyle name="Titolo 2" xfId="1756" xr:uid="{00000000-0005-0000-0000-0000B69D0000}"/>
    <cellStyle name="Titolo 3" xfId="1757" xr:uid="{00000000-0005-0000-0000-0000B79D0000}"/>
    <cellStyle name="Titolo 4" xfId="1758" xr:uid="{00000000-0005-0000-0000-0000B89D0000}"/>
    <cellStyle name="Total" xfId="3116" builtinId="25" customBuiltin="1"/>
    <cellStyle name="Total 2" xfId="3098" xr:uid="{00000000-0005-0000-0000-0000BA9D0000}"/>
    <cellStyle name="Total 2 2" xfId="3099" xr:uid="{00000000-0005-0000-0000-0000BB9D0000}"/>
    <cellStyle name="Total 2 2 2" xfId="9714" xr:uid="{00000000-0005-0000-0000-0000BC9D0000}"/>
    <cellStyle name="Total 2 2 3" xfId="7583" xr:uid="{00000000-0005-0000-0000-0000BD9D0000}"/>
    <cellStyle name="Total 2 2 4" xfId="23128" xr:uid="{00000000-0005-0000-0000-0000BE9D0000}"/>
    <cellStyle name="Total 2 3" xfId="15536" xr:uid="{00000000-0005-0000-0000-0000BF9D0000}"/>
    <cellStyle name="Total 2 4" xfId="7582" xr:uid="{00000000-0005-0000-0000-0000C09D0000}"/>
    <cellStyle name="Total 2 4 2" xfId="26698" xr:uid="{00000000-0005-0000-0000-0000C19D0000}"/>
    <cellStyle name="Total 2 5" xfId="23127" xr:uid="{00000000-0005-0000-0000-0000C29D0000}"/>
    <cellStyle name="Total 3" xfId="7584" xr:uid="{00000000-0005-0000-0000-0000C39D0000}"/>
    <cellStyle name="Total 3 2" xfId="15537" xr:uid="{00000000-0005-0000-0000-0000C49D0000}"/>
    <cellStyle name="Total 4" xfId="7585" xr:uid="{00000000-0005-0000-0000-0000C59D0000}"/>
    <cellStyle name="Total 4 2" xfId="15538" xr:uid="{00000000-0005-0000-0000-0000C69D0000}"/>
    <cellStyle name="Total 5" xfId="7586" xr:uid="{00000000-0005-0000-0000-0000C79D0000}"/>
    <cellStyle name="Total 5 2" xfId="10844" xr:uid="{00000000-0005-0000-0000-0000C89D0000}"/>
    <cellStyle name="Total 5 3" xfId="15539" xr:uid="{00000000-0005-0000-0000-0000C99D0000}"/>
    <cellStyle name="Total 6" xfId="7610" xr:uid="{00000000-0005-0000-0000-0000CA9D0000}"/>
    <cellStyle name="Total 7" xfId="7581" xr:uid="{00000000-0005-0000-0000-0000CB9D0000}"/>
    <cellStyle name="Total 7 2" xfId="15535" xr:uid="{00000000-0005-0000-0000-0000CC9D0000}"/>
    <cellStyle name="Totale" xfId="1759" xr:uid="{00000000-0005-0000-0000-0000CD9D0000}"/>
    <cellStyle name="Totale 2" xfId="12281" xr:uid="{00000000-0005-0000-0000-0000CE9D0000}"/>
    <cellStyle name="Totale 3" xfId="18965" xr:uid="{00000000-0005-0000-0000-0000CF9D0000}"/>
    <cellStyle name="Totale 4" xfId="20166" xr:uid="{00000000-0005-0000-0000-0000D09D0000}"/>
    <cellStyle name="Udgår måske?" xfId="3474" xr:uid="{00000000-0005-0000-0000-0000D19D0000}"/>
    <cellStyle name="Ugyldig 2" xfId="7588" xr:uid="{00000000-0005-0000-0000-0000D29D0000}"/>
    <cellStyle name="Ugyldig 2 2" xfId="21225" xr:uid="{00000000-0005-0000-0000-0000D39D0000}"/>
    <cellStyle name="Ugyldig 3" xfId="7589" xr:uid="{00000000-0005-0000-0000-0000D49D0000}"/>
    <cellStyle name="Ugyldig 4" xfId="7590" xr:uid="{00000000-0005-0000-0000-0000D59D0000}"/>
    <cellStyle name="Ugyldig 5" xfId="7591" xr:uid="{00000000-0005-0000-0000-0000D69D0000}"/>
    <cellStyle name="Ugyldig 5 2" xfId="10703" xr:uid="{00000000-0005-0000-0000-0000D79D0000}"/>
    <cellStyle name="Ugyldig 6" xfId="7604" xr:uid="{00000000-0005-0000-0000-0000D89D0000}"/>
    <cellStyle name="Ugyldig 7" xfId="7587" xr:uid="{00000000-0005-0000-0000-0000D99D0000}"/>
    <cellStyle name="Uncertain" xfId="1760" xr:uid="{00000000-0005-0000-0000-0000DA9D0000}"/>
    <cellStyle name="Valore non valido" xfId="1761" xr:uid="{00000000-0005-0000-0000-0000DB9D0000}"/>
    <cellStyle name="Valore valido" xfId="1762" xr:uid="{00000000-0005-0000-0000-0000DC9D0000}"/>
    <cellStyle name="Valuta 2" xfId="7593" xr:uid="{00000000-0005-0000-0000-0000DD9D0000}"/>
    <cellStyle name="Valuta 3" xfId="7594" xr:uid="{00000000-0005-0000-0000-0000DE9D0000}"/>
    <cellStyle name="Valuta 4" xfId="7595" xr:uid="{00000000-0005-0000-0000-0000DF9D0000}"/>
    <cellStyle name="Valuta 5" xfId="7596" xr:uid="{00000000-0005-0000-0000-0000E09D0000}"/>
    <cellStyle name="Valuta 6" xfId="7592" xr:uid="{00000000-0005-0000-0000-0000E19D0000}"/>
    <cellStyle name="Warning Text" xfId="3114" builtinId="11" customBuiltin="1"/>
    <cellStyle name="Warning Text 2" xfId="3100" xr:uid="{00000000-0005-0000-0000-0000E39D0000}"/>
    <cellStyle name="X08_Total Oil" xfId="3101" xr:uid="{00000000-0005-0000-0000-0000E49D0000}"/>
    <cellStyle name="X12_Total Figs 1 dec" xfId="3102" xr:uid="{00000000-0005-0000-0000-0000E59D0000}"/>
    <cellStyle name="Year" xfId="1763" xr:uid="{00000000-0005-0000-0000-0000E69D0000}"/>
    <cellStyle name="Years" xfId="1764" xr:uid="{00000000-0005-0000-0000-0000E79D0000}"/>
    <cellStyle name="Βασικό_Φύλλο1" xfId="7597" xr:uid="{00000000-0005-0000-0000-0000E89D0000}"/>
    <cellStyle name="Обычный_CRF2002 (1)" xfId="1765" xr:uid="{00000000-0005-0000-0000-0000E9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CAP2ACT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'CAP2ACT investigation'!$L$76</c:f>
              <c:strCache>
                <c:ptCount val="1"/>
                <c:pt idx="0">
                  <c:v>NO</c:v>
                </c:pt>
              </c:strCache>
            </c:strRef>
          </c:tx>
          <c:spPr>
            <a:ln w="28575" cap="rnd">
              <a:solidFill>
                <a:schemeClr val="accent1"/>
              </a:solidFill>
              <a:round/>
            </a:ln>
            <a:effectLst/>
          </c:spPr>
          <c:marker>
            <c:symbol val="none"/>
          </c:marker>
          <c:cat>
            <c:strRef>
              <c:f>'CAP2ACT investigation'!$K$77:$K$83</c:f>
              <c:strCache>
                <c:ptCount val="7"/>
                <c:pt idx="0">
                  <c:v>EROAD1</c:v>
                </c:pt>
                <c:pt idx="1">
                  <c:v>EROAD2</c:v>
                </c:pt>
                <c:pt idx="2">
                  <c:v>EROAD3</c:v>
                </c:pt>
                <c:pt idx="3">
                  <c:v>EROAD4</c:v>
                </c:pt>
                <c:pt idx="4">
                  <c:v>EROAD5</c:v>
                </c:pt>
                <c:pt idx="5">
                  <c:v>EROAD6</c:v>
                </c:pt>
                <c:pt idx="6">
                  <c:v>EROAD7</c:v>
                </c:pt>
              </c:strCache>
            </c:strRef>
          </c:cat>
          <c:val>
            <c:numRef>
              <c:f>'CAP2ACT investigation'!$L$77:$L$83</c:f>
              <c:numCache>
                <c:formatCode>0.0000</c:formatCode>
                <c:ptCount val="7"/>
                <c:pt idx="0">
                  <c:v>2.8205383921351568E-3</c:v>
                </c:pt>
                <c:pt idx="1">
                  <c:v>2.0040667523065592E-3</c:v>
                </c:pt>
                <c:pt idx="2">
                  <c:v>1.0432128299677978E-3</c:v>
                </c:pt>
                <c:pt idx="3">
                  <c:v>6.191425738833274E-4</c:v>
                </c:pt>
                <c:pt idx="4">
                  <c:v>4.1614500867567875E-4</c:v>
                </c:pt>
                <c:pt idx="5">
                  <c:v>2.3724154700202258E-4</c:v>
                </c:pt>
                <c:pt idx="6">
                  <c:v>7.247024294625269E-5</c:v>
                </c:pt>
              </c:numCache>
            </c:numRef>
          </c:val>
          <c:smooth val="0"/>
          <c:extLst>
            <c:ext xmlns:c16="http://schemas.microsoft.com/office/drawing/2014/chart" uri="{C3380CC4-5D6E-409C-BE32-E72D297353CC}">
              <c16:uniqueId val="{00000000-4F18-4F00-B3B0-2B1E9BF7E11A}"/>
            </c:ext>
          </c:extLst>
        </c:ser>
        <c:ser>
          <c:idx val="1"/>
          <c:order val="1"/>
          <c:tx>
            <c:strRef>
              <c:f>'CAP2ACT investigation'!$M$76</c:f>
              <c:strCache>
                <c:ptCount val="1"/>
                <c:pt idx="0">
                  <c:v>SE</c:v>
                </c:pt>
              </c:strCache>
            </c:strRef>
          </c:tx>
          <c:spPr>
            <a:ln w="28575" cap="rnd">
              <a:solidFill>
                <a:schemeClr val="accent2"/>
              </a:solidFill>
              <a:round/>
            </a:ln>
            <a:effectLst/>
          </c:spPr>
          <c:marker>
            <c:symbol val="none"/>
          </c:marker>
          <c:cat>
            <c:strRef>
              <c:f>'CAP2ACT investigation'!$K$77:$K$83</c:f>
              <c:strCache>
                <c:ptCount val="7"/>
                <c:pt idx="0">
                  <c:v>EROAD1</c:v>
                </c:pt>
                <c:pt idx="1">
                  <c:v>EROAD2</c:v>
                </c:pt>
                <c:pt idx="2">
                  <c:v>EROAD3</c:v>
                </c:pt>
                <c:pt idx="3">
                  <c:v>EROAD4</c:v>
                </c:pt>
                <c:pt idx="4">
                  <c:v>EROAD5</c:v>
                </c:pt>
                <c:pt idx="5">
                  <c:v>EROAD6</c:v>
                </c:pt>
                <c:pt idx="6">
                  <c:v>EROAD7</c:v>
                </c:pt>
              </c:strCache>
            </c:strRef>
          </c:cat>
          <c:val>
            <c:numRef>
              <c:f>'CAP2ACT investigation'!$M$77:$M$83</c:f>
              <c:numCache>
                <c:formatCode>0.0000</c:formatCode>
                <c:ptCount val="7"/>
                <c:pt idx="0">
                  <c:v>6.2304419172163721E-3</c:v>
                </c:pt>
                <c:pt idx="1">
                  <c:v>4.4268929411800549E-3</c:v>
                </c:pt>
                <c:pt idx="2">
                  <c:v>2.3044100241759184E-3</c:v>
                </c:pt>
                <c:pt idx="3">
                  <c:v>1.3676579818279848E-3</c:v>
                </c:pt>
                <c:pt idx="4">
                  <c:v>9.1924552876962808E-4</c:v>
                </c:pt>
                <c:pt idx="5">
                  <c:v>5.2405586219576947E-4</c:v>
                </c:pt>
                <c:pt idx="6">
                  <c:v>1.6008349351393988E-4</c:v>
                </c:pt>
              </c:numCache>
            </c:numRef>
          </c:val>
          <c:smooth val="0"/>
          <c:extLst>
            <c:ext xmlns:c16="http://schemas.microsoft.com/office/drawing/2014/chart" uri="{C3380CC4-5D6E-409C-BE32-E72D297353CC}">
              <c16:uniqueId val="{00000001-4F18-4F00-B3B0-2B1E9BF7E11A}"/>
            </c:ext>
          </c:extLst>
        </c:ser>
        <c:ser>
          <c:idx val="2"/>
          <c:order val="2"/>
          <c:tx>
            <c:strRef>
              <c:f>'CAP2ACT investigation'!$N$76</c:f>
              <c:strCache>
                <c:ptCount val="1"/>
                <c:pt idx="0">
                  <c:v>DK</c:v>
                </c:pt>
              </c:strCache>
            </c:strRef>
          </c:tx>
          <c:spPr>
            <a:ln w="28575" cap="rnd">
              <a:solidFill>
                <a:schemeClr val="accent3"/>
              </a:solidFill>
              <a:round/>
            </a:ln>
            <a:effectLst/>
          </c:spPr>
          <c:marker>
            <c:symbol val="none"/>
          </c:marker>
          <c:cat>
            <c:strRef>
              <c:f>'CAP2ACT investigation'!$K$77:$K$83</c:f>
              <c:strCache>
                <c:ptCount val="7"/>
                <c:pt idx="0">
                  <c:v>EROAD1</c:v>
                </c:pt>
                <c:pt idx="1">
                  <c:v>EROAD2</c:v>
                </c:pt>
                <c:pt idx="2">
                  <c:v>EROAD3</c:v>
                </c:pt>
                <c:pt idx="3">
                  <c:v>EROAD4</c:v>
                </c:pt>
                <c:pt idx="4">
                  <c:v>EROAD5</c:v>
                </c:pt>
                <c:pt idx="5">
                  <c:v>EROAD6</c:v>
                </c:pt>
                <c:pt idx="6">
                  <c:v>EROAD7</c:v>
                </c:pt>
              </c:strCache>
            </c:strRef>
          </c:cat>
          <c:val>
            <c:numRef>
              <c:f>'CAP2ACT investigation'!$N$77:$N$83</c:f>
              <c:numCache>
                <c:formatCode>0.0000</c:formatCode>
                <c:ptCount val="7"/>
                <c:pt idx="0">
                  <c:v>8.98028678972633E-3</c:v>
                </c:pt>
                <c:pt idx="1">
                  <c:v>6.3807300874371272E-3</c:v>
                </c:pt>
                <c:pt idx="2">
                  <c:v>3.3214759359261772E-3</c:v>
                </c:pt>
                <c:pt idx="3">
                  <c:v>1.9712824660374872E-3</c:v>
                </c:pt>
                <c:pt idx="4">
                  <c:v>1.3249603460251955E-3</c:v>
                </c:pt>
                <c:pt idx="5">
                  <c:v>7.5535122530408379E-4</c:v>
                </c:pt>
                <c:pt idx="6">
                  <c:v>2.3073735397227837E-4</c:v>
                </c:pt>
              </c:numCache>
            </c:numRef>
          </c:val>
          <c:smooth val="0"/>
          <c:extLst>
            <c:ext xmlns:c16="http://schemas.microsoft.com/office/drawing/2014/chart" uri="{C3380CC4-5D6E-409C-BE32-E72D297353CC}">
              <c16:uniqueId val="{00000002-4F18-4F00-B3B0-2B1E9BF7E11A}"/>
            </c:ext>
          </c:extLst>
        </c:ser>
        <c:ser>
          <c:idx val="3"/>
          <c:order val="3"/>
          <c:tx>
            <c:strRef>
              <c:f>'CAP2ACT investigation'!$O$76</c:f>
              <c:strCache>
                <c:ptCount val="1"/>
                <c:pt idx="0">
                  <c:v>Average</c:v>
                </c:pt>
              </c:strCache>
            </c:strRef>
          </c:tx>
          <c:spPr>
            <a:ln w="28575" cap="rnd">
              <a:solidFill>
                <a:schemeClr val="accent4"/>
              </a:solidFill>
              <a:round/>
            </a:ln>
            <a:effectLst/>
          </c:spPr>
          <c:marker>
            <c:symbol val="none"/>
          </c:marker>
          <c:cat>
            <c:strRef>
              <c:f>'CAP2ACT investigation'!$K$77:$K$83</c:f>
              <c:strCache>
                <c:ptCount val="7"/>
                <c:pt idx="0">
                  <c:v>EROAD1</c:v>
                </c:pt>
                <c:pt idx="1">
                  <c:v>EROAD2</c:v>
                </c:pt>
                <c:pt idx="2">
                  <c:v>EROAD3</c:v>
                </c:pt>
                <c:pt idx="3">
                  <c:v>EROAD4</c:v>
                </c:pt>
                <c:pt idx="4">
                  <c:v>EROAD5</c:v>
                </c:pt>
                <c:pt idx="5">
                  <c:v>EROAD6</c:v>
                </c:pt>
                <c:pt idx="6">
                  <c:v>EROAD7</c:v>
                </c:pt>
              </c:strCache>
            </c:strRef>
          </c:cat>
          <c:val>
            <c:numRef>
              <c:f>'CAP2ACT investigation'!$O$77:$O$83</c:f>
              <c:numCache>
                <c:formatCode>0.0000</c:formatCode>
                <c:ptCount val="7"/>
                <c:pt idx="0">
                  <c:v>6.0104223663592872E-3</c:v>
                </c:pt>
                <c:pt idx="1">
                  <c:v>4.270563260307913E-3</c:v>
                </c:pt>
                <c:pt idx="2">
                  <c:v>2.2230329300232977E-3</c:v>
                </c:pt>
                <c:pt idx="3">
                  <c:v>1.3193610072496E-3</c:v>
                </c:pt>
                <c:pt idx="4">
                  <c:v>8.8678362782350069E-4</c:v>
                </c:pt>
                <c:pt idx="5">
                  <c:v>5.0554954483395854E-4</c:v>
                </c:pt>
                <c:pt idx="6">
                  <c:v>1.5443036347749032E-4</c:v>
                </c:pt>
              </c:numCache>
            </c:numRef>
          </c:val>
          <c:smooth val="0"/>
          <c:extLst>
            <c:ext xmlns:c16="http://schemas.microsoft.com/office/drawing/2014/chart" uri="{C3380CC4-5D6E-409C-BE32-E72D297353CC}">
              <c16:uniqueId val="{00000003-4F18-4F00-B3B0-2B1E9BF7E11A}"/>
            </c:ext>
          </c:extLst>
        </c:ser>
        <c:dLbls>
          <c:showLegendKey val="0"/>
          <c:showVal val="0"/>
          <c:showCatName val="0"/>
          <c:showSerName val="0"/>
          <c:showPercent val="0"/>
          <c:showBubbleSize val="0"/>
        </c:dLbls>
        <c:smooth val="0"/>
        <c:axId val="829368864"/>
        <c:axId val="829369192"/>
      </c:lineChart>
      <c:catAx>
        <c:axId val="82936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829369192"/>
        <c:crosses val="autoZero"/>
        <c:auto val="1"/>
        <c:lblAlgn val="ctr"/>
        <c:lblOffset val="100"/>
        <c:noMultiLvlLbl val="0"/>
      </c:catAx>
      <c:valAx>
        <c:axId val="82936919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829368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5.emf"/><Relationship Id="rId1" Type="http://schemas.openxmlformats.org/officeDocument/2006/relationships/image" Target="../media/image4.png"/><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oneCellAnchor>
    <xdr:from>
      <xdr:col>12</xdr:col>
      <xdr:colOff>0</xdr:colOff>
      <xdr:row>41</xdr:row>
      <xdr:rowOff>0</xdr:rowOff>
    </xdr:from>
    <xdr:ext cx="5699760" cy="3635829"/>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2409714" y="3048000"/>
          <a:ext cx="5699760" cy="363582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200" b="1">
              <a:solidFill>
                <a:schemeClr val="tx1"/>
              </a:solidFill>
              <a:effectLst/>
              <a:latin typeface="+mn-lt"/>
              <a:ea typeface="+mn-ea"/>
              <a:cs typeface="+mn-cs"/>
            </a:rPr>
            <a:t>Notes RAFS</a:t>
          </a:r>
          <a:r>
            <a:rPr lang="da-DK" sz="1200" b="1" baseline="0">
              <a:solidFill>
                <a:schemeClr val="tx1"/>
              </a:solidFill>
              <a:effectLst/>
              <a:latin typeface="+mn-lt"/>
              <a:ea typeface="+mn-ea"/>
              <a:cs typeface="+mn-cs"/>
            </a:rPr>
            <a:t> 24th April </a:t>
          </a:r>
          <a:r>
            <a:rPr lang="da-DK" sz="1200" b="1">
              <a:solidFill>
                <a:schemeClr val="tx1"/>
              </a:solidFill>
              <a:effectLst/>
              <a:latin typeface="+mn-lt"/>
              <a:ea typeface="+mn-ea"/>
              <a:cs typeface="+mn-cs"/>
            </a:rPr>
            <a:t>2019:</a:t>
          </a:r>
          <a:endParaRPr lang="en-GB" sz="1200"/>
        </a:p>
        <a:p>
          <a:endParaRPr lang="en-GB" sz="1200" baseline="0"/>
        </a:p>
        <a:p>
          <a:r>
            <a:rPr lang="en-GB" sz="1200" baseline="0"/>
            <a:t>In this file e-roads and trucks using them are defined.</a:t>
          </a:r>
        </a:p>
        <a:p>
          <a:endParaRPr lang="en-GB" sz="1200" baseline="0"/>
        </a:p>
        <a:p>
          <a:r>
            <a:rPr lang="en-GB" sz="1200" b="1" baseline="0"/>
            <a:t>NB</a:t>
          </a:r>
        </a:p>
        <a:p>
          <a:endParaRPr lang="en-GB" sz="1200" b="1" baseline="0">
            <a:solidFill>
              <a:srgbClr val="FF0000"/>
            </a:solidFill>
          </a:endParaRPr>
        </a:p>
        <a:p>
          <a:r>
            <a:rPr lang="en-GB" sz="1200" b="0" baseline="0">
              <a:solidFill>
                <a:srgbClr val="FF0000"/>
              </a:solidFill>
            </a:rPr>
            <a:t>The Cap2act for e-roads infrastrucutre should be updated with the new data from WP2 or other sources focussing only on freight corridors. What is implemented now is based on National statistics.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23</xdr:col>
      <xdr:colOff>611777</xdr:colOff>
      <xdr:row>1</xdr:row>
      <xdr:rowOff>91439</xdr:rowOff>
    </xdr:from>
    <xdr:to>
      <xdr:col>27</xdr:col>
      <xdr:colOff>787037</xdr:colOff>
      <xdr:row>2</xdr:row>
      <xdr:rowOff>285750</xdr:rowOff>
    </xdr:to>
    <xdr:sp macro="" textlink="">
      <xdr:nvSpPr>
        <xdr:cNvPr id="2" name="TextBox 1">
          <a:extLst>
            <a:ext uri="{FF2B5EF4-FFF2-40B4-BE49-F238E27FC236}">
              <a16:creationId xmlns:a16="http://schemas.microsoft.com/office/drawing/2014/main" id="{5656BF28-53DB-4F91-A266-8AA03CE1A4F1}"/>
            </a:ext>
          </a:extLst>
        </xdr:cNvPr>
        <xdr:cNvSpPr txBox="1"/>
      </xdr:nvSpPr>
      <xdr:spPr>
        <a:xfrm>
          <a:off x="18355491" y="254725"/>
          <a:ext cx="3536225" cy="3575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238125</xdr:colOff>
      <xdr:row>26</xdr:row>
      <xdr:rowOff>38100</xdr:rowOff>
    </xdr:from>
    <xdr:to>
      <xdr:col>26</xdr:col>
      <xdr:colOff>609161</xdr:colOff>
      <xdr:row>40</xdr:row>
      <xdr:rowOff>94900</xdr:rowOff>
    </xdr:to>
    <xdr:pic>
      <xdr:nvPicPr>
        <xdr:cNvPr id="3" name="Picture 2">
          <a:extLst>
            <a:ext uri="{FF2B5EF4-FFF2-40B4-BE49-F238E27FC236}">
              <a16:creationId xmlns:a16="http://schemas.microsoft.com/office/drawing/2014/main" id="{3D7870FA-3308-44C6-B8CC-1087BCA2D091}"/>
            </a:ext>
          </a:extLst>
        </xdr:cNvPr>
        <xdr:cNvPicPr>
          <a:picLocks noChangeAspect="1"/>
        </xdr:cNvPicPr>
      </xdr:nvPicPr>
      <xdr:blipFill>
        <a:blip xmlns:r="http://schemas.openxmlformats.org/officeDocument/2006/relationships" r:embed="rId1"/>
        <a:stretch>
          <a:fillRect/>
        </a:stretch>
      </xdr:blipFill>
      <xdr:spPr>
        <a:xfrm>
          <a:off x="15906750" y="4295775"/>
          <a:ext cx="3514286" cy="2800000"/>
        </a:xfrm>
        <a:prstGeom prst="rect">
          <a:avLst/>
        </a:prstGeom>
      </xdr:spPr>
    </xdr:pic>
    <xdr:clientData/>
  </xdr:twoCellAnchor>
  <xdr:twoCellAnchor>
    <xdr:from>
      <xdr:col>16</xdr:col>
      <xdr:colOff>487455</xdr:colOff>
      <xdr:row>73</xdr:row>
      <xdr:rowOff>141194</xdr:rowOff>
    </xdr:from>
    <xdr:to>
      <xdr:col>23</xdr:col>
      <xdr:colOff>1030941</xdr:colOff>
      <xdr:row>94</xdr:row>
      <xdr:rowOff>134471</xdr:rowOff>
    </xdr:to>
    <xdr:graphicFrame macro="">
      <xdr:nvGraphicFramePr>
        <xdr:cNvPr id="2" name="Chart 1">
          <a:extLst>
            <a:ext uri="{FF2B5EF4-FFF2-40B4-BE49-F238E27FC236}">
              <a16:creationId xmlns:a16="http://schemas.microsoft.com/office/drawing/2014/main" id="{AF393583-C04E-4A8C-B236-1510BE34E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113587</xdr:colOff>
      <xdr:row>6</xdr:row>
      <xdr:rowOff>46934</xdr:rowOff>
    </xdr:from>
    <xdr:to>
      <xdr:col>30</xdr:col>
      <xdr:colOff>584355</xdr:colOff>
      <xdr:row>22</xdr:row>
      <xdr:rowOff>79590</xdr:rowOff>
    </xdr:to>
    <xdr:pic>
      <xdr:nvPicPr>
        <xdr:cNvPr id="2" name="Picture 1">
          <a:extLst>
            <a:ext uri="{FF2B5EF4-FFF2-40B4-BE49-F238E27FC236}">
              <a16:creationId xmlns:a16="http://schemas.microsoft.com/office/drawing/2014/main" id="{8894A807-1823-40E1-9A06-BB21139E901E}"/>
            </a:ext>
          </a:extLst>
        </xdr:cNvPr>
        <xdr:cNvPicPr>
          <a:picLocks noChangeAspect="1"/>
        </xdr:cNvPicPr>
      </xdr:nvPicPr>
      <xdr:blipFill>
        <a:blip xmlns:r="http://schemas.openxmlformats.org/officeDocument/2006/relationships" r:embed="rId1"/>
        <a:stretch>
          <a:fillRect/>
        </a:stretch>
      </xdr:blipFill>
      <xdr:spPr>
        <a:xfrm>
          <a:off x="18268237" y="913709"/>
          <a:ext cx="3518768" cy="2804431"/>
        </a:xfrm>
        <a:prstGeom prst="rect">
          <a:avLst/>
        </a:prstGeom>
      </xdr:spPr>
    </xdr:pic>
    <xdr:clientData/>
  </xdr:twoCellAnchor>
  <xdr:twoCellAnchor editAs="oneCell">
    <xdr:from>
      <xdr:col>1</xdr:col>
      <xdr:colOff>22412</xdr:colOff>
      <xdr:row>37</xdr:row>
      <xdr:rowOff>44823</xdr:rowOff>
    </xdr:from>
    <xdr:to>
      <xdr:col>18</xdr:col>
      <xdr:colOff>342419</xdr:colOff>
      <xdr:row>72</xdr:row>
      <xdr:rowOff>140073</xdr:rowOff>
    </xdr:to>
    <xdr:pic>
      <xdr:nvPicPr>
        <xdr:cNvPr id="3" name="Picture 2">
          <a:extLst>
            <a:ext uri="{FF2B5EF4-FFF2-40B4-BE49-F238E27FC236}">
              <a16:creationId xmlns:a16="http://schemas.microsoft.com/office/drawing/2014/main" id="{3FB2798D-7415-4E9E-B6F4-6621FAC7F0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212" y="5836023"/>
          <a:ext cx="11892882" cy="576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74</xdr:row>
      <xdr:rowOff>0</xdr:rowOff>
    </xdr:from>
    <xdr:to>
      <xdr:col>11</xdr:col>
      <xdr:colOff>257175</xdr:colOff>
      <xdr:row>93</xdr:row>
      <xdr:rowOff>116382</xdr:rowOff>
    </xdr:to>
    <xdr:pic>
      <xdr:nvPicPr>
        <xdr:cNvPr id="4" name="Picture 3">
          <a:extLst>
            <a:ext uri="{FF2B5EF4-FFF2-40B4-BE49-F238E27FC236}">
              <a16:creationId xmlns:a16="http://schemas.microsoft.com/office/drawing/2014/main" id="{CDBA4890-ADAC-46C0-A392-B78534B2C1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1" y="12296775"/>
          <a:ext cx="7277099" cy="3192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171450</xdr:colOff>
      <xdr:row>33</xdr:row>
      <xdr:rowOff>104775</xdr:rowOff>
    </xdr:from>
    <xdr:to>
      <xdr:col>18</xdr:col>
      <xdr:colOff>351869</xdr:colOff>
      <xdr:row>53</xdr:row>
      <xdr:rowOff>37704</xdr:rowOff>
    </xdr:to>
    <xdr:pic>
      <xdr:nvPicPr>
        <xdr:cNvPr id="3" name="Picture 2">
          <a:extLst>
            <a:ext uri="{FF2B5EF4-FFF2-40B4-BE49-F238E27FC236}">
              <a16:creationId xmlns:a16="http://schemas.microsoft.com/office/drawing/2014/main" id="{C51C69E6-1FD3-462A-865B-A1F5F16AF840}"/>
            </a:ext>
          </a:extLst>
        </xdr:cNvPr>
        <xdr:cNvPicPr>
          <a:picLocks noChangeAspect="1"/>
        </xdr:cNvPicPr>
      </xdr:nvPicPr>
      <xdr:blipFill>
        <a:blip xmlns:r="http://schemas.openxmlformats.org/officeDocument/2006/relationships" r:embed="rId1"/>
        <a:stretch>
          <a:fillRect/>
        </a:stretch>
      </xdr:blipFill>
      <xdr:spPr>
        <a:xfrm>
          <a:off x="8734425" y="5448300"/>
          <a:ext cx="4447619" cy="3171429"/>
        </a:xfrm>
        <a:prstGeom prst="rect">
          <a:avLst/>
        </a:prstGeom>
      </xdr:spPr>
    </xdr:pic>
    <xdr:clientData/>
  </xdr:twoCellAnchor>
  <xdr:twoCellAnchor editAs="oneCell">
    <xdr:from>
      <xdr:col>14</xdr:col>
      <xdr:colOff>517071</xdr:colOff>
      <xdr:row>80</xdr:row>
      <xdr:rowOff>129267</xdr:rowOff>
    </xdr:from>
    <xdr:to>
      <xdr:col>34</xdr:col>
      <xdr:colOff>40820</xdr:colOff>
      <xdr:row>111</xdr:row>
      <xdr:rowOff>80281</xdr:rowOff>
    </xdr:to>
    <xdr:pic>
      <xdr:nvPicPr>
        <xdr:cNvPr id="4" name="Picture 3">
          <a:extLst>
            <a:ext uri="{FF2B5EF4-FFF2-40B4-BE49-F238E27FC236}">
              <a16:creationId xmlns:a16="http://schemas.microsoft.com/office/drawing/2014/main" id="{F4987495-560F-4252-B3F9-D95440A3BE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17035" y="13192124"/>
          <a:ext cx="11770178" cy="5012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xdr:row>
      <xdr:rowOff>1</xdr:rowOff>
    </xdr:from>
    <xdr:to>
      <xdr:col>24</xdr:col>
      <xdr:colOff>164330</xdr:colOff>
      <xdr:row>81</xdr:row>
      <xdr:rowOff>40821</xdr:rowOff>
    </xdr:to>
    <xdr:pic>
      <xdr:nvPicPr>
        <xdr:cNvPr id="5" name="Picture 4">
          <a:extLst>
            <a:ext uri="{FF2B5EF4-FFF2-40B4-BE49-F238E27FC236}">
              <a16:creationId xmlns:a16="http://schemas.microsoft.com/office/drawing/2014/main" id="{628EC59E-3F7E-44AE-8386-A78C09C0CD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12286" y="10776858"/>
          <a:ext cx="5675223" cy="2490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421821</xdr:colOff>
      <xdr:row>82</xdr:row>
      <xdr:rowOff>0</xdr:rowOff>
    </xdr:from>
    <xdr:to>
      <xdr:col>43</xdr:col>
      <xdr:colOff>564696</xdr:colOff>
      <xdr:row>108</xdr:row>
      <xdr:rowOff>95250</xdr:rowOff>
    </xdr:to>
    <xdr:pic>
      <xdr:nvPicPr>
        <xdr:cNvPr id="6" name="Picture 5">
          <a:extLst>
            <a:ext uri="{FF2B5EF4-FFF2-40B4-BE49-F238E27FC236}">
              <a16:creationId xmlns:a16="http://schemas.microsoft.com/office/drawing/2014/main" id="{9C6C05AF-15B2-4E58-8B6E-D895414FD7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268214" y="13389429"/>
          <a:ext cx="5653768" cy="434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466725</xdr:colOff>
      <xdr:row>14</xdr:row>
      <xdr:rowOff>57150</xdr:rowOff>
    </xdr:from>
    <xdr:to>
      <xdr:col>25</xdr:col>
      <xdr:colOff>590550</xdr:colOff>
      <xdr:row>28</xdr:row>
      <xdr:rowOff>131956</xdr:rowOff>
    </xdr:to>
    <xdr:pic>
      <xdr:nvPicPr>
        <xdr:cNvPr id="7" name="Picture 6">
          <a:extLst>
            <a:ext uri="{FF2B5EF4-FFF2-40B4-BE49-F238E27FC236}">
              <a16:creationId xmlns:a16="http://schemas.microsoft.com/office/drawing/2014/main" id="{0F2451EE-CA3B-45D3-BB52-776F051164C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858750" y="2324100"/>
          <a:ext cx="5000625" cy="2341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576943</xdr:colOff>
      <xdr:row>3</xdr:row>
      <xdr:rowOff>0</xdr:rowOff>
    </xdr:from>
    <xdr:to>
      <xdr:col>20</xdr:col>
      <xdr:colOff>280489</xdr:colOff>
      <xdr:row>16</xdr:row>
      <xdr:rowOff>163286</xdr:rowOff>
    </xdr:to>
    <xdr:sp macro="" textlink="">
      <xdr:nvSpPr>
        <xdr:cNvPr id="2" name="TextBox 1">
          <a:extLst>
            <a:ext uri="{FF2B5EF4-FFF2-40B4-BE49-F238E27FC236}">
              <a16:creationId xmlns:a16="http://schemas.microsoft.com/office/drawing/2014/main" id="{3703A17B-62C5-4847-A674-5379436FE53D}"/>
            </a:ext>
          </a:extLst>
        </xdr:cNvPr>
        <xdr:cNvSpPr txBox="1"/>
      </xdr:nvSpPr>
      <xdr:spPr>
        <a:xfrm>
          <a:off x="7473043" y="590550"/>
          <a:ext cx="13038546" cy="227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1"/>
            <a:t>Rafs 20 December 2018:</a:t>
          </a:r>
        </a:p>
        <a:p>
          <a:endParaRPr lang="en-GB" sz="1500" b="1"/>
        </a:p>
        <a:p>
          <a:pPr marL="0" marR="0" lvl="0" indent="0" defTabSz="914400" eaLnBrk="1" fontAlgn="auto" latinLnBrk="0" hangingPunct="1">
            <a:lnSpc>
              <a:spcPct val="100000"/>
            </a:lnSpc>
            <a:spcBef>
              <a:spcPts val="0"/>
            </a:spcBef>
            <a:spcAft>
              <a:spcPts val="0"/>
            </a:spcAft>
            <a:buClrTx/>
            <a:buSzTx/>
            <a:buFontTx/>
            <a:buNone/>
            <a:tabLst/>
            <a:defRPr/>
          </a:pPr>
          <a:r>
            <a:rPr lang="en-GB" sz="1500">
              <a:solidFill>
                <a:schemeClr val="dk1"/>
              </a:solidFill>
              <a:effectLst/>
              <a:latin typeface="+mn-lt"/>
              <a:ea typeface="+mn-ea"/>
              <a:cs typeface="+mn-cs"/>
            </a:rPr>
            <a:t>I added the technical sheet from TIMES-DK Klimaaftale 2018. The basic assumption is to assume efficiency and size of the battery pack from TESLA</a:t>
          </a:r>
          <a:r>
            <a:rPr lang="en-GB" sz="1500" baseline="0">
              <a:solidFill>
                <a:schemeClr val="dk1"/>
              </a:solidFill>
              <a:effectLst/>
              <a:latin typeface="+mn-lt"/>
              <a:ea typeface="+mn-ea"/>
              <a:cs typeface="+mn-cs"/>
            </a:rPr>
            <a:t> SEMI and estimate an INVCOST assuming the base INVCOST for a standard ICE diesel truck and sum on top of it the cost related to the battery pack. In particular I used the projections available in the IEA report "Future of Trucks" pag 97. I estimated 3 INVCOST based on the low, high and avg level of drop in price for batteries.</a:t>
          </a:r>
          <a:endParaRPr lang="en-GB" sz="1500">
            <a:solidFill>
              <a:schemeClr val="dk1"/>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rojects.cowiportal.com/!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rojects.cowiportal.com/VEDA/VEDA_Models/Denmark/TIMES-DK_ship&amp;airplane/SubRES_Tmpl/ad_beregningsmodel_version_2_1_maj_2013_(4)(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rojects.cowiportal.com/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rojects.cowiportal.com/A121755/Documents/03%20Project%20documents/Electrified%20roads/Plug-in%20hybrids%20-%20trucks/SubRES_TRA_Tech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ubRES_TRA_Tech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EU Varebil benzin"/>
      <sheetName val="EU varebil diesel"/>
      <sheetName val="EU Varebil CNG"/>
      <sheetName val="EU varebil el"/>
      <sheetName val="EU Lastbil"/>
      <sheetName val="EU Lastbil El"/>
      <sheetName val="EU Lastbil DME"/>
      <sheetName val="EU Lastbil RME"/>
      <sheetName val="EU Lastbil Gas"/>
      <sheetName val="TRA_Ships"/>
      <sheetName val="EU 9000 TEU HFO"/>
      <sheetName val="EU 9000 TEU Diesel"/>
      <sheetName val="EU 9000 TEU Dual fuel"/>
      <sheetName val="EU Katamaran ferry"/>
      <sheetName val="TRA_Airplane"/>
      <sheetName val="EU SAS avg. airplane"/>
      <sheetName val="Reference"/>
    </sheetNames>
    <sheetDataSet>
      <sheetData sheetId="0"/>
      <sheetData sheetId="1"/>
      <sheetData sheetId="2">
        <row r="61">
          <cell r="E61" t="str">
            <v>TRAELCEV</v>
          </cell>
        </row>
        <row r="65">
          <cell r="E65" t="str">
            <v>TRAH2G</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EU Varebil benzin"/>
      <sheetName val="EU varebil diesel"/>
      <sheetName val="EU Varebil CNG"/>
      <sheetName val="EU varebil el"/>
      <sheetName val="EU Lastbil"/>
      <sheetName val="EU Lastbil El"/>
      <sheetName val="EU Lastbil DME"/>
      <sheetName val="EU Lastbil RME"/>
      <sheetName val="EU Lastbil Gas"/>
      <sheetName val="TRA_Ships"/>
      <sheetName val="EU 9000 TEU HFO"/>
      <sheetName val="EU 9000 TEU Diesel"/>
      <sheetName val="EU 9000 TEU Dual fuel"/>
      <sheetName val="EU Katamaran ferry"/>
      <sheetName val="TRA_Airplane"/>
      <sheetName val="EU SAS avg. airplane"/>
      <sheetName val="Refere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25">
          <cell r="D25">
            <v>3.1133000000000002</v>
          </cell>
          <cell r="E25">
            <v>2.99</v>
          </cell>
          <cell r="F25">
            <v>2.65</v>
          </cell>
          <cell r="G25">
            <v>2.4300000000000002</v>
          </cell>
        </row>
      </sheetData>
      <sheetData sheetId="24"/>
      <sheetData sheetId="25">
        <row r="25">
          <cell r="D25">
            <v>1.1934653727527984</v>
          </cell>
          <cell r="E25">
            <v>1.1390210806742354</v>
          </cell>
          <cell r="F25">
            <v>1.0449132641285226</v>
          </cell>
          <cell r="G25">
            <v>0.95825332631732296</v>
          </cell>
        </row>
        <row r="81">
          <cell r="D81">
            <v>2275</v>
          </cell>
          <cell r="F81">
            <v>481</v>
          </cell>
          <cell r="G81">
            <v>481</v>
          </cell>
        </row>
      </sheetData>
      <sheetData sheetId="26"/>
      <sheetData sheetId="27">
        <row r="125">
          <cell r="D125">
            <v>0.57006722989598102</v>
          </cell>
          <cell r="E125">
            <v>0.16299243669067753</v>
          </cell>
          <cell r="F125">
            <v>0.16299243669067753</v>
          </cell>
        </row>
        <row r="126">
          <cell r="D126">
            <v>3.3862691824031406</v>
          </cell>
          <cell r="E126">
            <v>3.3862691824031406</v>
          </cell>
          <cell r="F126">
            <v>3.3862691824031406</v>
          </cell>
        </row>
        <row r="127">
          <cell r="D127">
            <v>0.46837408023728822</v>
          </cell>
          <cell r="E127">
            <v>0.46837408023728822</v>
          </cell>
          <cell r="F127">
            <v>0.46837408023728822</v>
          </cell>
        </row>
        <row r="128">
          <cell r="D128">
            <v>348.89924166526276</v>
          </cell>
          <cell r="E128">
            <v>36.446302941253435</v>
          </cell>
          <cell r="F128">
            <v>36.446302941253435</v>
          </cell>
        </row>
        <row r="129">
          <cell r="D129">
            <v>3.2979813853448934</v>
          </cell>
          <cell r="E129">
            <v>0.36064433411829616</v>
          </cell>
          <cell r="F129">
            <v>0.36064433411829616</v>
          </cell>
        </row>
      </sheetData>
      <sheetData sheetId="28"/>
      <sheetData sheetId="29"/>
      <sheetData sheetId="30"/>
      <sheetData sheetId="31"/>
      <sheetData sheetId="32"/>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www.dst.dk/en/Statistik/emner/erhvervslivets-sektorer/transport/godstransport-med-lastbil" TargetMode="External"/><Relationship Id="rId1" Type="http://schemas.openxmlformats.org/officeDocument/2006/relationships/hyperlink" Target="https://ieeexplore.ieee.org/stamp/stamp.jsp?arnumber=8080779"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hyperlink" Target="https://www.tandfonline.com/doi/full/10.1080/15568318.2019.1595227"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theatrecrafts.com/archive/documents/3_2_3_pantograph.pdf" TargetMode="Externa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8.v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6"/>
  <sheetViews>
    <sheetView workbookViewId="0">
      <selection activeCell="E5" sqref="E5"/>
    </sheetView>
  </sheetViews>
  <sheetFormatPr defaultRowHeight="12.75"/>
  <cols>
    <col min="1" max="1" width="11.42578125" customWidth="1"/>
    <col min="2" max="2" width="15.5703125" customWidth="1"/>
    <col min="3" max="3" width="13.7109375" customWidth="1"/>
    <col min="4" max="4" width="19.7109375" customWidth="1"/>
    <col min="5" max="5" width="60.140625" customWidth="1"/>
  </cols>
  <sheetData>
    <row r="3" spans="1:5">
      <c r="A3" s="294" t="s">
        <v>222</v>
      </c>
      <c r="B3" s="294" t="s">
        <v>223</v>
      </c>
      <c r="C3" s="294" t="s">
        <v>224</v>
      </c>
      <c r="D3" s="294" t="s">
        <v>225</v>
      </c>
      <c r="E3" s="294" t="s">
        <v>226</v>
      </c>
    </row>
    <row r="4" spans="1:5" s="288" customFormat="1">
      <c r="A4" s="524">
        <v>43619</v>
      </c>
      <c r="B4" s="281" t="s">
        <v>485</v>
      </c>
      <c r="C4" s="294"/>
      <c r="D4" s="294"/>
      <c r="E4" s="281" t="s">
        <v>486</v>
      </c>
    </row>
    <row r="5" spans="1:5">
      <c r="A5" s="309">
        <v>43536</v>
      </c>
      <c r="B5" t="s">
        <v>243</v>
      </c>
      <c r="C5" t="s">
        <v>244</v>
      </c>
      <c r="D5" t="s">
        <v>245</v>
      </c>
      <c r="E5" t="s">
        <v>246</v>
      </c>
    </row>
    <row r="6" spans="1:5">
      <c r="A6" s="309">
        <v>43536</v>
      </c>
      <c r="B6" s="288" t="s">
        <v>243</v>
      </c>
      <c r="C6" s="288" t="s">
        <v>247</v>
      </c>
      <c r="D6" s="288" t="s">
        <v>245</v>
      </c>
      <c r="E6" s="288" t="s">
        <v>248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A4" sqref="A4"/>
    </sheetView>
  </sheetViews>
  <sheetFormatPr defaultColWidth="9.140625" defaultRowHeight="12.75"/>
  <cols>
    <col min="1" max="1" width="11" style="21" bestFit="1" customWidth="1"/>
    <col min="2" max="2" width="14.28515625" style="21" bestFit="1" customWidth="1"/>
    <col min="3" max="3" width="12.7109375" style="21" bestFit="1" customWidth="1"/>
    <col min="4" max="4" width="34.5703125" style="21" bestFit="1" customWidth="1"/>
    <col min="5" max="5" width="60.7109375" style="21" bestFit="1" customWidth="1"/>
    <col min="6" max="8" width="9.140625" style="21"/>
    <col min="9" max="9" width="13" style="21" customWidth="1"/>
    <col min="10" max="10" width="14.5703125" style="21" bestFit="1" customWidth="1"/>
    <col min="11" max="16384" width="9.140625" style="21"/>
  </cols>
  <sheetData>
    <row r="3" spans="1:5">
      <c r="A3" s="19"/>
      <c r="B3" s="20"/>
      <c r="C3" s="20"/>
      <c r="D3" s="20"/>
      <c r="E3" s="20"/>
    </row>
    <row r="4" spans="1:5" s="28" customFormat="1">
      <c r="A4" s="273"/>
      <c r="B4" s="272"/>
      <c r="C4" s="272"/>
      <c r="D4" s="272"/>
      <c r="E4" s="272"/>
    </row>
    <row r="5" spans="1:5" s="28" customFormat="1">
      <c r="A5" s="273"/>
      <c r="B5" s="272"/>
      <c r="C5" s="272"/>
      <c r="D5" s="272"/>
      <c r="E5" s="272"/>
    </row>
    <row r="6" spans="1:5" s="28" customFormat="1">
      <c r="A6" s="273"/>
      <c r="B6" s="272"/>
      <c r="C6" s="272"/>
      <c r="D6" s="272"/>
      <c r="E6" s="272"/>
    </row>
    <row r="7" spans="1:5" s="28" customFormat="1">
      <c r="A7" s="273"/>
      <c r="B7" s="272"/>
      <c r="C7" s="272"/>
      <c r="D7" s="272"/>
      <c r="E7" s="272"/>
    </row>
    <row r="8" spans="1:5">
      <c r="A8" s="273"/>
      <c r="B8" s="272"/>
      <c r="C8" s="272"/>
      <c r="D8" s="272"/>
      <c r="E8" s="272"/>
    </row>
    <row r="9" spans="1:5" s="30" customFormat="1">
      <c r="A9" s="32"/>
      <c r="B9" s="31"/>
      <c r="C9" s="31"/>
      <c r="D9" s="31"/>
      <c r="E9" s="31"/>
    </row>
    <row r="10" spans="1:5" s="30" customFormat="1">
      <c r="A10" s="32"/>
      <c r="B10" s="31"/>
      <c r="C10" s="31"/>
      <c r="D10" s="31"/>
      <c r="E10" s="31"/>
    </row>
    <row r="11" spans="1:5" s="30" customFormat="1">
      <c r="A11" s="32"/>
      <c r="B11" s="31"/>
      <c r="C11" s="31"/>
      <c r="D11" s="31"/>
      <c r="E11" s="31"/>
    </row>
    <row r="12" spans="1:5" s="30" customFormat="1">
      <c r="A12" s="32"/>
      <c r="B12" s="31"/>
      <c r="C12" s="31"/>
      <c r="D12" s="31"/>
      <c r="E12" s="31"/>
    </row>
    <row r="13" spans="1:5" s="30" customFormat="1">
      <c r="A13" s="32"/>
      <c r="B13" s="31"/>
      <c r="C13" s="31"/>
      <c r="D13" s="31"/>
      <c r="E13" s="31"/>
    </row>
    <row r="14" spans="1:5" s="30" customFormat="1">
      <c r="A14" s="32"/>
      <c r="B14" s="31"/>
      <c r="C14" s="31"/>
      <c r="D14" s="31"/>
      <c r="E14" s="31"/>
    </row>
    <row r="15" spans="1:5" s="30" customFormat="1">
      <c r="A15" s="32"/>
      <c r="B15" s="31"/>
      <c r="C15" s="31"/>
      <c r="D15" s="31"/>
      <c r="E15" s="31"/>
    </row>
    <row r="16" spans="1:5" s="30" customFormat="1">
      <c r="A16" s="32"/>
      <c r="B16" s="31"/>
      <c r="C16" s="31"/>
      <c r="D16" s="31"/>
      <c r="E16" s="31"/>
    </row>
    <row r="17" spans="1:5" s="24" customFormat="1">
      <c r="A17" s="22"/>
      <c r="B17" s="23"/>
      <c r="C17" s="23"/>
      <c r="D17" s="23"/>
      <c r="E17" s="23"/>
    </row>
    <row r="18" spans="1:5" s="24" customFormat="1">
      <c r="A18" s="22"/>
      <c r="B18" s="23"/>
      <c r="C18" s="23"/>
      <c r="D18" s="18"/>
      <c r="E18" s="23"/>
    </row>
    <row r="19" spans="1:5" s="24" customFormat="1">
      <c r="A19" s="22"/>
      <c r="B19" s="23"/>
      <c r="C19" s="23"/>
      <c r="D19" s="23"/>
      <c r="E19" s="23"/>
    </row>
    <row r="20" spans="1:5" s="24" customFormat="1">
      <c r="A20" s="22"/>
      <c r="B20" s="23"/>
      <c r="C20" s="23"/>
      <c r="D20" s="15"/>
      <c r="E20" s="23"/>
    </row>
    <row r="21" spans="1:5" s="24" customFormat="1">
      <c r="A21" s="22"/>
      <c r="B21" s="23"/>
      <c r="C21" s="23"/>
      <c r="D21" s="23"/>
      <c r="E21" s="23"/>
    </row>
    <row r="22" spans="1:5" s="24" customFormat="1">
      <c r="A22" s="22"/>
      <c r="B22" s="23"/>
      <c r="C22" s="23"/>
      <c r="D22" s="23"/>
      <c r="E22" s="23"/>
    </row>
    <row r="23" spans="1:5" s="24" customFormat="1">
      <c r="B23" s="23"/>
      <c r="C23" s="23"/>
      <c r="D23" s="23"/>
      <c r="E23" s="23"/>
    </row>
    <row r="24" spans="1:5" s="24" customFormat="1">
      <c r="A24" s="22"/>
      <c r="B24" s="23"/>
      <c r="C24" s="23"/>
      <c r="D24" s="23"/>
      <c r="E24" s="23"/>
    </row>
    <row r="25" spans="1:5" s="24" customFormat="1">
      <c r="A25" s="22"/>
      <c r="B25" s="23"/>
      <c r="C25" s="23"/>
      <c r="D25" s="23"/>
      <c r="E25" s="23"/>
    </row>
    <row r="26" spans="1:5" s="24" customFormat="1">
      <c r="A26" s="22"/>
      <c r="B26" s="23"/>
      <c r="C26" s="23"/>
      <c r="D26" s="23"/>
      <c r="E26" s="23"/>
    </row>
    <row r="27" spans="1:5" s="24" customFormat="1">
      <c r="A27" s="22"/>
      <c r="B27" s="23"/>
      <c r="C27" s="23"/>
      <c r="D27" s="23"/>
      <c r="E27" s="23"/>
    </row>
    <row r="28" spans="1:5" s="24" customFormat="1">
      <c r="A28" s="22"/>
      <c r="B28" s="23"/>
      <c r="C28" s="23"/>
      <c r="D28" s="23"/>
      <c r="E28" s="23"/>
    </row>
    <row r="29" spans="1:5" s="24" customFormat="1">
      <c r="A29" s="22"/>
      <c r="B29" s="23"/>
      <c r="C29" s="23"/>
      <c r="D29" s="23"/>
      <c r="E29" s="23"/>
    </row>
    <row r="30" spans="1:5">
      <c r="A30" s="22"/>
      <c r="B30" s="26"/>
      <c r="C30" s="26"/>
      <c r="D30" s="27"/>
      <c r="E30" s="26"/>
    </row>
    <row r="31" spans="1:5">
      <c r="A31" s="25"/>
      <c r="B31" s="26"/>
      <c r="C31" s="26"/>
      <c r="D31" s="28"/>
      <c r="E31" s="28"/>
    </row>
    <row r="32" spans="1:5">
      <c r="A32" s="25"/>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W54"/>
  <sheetViews>
    <sheetView tabSelected="1" zoomScale="70" zoomScaleNormal="70" workbookViewId="0">
      <selection activeCell="Q15" sqref="Q15"/>
    </sheetView>
  </sheetViews>
  <sheetFormatPr defaultRowHeight="12.75"/>
  <cols>
    <col min="1" max="1" width="1.85546875" style="3" customWidth="1"/>
    <col min="2" max="2" width="22.28515625" style="3" customWidth="1"/>
    <col min="3" max="3" width="13.42578125" bestFit="1" customWidth="1"/>
    <col min="4" max="4" width="50.42578125" bestFit="1" customWidth="1"/>
    <col min="5" max="5" width="16.85546875" bestFit="1" customWidth="1"/>
    <col min="6" max="6" width="12.7109375" customWidth="1"/>
    <col min="7" max="7" width="10" bestFit="1" customWidth="1"/>
    <col min="8" max="8" width="12.5703125" bestFit="1" customWidth="1"/>
    <col min="9" max="9" width="13.28515625" bestFit="1" customWidth="1"/>
    <col min="10" max="10" width="13.7109375" customWidth="1"/>
    <col min="11" max="11" width="12.42578125" bestFit="1" customWidth="1"/>
    <col min="12" max="13" width="10.28515625" bestFit="1" customWidth="1"/>
    <col min="14" max="14" width="9.7109375" bestFit="1" customWidth="1"/>
    <col min="15" max="15" width="12" customWidth="1"/>
    <col min="16" max="16" width="10.85546875" style="10" customWidth="1"/>
    <col min="17" max="17" width="10.42578125" bestFit="1" customWidth="1"/>
    <col min="18" max="18" width="6" bestFit="1" customWidth="1"/>
    <col min="19" max="19" width="11.28515625" bestFit="1" customWidth="1"/>
    <col min="20" max="21" width="14.85546875" bestFit="1" customWidth="1"/>
    <col min="23" max="23" width="17.140625" bestFit="1" customWidth="1"/>
    <col min="25" max="25" width="16" bestFit="1" customWidth="1"/>
  </cols>
  <sheetData>
    <row r="1" spans="1:23">
      <c r="N1" s="10"/>
      <c r="O1" s="10"/>
      <c r="P1"/>
    </row>
    <row r="2" spans="1:23">
      <c r="B2" s="289"/>
      <c r="E2" s="1"/>
      <c r="G2" s="2" t="s">
        <v>0</v>
      </c>
      <c r="J2" s="3"/>
      <c r="M2" s="4"/>
      <c r="N2" s="4"/>
      <c r="O2" s="4"/>
      <c r="P2" s="281"/>
      <c r="T2" s="288"/>
      <c r="U2" s="288"/>
      <c r="W2" s="281" t="s">
        <v>484</v>
      </c>
    </row>
    <row r="3" spans="1:23">
      <c r="B3" s="289"/>
      <c r="C3" s="5" t="s">
        <v>1</v>
      </c>
      <c r="D3" s="5" t="s">
        <v>8</v>
      </c>
      <c r="E3" s="5" t="s">
        <v>2</v>
      </c>
      <c r="F3" s="5" t="s">
        <v>3</v>
      </c>
      <c r="G3" s="5" t="s">
        <v>141</v>
      </c>
      <c r="H3" s="5" t="s">
        <v>5</v>
      </c>
      <c r="I3" s="5" t="s">
        <v>144</v>
      </c>
      <c r="J3" s="5" t="s">
        <v>62</v>
      </c>
      <c r="K3" s="274" t="s">
        <v>320</v>
      </c>
      <c r="L3" s="274" t="s">
        <v>321</v>
      </c>
      <c r="M3" s="274" t="s">
        <v>322</v>
      </c>
      <c r="N3" s="5" t="s">
        <v>10</v>
      </c>
      <c r="O3" s="7" t="s">
        <v>6</v>
      </c>
      <c r="P3" s="9" t="s">
        <v>4</v>
      </c>
      <c r="Q3" s="6" t="s">
        <v>7</v>
      </c>
      <c r="T3" s="288"/>
      <c r="U3" s="288"/>
      <c r="W3" s="274" t="s">
        <v>307</v>
      </c>
    </row>
    <row r="4" spans="1:23" ht="24.75" customHeight="1" thickBot="1">
      <c r="B4" s="289"/>
      <c r="C4" s="290" t="s">
        <v>11</v>
      </c>
      <c r="D4" s="290"/>
      <c r="E4" s="290"/>
      <c r="F4" s="290"/>
      <c r="G4" s="290" t="s">
        <v>140</v>
      </c>
      <c r="H4" s="290" t="s">
        <v>13</v>
      </c>
      <c r="I4" s="290" t="s">
        <v>145</v>
      </c>
      <c r="J4" s="326" t="s">
        <v>277</v>
      </c>
      <c r="K4" s="326" t="s">
        <v>323</v>
      </c>
      <c r="L4" s="326" t="s">
        <v>323</v>
      </c>
      <c r="M4" s="326" t="s">
        <v>323</v>
      </c>
      <c r="N4" s="290" t="s">
        <v>14</v>
      </c>
      <c r="O4" s="290"/>
      <c r="P4" s="290" t="s">
        <v>288</v>
      </c>
      <c r="Q4" s="290" t="s">
        <v>287</v>
      </c>
      <c r="T4" s="288"/>
      <c r="U4" s="288"/>
      <c r="W4" s="290" t="s">
        <v>308</v>
      </c>
    </row>
    <row r="5" spans="1:23">
      <c r="B5" s="289"/>
      <c r="C5" s="292" t="str">
        <f>C37</f>
        <v>EROAD1</v>
      </c>
      <c r="D5" s="292" t="str">
        <f>D37</f>
        <v>Eroad infrastructure</v>
      </c>
      <c r="E5" s="277" t="s">
        <v>55</v>
      </c>
      <c r="F5" s="316" t="s">
        <v>276</v>
      </c>
      <c r="G5" s="281" t="s">
        <v>286</v>
      </c>
      <c r="H5" s="276">
        <v>2020</v>
      </c>
      <c r="I5" s="276"/>
      <c r="J5" s="278">
        <v>0.9</v>
      </c>
      <c r="K5">
        <v>1</v>
      </c>
      <c r="L5">
        <v>1</v>
      </c>
      <c r="M5">
        <v>1</v>
      </c>
      <c r="N5" s="276">
        <v>20</v>
      </c>
      <c r="O5" s="279"/>
      <c r="P5" s="283">
        <f>Q5*0.01</f>
        <v>0.11004069974741329</v>
      </c>
      <c r="Q5" s="282">
        <f>'Assumptions regarding ERS'!C70</f>
        <v>11.004069974741329</v>
      </c>
      <c r="T5" s="288"/>
      <c r="U5" s="288"/>
      <c r="W5" s="406">
        <f>'CAP2ACT investigation'!L77</f>
        <v>2.8205383921351568E-3</v>
      </c>
    </row>
    <row r="6" spans="1:23">
      <c r="B6" s="289"/>
      <c r="C6" s="292" t="str">
        <f t="shared" ref="C6:D6" si="0">C38</f>
        <v>EROAD2</v>
      </c>
      <c r="D6" s="292" t="str">
        <f t="shared" si="0"/>
        <v>Eroad infrastructure</v>
      </c>
      <c r="E6" s="281" t="s">
        <v>55</v>
      </c>
      <c r="F6" s="316" t="s">
        <v>276</v>
      </c>
      <c r="G6" s="281" t="s">
        <v>286</v>
      </c>
      <c r="H6" s="288">
        <v>2020</v>
      </c>
      <c r="I6" s="288"/>
      <c r="J6" s="278">
        <v>0.9</v>
      </c>
      <c r="K6" s="288">
        <v>1</v>
      </c>
      <c r="L6" s="288">
        <v>1</v>
      </c>
      <c r="M6" s="288">
        <v>1</v>
      </c>
      <c r="N6" s="288">
        <v>20</v>
      </c>
      <c r="O6" s="279"/>
      <c r="P6" s="373">
        <f>P5</f>
        <v>0.11004069974741329</v>
      </c>
      <c r="Q6" s="374">
        <f>Q5</f>
        <v>11.004069974741329</v>
      </c>
      <c r="T6" s="288"/>
      <c r="U6" s="288"/>
      <c r="W6" s="406">
        <f>'CAP2ACT investigation'!L78</f>
        <v>2.0040667523065592E-3</v>
      </c>
    </row>
    <row r="7" spans="1:23">
      <c r="B7" s="289"/>
      <c r="C7" s="292" t="str">
        <f t="shared" ref="C7:D7" si="1">C39</f>
        <v>EROAD3</v>
      </c>
      <c r="D7" s="292" t="str">
        <f t="shared" si="1"/>
        <v>Eroad infrastructure</v>
      </c>
      <c r="E7" s="281" t="s">
        <v>55</v>
      </c>
      <c r="F7" s="316" t="s">
        <v>276</v>
      </c>
      <c r="G7" s="281" t="s">
        <v>286</v>
      </c>
      <c r="H7" s="288">
        <v>2020</v>
      </c>
      <c r="I7" s="288"/>
      <c r="J7" s="278">
        <v>0.9</v>
      </c>
      <c r="K7" s="288">
        <v>1</v>
      </c>
      <c r="L7" s="288">
        <v>1</v>
      </c>
      <c r="M7" s="288">
        <v>1</v>
      </c>
      <c r="N7" s="288">
        <v>20</v>
      </c>
      <c r="O7" s="279"/>
      <c r="P7" s="373">
        <f t="shared" ref="P7:P11" si="2">P6</f>
        <v>0.11004069974741329</v>
      </c>
      <c r="Q7" s="374">
        <f t="shared" ref="Q7:Q11" si="3">Q6</f>
        <v>11.004069974741329</v>
      </c>
      <c r="U7" s="288"/>
      <c r="W7" s="406">
        <f>'CAP2ACT investigation'!L79</f>
        <v>1.0432128299677978E-3</v>
      </c>
    </row>
    <row r="8" spans="1:23" s="288" customFormat="1">
      <c r="A8" s="289"/>
      <c r="B8" s="289"/>
      <c r="C8" s="292" t="str">
        <f t="shared" ref="C8:D8" si="4">C40</f>
        <v>EROAD4</v>
      </c>
      <c r="D8" s="292" t="str">
        <f t="shared" si="4"/>
        <v>Eroad infrastructure</v>
      </c>
      <c r="E8" s="281" t="s">
        <v>55</v>
      </c>
      <c r="F8" s="316" t="s">
        <v>276</v>
      </c>
      <c r="G8" s="281" t="s">
        <v>286</v>
      </c>
      <c r="H8" s="288">
        <v>2020</v>
      </c>
      <c r="J8" s="278">
        <v>0.9</v>
      </c>
      <c r="K8" s="288">
        <v>1</v>
      </c>
      <c r="L8" s="288">
        <v>1</v>
      </c>
      <c r="M8" s="288">
        <v>1</v>
      </c>
      <c r="N8" s="288">
        <v>20</v>
      </c>
      <c r="O8" s="279"/>
      <c r="P8" s="373">
        <f t="shared" si="2"/>
        <v>0.11004069974741329</v>
      </c>
      <c r="Q8" s="374">
        <f t="shared" si="3"/>
        <v>11.004069974741329</v>
      </c>
      <c r="W8" s="406">
        <f>'CAP2ACT investigation'!L80</f>
        <v>6.191425738833274E-4</v>
      </c>
    </row>
    <row r="9" spans="1:23" s="288" customFormat="1">
      <c r="A9" s="289"/>
      <c r="B9" s="289"/>
      <c r="C9" s="292" t="str">
        <f t="shared" ref="C9:D9" si="5">C41</f>
        <v>EROAD5</v>
      </c>
      <c r="D9" s="292" t="str">
        <f t="shared" si="5"/>
        <v>Eroad infrastructure</v>
      </c>
      <c r="E9" s="281" t="s">
        <v>55</v>
      </c>
      <c r="F9" s="316" t="s">
        <v>276</v>
      </c>
      <c r="G9" s="281" t="s">
        <v>286</v>
      </c>
      <c r="H9" s="288">
        <v>2020</v>
      </c>
      <c r="J9" s="278">
        <v>0.9</v>
      </c>
      <c r="K9" s="288">
        <v>1</v>
      </c>
      <c r="L9" s="288">
        <v>1</v>
      </c>
      <c r="M9" s="288">
        <v>1</v>
      </c>
      <c r="N9" s="288">
        <v>20</v>
      </c>
      <c r="O9" s="279"/>
      <c r="P9" s="373">
        <f t="shared" si="2"/>
        <v>0.11004069974741329</v>
      </c>
      <c r="Q9" s="374">
        <f t="shared" si="3"/>
        <v>11.004069974741329</v>
      </c>
      <c r="W9" s="406">
        <f>'CAP2ACT investigation'!L81</f>
        <v>4.1614500867567875E-4</v>
      </c>
    </row>
    <row r="10" spans="1:23" s="288" customFormat="1">
      <c r="A10" s="289"/>
      <c r="B10" s="289"/>
      <c r="C10" s="292" t="str">
        <f t="shared" ref="C10:D10" si="6">C42</f>
        <v>EROAD6</v>
      </c>
      <c r="D10" s="292" t="str">
        <f t="shared" si="6"/>
        <v>Eroad infrastructure</v>
      </c>
      <c r="E10" s="281" t="s">
        <v>55</v>
      </c>
      <c r="F10" s="316" t="s">
        <v>276</v>
      </c>
      <c r="G10" s="281" t="s">
        <v>286</v>
      </c>
      <c r="H10" s="288">
        <v>2020</v>
      </c>
      <c r="J10" s="278">
        <v>0.9</v>
      </c>
      <c r="K10" s="288">
        <v>1</v>
      </c>
      <c r="L10" s="288">
        <v>1</v>
      </c>
      <c r="M10" s="288">
        <v>1</v>
      </c>
      <c r="N10" s="288">
        <v>20</v>
      </c>
      <c r="O10" s="279"/>
      <c r="P10" s="373">
        <f t="shared" si="2"/>
        <v>0.11004069974741329</v>
      </c>
      <c r="Q10" s="374">
        <f t="shared" si="3"/>
        <v>11.004069974741329</v>
      </c>
      <c r="W10" s="406">
        <f>'CAP2ACT investigation'!L82</f>
        <v>2.3724154700202258E-4</v>
      </c>
    </row>
    <row r="11" spans="1:23" s="288" customFormat="1">
      <c r="A11" s="289"/>
      <c r="B11" s="289"/>
      <c r="C11" s="292" t="str">
        <f t="shared" ref="C11:D11" si="7">C43</f>
        <v>EROAD7</v>
      </c>
      <c r="D11" s="292" t="str">
        <f t="shared" si="7"/>
        <v>Eroad infrastructure</v>
      </c>
      <c r="E11" s="281" t="s">
        <v>55</v>
      </c>
      <c r="F11" s="316" t="s">
        <v>276</v>
      </c>
      <c r="G11" s="281" t="s">
        <v>286</v>
      </c>
      <c r="H11" s="288">
        <v>2020</v>
      </c>
      <c r="J11" s="278">
        <v>0.9</v>
      </c>
      <c r="K11" s="288">
        <v>1</v>
      </c>
      <c r="L11" s="288">
        <v>1</v>
      </c>
      <c r="M11" s="288">
        <v>1</v>
      </c>
      <c r="N11" s="288">
        <v>20</v>
      </c>
      <c r="O11" s="279"/>
      <c r="P11" s="373">
        <f t="shared" si="2"/>
        <v>0.11004069974741329</v>
      </c>
      <c r="Q11" s="374">
        <f t="shared" si="3"/>
        <v>11.004069974741329</v>
      </c>
      <c r="W11" s="406">
        <f>'CAP2ACT investigation'!L83</f>
        <v>7.247024294625269E-5</v>
      </c>
    </row>
    <row r="12" spans="1:23" s="288" customFormat="1">
      <c r="A12" s="289"/>
      <c r="B12" s="289"/>
      <c r="C12" s="289"/>
      <c r="D12" s="289"/>
      <c r="E12" s="289"/>
      <c r="F12" s="289"/>
      <c r="G12" s="289"/>
      <c r="H12" s="289"/>
      <c r="I12" s="289"/>
      <c r="J12" s="289"/>
      <c r="K12" s="289"/>
      <c r="L12" s="289"/>
      <c r="M12" s="289"/>
      <c r="N12" s="289"/>
      <c r="O12" s="289"/>
      <c r="P12" s="289"/>
      <c r="Q12" s="289"/>
      <c r="R12" s="289"/>
      <c r="S12" s="289"/>
      <c r="W12" s="406">
        <f>'CAP2ACT investigation'!M77</f>
        <v>6.2304419172163721E-3</v>
      </c>
    </row>
    <row r="13" spans="1:23" s="288" customFormat="1">
      <c r="A13" s="289"/>
      <c r="B13" s="289"/>
      <c r="C13" s="289"/>
      <c r="D13" s="289"/>
      <c r="E13" s="289"/>
      <c r="F13" s="289"/>
      <c r="G13" s="289"/>
      <c r="H13" s="289"/>
      <c r="I13" s="289"/>
      <c r="J13" s="289"/>
      <c r="K13" s="289"/>
      <c r="L13" s="289"/>
      <c r="M13" s="289"/>
      <c r="N13" s="289"/>
      <c r="O13" s="289"/>
      <c r="P13" s="289"/>
      <c r="Q13" s="289"/>
      <c r="R13" s="289"/>
      <c r="S13" s="289"/>
      <c r="W13" s="406">
        <f>'CAP2ACT investigation'!M78</f>
        <v>4.4268929411800549E-3</v>
      </c>
    </row>
    <row r="14" spans="1:23" s="288" customFormat="1">
      <c r="A14" s="289"/>
      <c r="B14" s="289"/>
      <c r="C14" s="289"/>
      <c r="D14" s="289"/>
      <c r="E14" s="289"/>
      <c r="F14" s="289"/>
      <c r="G14" s="289"/>
      <c r="H14" s="289"/>
      <c r="I14" s="289"/>
      <c r="J14" s="289"/>
      <c r="K14" s="289"/>
      <c r="L14" s="289"/>
      <c r="M14" s="289"/>
      <c r="N14" s="289"/>
      <c r="O14" s="289"/>
      <c r="P14" s="289"/>
      <c r="Q14" s="289"/>
      <c r="R14" s="289"/>
      <c r="S14" s="289"/>
      <c r="W14" s="406">
        <f>'CAP2ACT investigation'!M79</f>
        <v>2.3044100241759184E-3</v>
      </c>
    </row>
    <row r="15" spans="1:23" s="288" customFormat="1">
      <c r="A15" s="289"/>
      <c r="B15" s="289"/>
      <c r="C15" s="289"/>
      <c r="D15" s="289"/>
      <c r="E15" s="289"/>
      <c r="F15" s="289"/>
      <c r="G15" s="289"/>
      <c r="H15" s="289"/>
      <c r="I15" s="289"/>
      <c r="J15" s="289"/>
      <c r="K15" s="289"/>
      <c r="L15" s="289"/>
      <c r="M15" s="289"/>
      <c r="N15" s="289"/>
      <c r="O15" s="289"/>
      <c r="P15" s="289"/>
      <c r="Q15" s="289"/>
      <c r="R15" s="289"/>
      <c r="S15" s="289"/>
      <c r="W15" s="406">
        <f>'CAP2ACT investigation'!M80</f>
        <v>1.3676579818279848E-3</v>
      </c>
    </row>
    <row r="16" spans="1:23" s="288" customFormat="1">
      <c r="A16" s="289"/>
      <c r="B16" s="289"/>
      <c r="C16" s="289"/>
      <c r="D16" s="289"/>
      <c r="E16" s="289"/>
      <c r="F16" s="289"/>
      <c r="G16" s="289"/>
      <c r="H16" s="289"/>
      <c r="I16" s="289"/>
      <c r="J16" s="289"/>
      <c r="K16" s="289"/>
      <c r="L16" s="289"/>
      <c r="M16" s="289"/>
      <c r="N16" s="289"/>
      <c r="O16" s="289"/>
      <c r="P16" s="289"/>
      <c r="Q16" s="289"/>
      <c r="R16" s="289"/>
      <c r="S16" s="289"/>
      <c r="W16" s="406">
        <f>'CAP2ACT investigation'!M81</f>
        <v>9.1924552876962808E-4</v>
      </c>
    </row>
    <row r="17" spans="1:23" s="288" customFormat="1">
      <c r="A17" s="289"/>
      <c r="B17" s="289"/>
      <c r="C17" s="289"/>
      <c r="D17" s="289"/>
      <c r="E17" s="289"/>
      <c r="F17" s="289"/>
      <c r="G17" s="289"/>
      <c r="H17" s="289"/>
      <c r="I17" s="289"/>
      <c r="J17" s="289"/>
      <c r="K17" s="289"/>
      <c r="L17" s="289"/>
      <c r="M17" s="289"/>
      <c r="N17" s="289"/>
      <c r="O17" s="289"/>
      <c r="P17" s="289"/>
      <c r="Q17" s="289"/>
      <c r="R17" s="289"/>
      <c r="S17" s="289"/>
      <c r="W17" s="406">
        <f>'CAP2ACT investigation'!M82</f>
        <v>5.2405586219576947E-4</v>
      </c>
    </row>
    <row r="18" spans="1:23" s="288" customFormat="1">
      <c r="A18" s="289"/>
      <c r="B18" s="289"/>
      <c r="C18" s="289"/>
      <c r="D18" s="289"/>
      <c r="E18" s="289"/>
      <c r="F18" s="289"/>
      <c r="G18" s="289"/>
      <c r="H18" s="289"/>
      <c r="I18" s="289"/>
      <c r="J18" s="289"/>
      <c r="K18" s="289"/>
      <c r="L18" s="289"/>
      <c r="M18" s="289"/>
      <c r="N18" s="289"/>
      <c r="O18" s="289"/>
      <c r="P18" s="289"/>
      <c r="Q18" s="289"/>
      <c r="R18" s="289"/>
      <c r="S18" s="289"/>
      <c r="W18" s="406">
        <f>'CAP2ACT investigation'!M83</f>
        <v>1.6008349351393988E-4</v>
      </c>
    </row>
    <row r="19" spans="1:23" s="288" customFormat="1">
      <c r="A19" s="289"/>
      <c r="B19" s="289"/>
      <c r="C19" s="289"/>
      <c r="D19" s="289"/>
      <c r="E19" s="289"/>
      <c r="F19" s="289"/>
      <c r="G19" s="289"/>
      <c r="H19" s="289"/>
      <c r="I19" s="289"/>
      <c r="J19" s="289"/>
      <c r="K19" s="289"/>
      <c r="L19" s="289"/>
      <c r="M19" s="289"/>
      <c r="N19" s="289"/>
      <c r="O19" s="289"/>
      <c r="P19" s="289"/>
      <c r="Q19" s="289"/>
      <c r="R19" s="289"/>
      <c r="S19" s="289"/>
      <c r="W19" s="406">
        <f>'CAP2ACT investigation'!N77</f>
        <v>8.98028678972633E-3</v>
      </c>
    </row>
    <row r="20" spans="1:23" s="288" customFormat="1">
      <c r="A20" s="289"/>
      <c r="B20" s="289"/>
      <c r="C20" s="289"/>
      <c r="D20" s="289"/>
      <c r="E20" s="289"/>
      <c r="F20" s="289"/>
      <c r="G20" s="289"/>
      <c r="H20" s="289"/>
      <c r="I20" s="289"/>
      <c r="J20" s="289"/>
      <c r="K20" s="289"/>
      <c r="L20" s="289"/>
      <c r="M20" s="289"/>
      <c r="N20" s="289"/>
      <c r="O20" s="289"/>
      <c r="P20" s="289"/>
      <c r="Q20" s="289"/>
      <c r="R20" s="289"/>
      <c r="S20" s="289"/>
      <c r="W20" s="406">
        <f>'CAP2ACT investigation'!N78</f>
        <v>6.3807300874371272E-3</v>
      </c>
    </row>
    <row r="21" spans="1:23" s="288" customFormat="1">
      <c r="A21" s="289"/>
      <c r="B21" s="289"/>
      <c r="C21" s="289"/>
      <c r="D21" s="289"/>
      <c r="E21" s="289"/>
      <c r="F21" s="289"/>
      <c r="G21" s="289"/>
      <c r="H21" s="289"/>
      <c r="I21" s="289"/>
      <c r="J21" s="289"/>
      <c r="K21" s="289"/>
      <c r="L21" s="289"/>
      <c r="M21" s="289"/>
      <c r="N21" s="289"/>
      <c r="O21" s="289"/>
      <c r="P21" s="289"/>
      <c r="Q21" s="289"/>
      <c r="R21" s="289"/>
      <c r="S21" s="289"/>
      <c r="W21" s="406">
        <f>'CAP2ACT investigation'!N79</f>
        <v>3.3214759359261772E-3</v>
      </c>
    </row>
    <row r="22" spans="1:23" s="288" customFormat="1">
      <c r="A22" s="289"/>
      <c r="B22" s="289"/>
      <c r="C22" s="289"/>
      <c r="D22" s="289"/>
      <c r="E22" s="289"/>
      <c r="F22" s="289"/>
      <c r="G22" s="289"/>
      <c r="H22" s="289"/>
      <c r="I22" s="289"/>
      <c r="J22" s="289"/>
      <c r="K22" s="289"/>
      <c r="L22" s="289"/>
      <c r="M22" s="289"/>
      <c r="N22" s="289"/>
      <c r="O22" s="289"/>
      <c r="P22" s="289"/>
      <c r="Q22" s="289"/>
      <c r="R22" s="289"/>
      <c r="S22" s="289"/>
      <c r="W22" s="406">
        <f>'CAP2ACT investigation'!N80</f>
        <v>1.9712824660374872E-3</v>
      </c>
    </row>
    <row r="23" spans="1:23" s="288" customFormat="1">
      <c r="A23" s="289"/>
      <c r="B23" s="289"/>
      <c r="C23" s="289"/>
      <c r="D23" s="289"/>
      <c r="E23" s="289"/>
      <c r="F23" s="289"/>
      <c r="G23" s="289"/>
      <c r="H23" s="289"/>
      <c r="I23" s="289"/>
      <c r="J23" s="289"/>
      <c r="K23" s="289"/>
      <c r="L23" s="289"/>
      <c r="M23" s="289"/>
      <c r="N23" s="289"/>
      <c r="O23" s="289"/>
      <c r="P23" s="289"/>
      <c r="Q23" s="289"/>
      <c r="R23" s="289"/>
      <c r="S23" s="289"/>
      <c r="W23" s="406">
        <f>'CAP2ACT investigation'!N81</f>
        <v>1.3249603460251955E-3</v>
      </c>
    </row>
    <row r="24" spans="1:23" s="288" customFormat="1">
      <c r="A24" s="289"/>
      <c r="B24" s="289"/>
      <c r="C24" s="289"/>
      <c r="D24" s="289"/>
      <c r="E24" s="289"/>
      <c r="F24" s="289"/>
      <c r="G24" s="289"/>
      <c r="H24" s="289"/>
      <c r="I24" s="289"/>
      <c r="J24" s="289"/>
      <c r="K24" s="289"/>
      <c r="L24" s="289"/>
      <c r="M24" s="289"/>
      <c r="N24" s="289"/>
      <c r="O24" s="289"/>
      <c r="P24" s="289"/>
      <c r="Q24" s="289"/>
      <c r="R24" s="289"/>
      <c r="S24" s="289"/>
      <c r="W24" s="406">
        <f>'CAP2ACT investigation'!N82</f>
        <v>7.5535122530408379E-4</v>
      </c>
    </row>
    <row r="25" spans="1:23" s="288" customFormat="1">
      <c r="A25" s="289"/>
      <c r="B25" s="289"/>
      <c r="C25" s="289"/>
      <c r="D25" s="289"/>
      <c r="E25" s="289"/>
      <c r="F25" s="289"/>
      <c r="G25" s="289"/>
      <c r="H25" s="289"/>
      <c r="I25" s="289"/>
      <c r="J25" s="289"/>
      <c r="K25" s="289"/>
      <c r="L25" s="289"/>
      <c r="M25" s="289"/>
      <c r="N25" s="289"/>
      <c r="O25" s="289"/>
      <c r="P25" s="289"/>
      <c r="Q25" s="289"/>
      <c r="R25" s="289"/>
      <c r="S25" s="289"/>
      <c r="W25" s="406">
        <f>'CAP2ACT investigation'!N83</f>
        <v>2.3073735397227837E-4</v>
      </c>
    </row>
    <row r="26" spans="1:23" s="288" customFormat="1">
      <c r="A26" s="289"/>
      <c r="B26" s="289"/>
      <c r="C26" s="289"/>
      <c r="D26" s="289"/>
      <c r="E26" s="289"/>
      <c r="F26" s="289"/>
      <c r="G26" s="289"/>
      <c r="H26" s="289"/>
      <c r="I26" s="289"/>
      <c r="J26" s="289"/>
      <c r="K26" s="289"/>
      <c r="L26" s="289"/>
      <c r="M26" s="289"/>
      <c r="N26" s="289"/>
      <c r="O26" s="289"/>
      <c r="P26" s="289"/>
      <c r="Q26" s="289"/>
      <c r="R26" s="289"/>
      <c r="S26" s="289"/>
    </row>
    <row r="27" spans="1:23" s="288" customFormat="1">
      <c r="A27" s="289"/>
      <c r="B27" s="289"/>
      <c r="C27" s="289"/>
      <c r="D27" s="289"/>
      <c r="E27" s="289"/>
      <c r="F27" s="289"/>
      <c r="G27" s="289"/>
      <c r="H27" s="289"/>
      <c r="I27" s="289"/>
      <c r="J27" s="289"/>
      <c r="K27" s="289"/>
      <c r="L27" s="289"/>
      <c r="M27" s="289"/>
      <c r="N27" s="289"/>
      <c r="O27" s="289"/>
      <c r="P27" s="289"/>
      <c r="Q27" s="289"/>
      <c r="R27" s="289"/>
      <c r="S27" s="289"/>
    </row>
    <row r="28" spans="1:23" s="288" customFormat="1">
      <c r="A28" s="289"/>
      <c r="B28" s="289"/>
      <c r="E28" s="281"/>
      <c r="H28" s="282"/>
      <c r="J28" s="278"/>
      <c r="N28" s="291"/>
    </row>
    <row r="29" spans="1:23" s="288" customFormat="1">
      <c r="A29" s="289"/>
      <c r="B29" s="289"/>
      <c r="E29" s="281"/>
      <c r="H29" s="282"/>
      <c r="J29" s="278"/>
      <c r="K29" s="288">
        <v>0.5</v>
      </c>
      <c r="L29" s="288">
        <v>0.75</v>
      </c>
      <c r="M29" s="288">
        <v>0.99</v>
      </c>
      <c r="N29" s="291"/>
    </row>
    <row r="30" spans="1:23" s="288" customFormat="1">
      <c r="A30" s="289"/>
      <c r="B30" s="289"/>
      <c r="E30" s="281"/>
      <c r="J30" s="282"/>
      <c r="L30" s="278"/>
      <c r="P30" s="291"/>
    </row>
    <row r="31" spans="1:23" s="288" customFormat="1">
      <c r="A31" s="289"/>
      <c r="B31" s="289"/>
      <c r="E31" s="281"/>
      <c r="J31" s="282"/>
      <c r="L31" s="278"/>
      <c r="P31" s="291"/>
    </row>
    <row r="32" spans="1:23" s="288" customFormat="1">
      <c r="A32" s="289"/>
      <c r="B32" s="289"/>
      <c r="E32" s="281"/>
      <c r="J32" s="282"/>
      <c r="L32" s="278"/>
      <c r="P32" s="291"/>
    </row>
    <row r="33" spans="1:16" s="288" customFormat="1">
      <c r="A33" s="289"/>
      <c r="B33" s="289"/>
      <c r="E33" s="281"/>
      <c r="J33" s="282"/>
      <c r="L33" s="278"/>
      <c r="P33" s="291"/>
    </row>
    <row r="34" spans="1:16">
      <c r="B34" s="12" t="s">
        <v>37</v>
      </c>
      <c r="C34" s="12"/>
      <c r="D34" s="13"/>
      <c r="E34" s="13"/>
      <c r="F34" s="13"/>
      <c r="G34" s="13"/>
      <c r="H34" s="13"/>
      <c r="I34" s="13"/>
      <c r="L34" s="8"/>
    </row>
    <row r="35" spans="1:16">
      <c r="B35" s="11" t="s">
        <v>38</v>
      </c>
      <c r="C35" s="11" t="s">
        <v>1</v>
      </c>
      <c r="D35" s="11" t="s">
        <v>39</v>
      </c>
      <c r="E35" s="11" t="s">
        <v>40</v>
      </c>
      <c r="F35" s="11" t="s">
        <v>41</v>
      </c>
      <c r="G35" s="11" t="s">
        <v>42</v>
      </c>
      <c r="H35" s="11" t="s">
        <v>43</v>
      </c>
      <c r="I35" s="11" t="s">
        <v>44</v>
      </c>
      <c r="L35" s="8"/>
    </row>
    <row r="36" spans="1:16" ht="45.75" thickBot="1">
      <c r="B36" s="14" t="s">
        <v>45</v>
      </c>
      <c r="C36" s="14" t="s">
        <v>46</v>
      </c>
      <c r="D36" s="14" t="s">
        <v>47</v>
      </c>
      <c r="E36" s="14" t="s">
        <v>48</v>
      </c>
      <c r="F36" s="14" t="s">
        <v>49</v>
      </c>
      <c r="G36" s="14" t="s">
        <v>50</v>
      </c>
      <c r="H36" s="14" t="s">
        <v>51</v>
      </c>
      <c r="I36" s="14" t="s">
        <v>52</v>
      </c>
      <c r="L36" s="8"/>
    </row>
    <row r="37" spans="1:16">
      <c r="B37" s="286" t="s">
        <v>274</v>
      </c>
      <c r="C37" s="285" t="s">
        <v>396</v>
      </c>
      <c r="D37" s="285" t="s">
        <v>275</v>
      </c>
      <c r="E37" s="286" t="s">
        <v>278</v>
      </c>
      <c r="F37" s="286" t="s">
        <v>279</v>
      </c>
      <c r="G37" s="281" t="s">
        <v>280</v>
      </c>
      <c r="H37" s="284"/>
      <c r="I37" s="287"/>
    </row>
    <row r="38" spans="1:16">
      <c r="B38" s="286" t="s">
        <v>274</v>
      </c>
      <c r="C38" s="285" t="s">
        <v>397</v>
      </c>
      <c r="D38" s="285" t="s">
        <v>275</v>
      </c>
      <c r="E38" s="286" t="s">
        <v>278</v>
      </c>
      <c r="F38" s="286" t="s">
        <v>279</v>
      </c>
      <c r="G38" s="281" t="s">
        <v>280</v>
      </c>
      <c r="H38" s="284"/>
      <c r="I38" s="287"/>
    </row>
    <row r="39" spans="1:16">
      <c r="B39" s="286" t="s">
        <v>274</v>
      </c>
      <c r="C39" s="285" t="s">
        <v>398</v>
      </c>
      <c r="D39" s="285" t="s">
        <v>275</v>
      </c>
      <c r="E39" s="286" t="s">
        <v>278</v>
      </c>
      <c r="F39" s="286" t="s">
        <v>279</v>
      </c>
      <c r="G39" s="281" t="s">
        <v>280</v>
      </c>
      <c r="H39" s="284"/>
      <c r="I39" s="287"/>
    </row>
    <row r="40" spans="1:16">
      <c r="B40" s="286" t="s">
        <v>274</v>
      </c>
      <c r="C40" s="285" t="s">
        <v>399</v>
      </c>
      <c r="D40" s="285" t="s">
        <v>275</v>
      </c>
      <c r="E40" s="286" t="s">
        <v>278</v>
      </c>
      <c r="F40" s="286" t="s">
        <v>279</v>
      </c>
      <c r="G40" s="281" t="s">
        <v>280</v>
      </c>
      <c r="H40" s="284"/>
      <c r="I40" s="287"/>
      <c r="J40" s="318"/>
    </row>
    <row r="41" spans="1:16">
      <c r="B41" s="286" t="s">
        <v>274</v>
      </c>
      <c r="C41" s="285" t="s">
        <v>400</v>
      </c>
      <c r="D41" s="285" t="s">
        <v>275</v>
      </c>
      <c r="E41" s="286" t="s">
        <v>278</v>
      </c>
      <c r="F41" s="286" t="s">
        <v>279</v>
      </c>
      <c r="G41" s="281" t="s">
        <v>280</v>
      </c>
      <c r="H41" s="284"/>
      <c r="I41" s="287"/>
    </row>
    <row r="42" spans="1:16">
      <c r="B42" s="286" t="s">
        <v>274</v>
      </c>
      <c r="C42" s="285" t="s">
        <v>401</v>
      </c>
      <c r="D42" s="285" t="s">
        <v>275</v>
      </c>
      <c r="E42" s="286" t="s">
        <v>278</v>
      </c>
      <c r="F42" s="286" t="s">
        <v>279</v>
      </c>
      <c r="G42" s="281" t="s">
        <v>280</v>
      </c>
      <c r="H42" s="284"/>
      <c r="I42" s="287"/>
    </row>
    <row r="43" spans="1:16">
      <c r="B43" s="286" t="s">
        <v>274</v>
      </c>
      <c r="C43" s="285" t="s">
        <v>402</v>
      </c>
      <c r="D43" s="285" t="s">
        <v>275</v>
      </c>
      <c r="E43" s="286" t="s">
        <v>278</v>
      </c>
      <c r="F43" s="286" t="s">
        <v>279</v>
      </c>
      <c r="G43" s="281" t="s">
        <v>280</v>
      </c>
      <c r="H43" s="284"/>
      <c r="I43" s="287"/>
    </row>
    <row r="51" spans="2:9">
      <c r="B51" s="12" t="s">
        <v>289</v>
      </c>
      <c r="C51" s="317"/>
      <c r="D51" s="318"/>
      <c r="E51" s="318"/>
      <c r="F51" s="318"/>
      <c r="G51" s="318"/>
      <c r="H51" s="318"/>
      <c r="I51" s="318"/>
    </row>
    <row r="52" spans="2:9">
      <c r="B52" s="319" t="s">
        <v>290</v>
      </c>
      <c r="C52" s="319" t="s">
        <v>291</v>
      </c>
      <c r="D52" s="319" t="s">
        <v>292</v>
      </c>
      <c r="E52" s="320" t="s">
        <v>228</v>
      </c>
      <c r="F52" s="320" t="s">
        <v>293</v>
      </c>
      <c r="G52" s="320" t="s">
        <v>294</v>
      </c>
      <c r="H52" s="320" t="s">
        <v>295</v>
      </c>
      <c r="I52" s="320" t="s">
        <v>296</v>
      </c>
    </row>
    <row r="53" spans="2:9" ht="26.25" thickBot="1">
      <c r="B53" s="321" t="s">
        <v>297</v>
      </c>
      <c r="C53" s="321" t="s">
        <v>298</v>
      </c>
      <c r="D53" s="321" t="s">
        <v>299</v>
      </c>
      <c r="E53" s="321" t="s">
        <v>228</v>
      </c>
      <c r="F53" s="321" t="s">
        <v>300</v>
      </c>
      <c r="G53" s="321" t="s">
        <v>301</v>
      </c>
      <c r="H53" s="321" t="s">
        <v>302</v>
      </c>
      <c r="I53" s="321" t="s">
        <v>303</v>
      </c>
    </row>
    <row r="54" spans="2:9">
      <c r="B54" s="322" t="s">
        <v>304</v>
      </c>
      <c r="C54" s="292" t="str">
        <f>F5</f>
        <v>ELCEROAD</v>
      </c>
      <c r="D54" s="281" t="s">
        <v>305</v>
      </c>
      <c r="E54" s="281" t="s">
        <v>278</v>
      </c>
      <c r="G54" s="281" t="s">
        <v>280</v>
      </c>
      <c r="I54" s="281" t="s">
        <v>306</v>
      </c>
    </row>
  </sheetData>
  <pageMargins left="0.7" right="0.7" top="0.75" bottom="0.75" header="0.3" footer="0.3"/>
  <pageSetup paperSize="9" orientation="portrait" verticalDpi="1200"/>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39"/>
  <sheetViews>
    <sheetView zoomScale="70" zoomScaleNormal="70" workbookViewId="0">
      <selection activeCell="L19" sqref="L19"/>
    </sheetView>
  </sheetViews>
  <sheetFormatPr defaultColWidth="9.140625" defaultRowHeight="12.75"/>
  <cols>
    <col min="1" max="1" width="1.85546875" style="289" customWidth="1"/>
    <col min="2" max="2" width="13.28515625" style="289" bestFit="1" customWidth="1"/>
    <col min="3" max="3" width="20.140625" style="288" bestFit="1" customWidth="1"/>
    <col min="4" max="4" width="50.42578125" style="288" bestFit="1" customWidth="1"/>
    <col min="5" max="5" width="16.85546875" style="288" bestFit="1" customWidth="1"/>
    <col min="6" max="6" width="12.7109375" style="288" customWidth="1"/>
    <col min="7" max="7" width="10" style="288" bestFit="1" customWidth="1"/>
    <col min="8" max="8" width="12.5703125" style="288" bestFit="1" customWidth="1"/>
    <col min="9" max="9" width="13.28515625" style="288" bestFit="1" customWidth="1"/>
    <col min="10" max="11" width="13.7109375" style="288" customWidth="1"/>
    <col min="12" max="12" width="12.42578125" style="288" bestFit="1" customWidth="1"/>
    <col min="13" max="13" width="12.42578125" style="288" customWidth="1"/>
    <col min="14" max="15" width="10.28515625" style="288" bestFit="1" customWidth="1"/>
    <col min="16" max="16" width="9.7109375" style="288" bestFit="1" customWidth="1"/>
    <col min="17" max="17" width="6.85546875" style="288" customWidth="1"/>
    <col min="18" max="19" width="10.85546875" style="291" customWidth="1"/>
    <col min="20" max="20" width="10.42578125" style="288" bestFit="1" customWidth="1"/>
    <col min="21" max="21" width="6" style="288" bestFit="1" customWidth="1"/>
    <col min="22" max="22" width="11.28515625" style="288" bestFit="1" customWidth="1"/>
    <col min="23" max="24" width="14.85546875" style="288" bestFit="1" customWidth="1"/>
    <col min="25" max="25" width="9.140625" style="288"/>
    <col min="26" max="26" width="17.140625" style="288" bestFit="1" customWidth="1"/>
    <col min="27" max="27" width="9.140625" style="288"/>
    <col min="28" max="28" width="16" style="288" bestFit="1" customWidth="1"/>
    <col min="29" max="29" width="16.85546875" style="288" customWidth="1"/>
    <col min="30" max="31" width="9.140625" style="288"/>
    <col min="32" max="32" width="14" style="288" customWidth="1"/>
    <col min="33" max="36" width="9.140625" style="288"/>
    <col min="37" max="37" width="11.85546875" style="288" customWidth="1"/>
    <col min="38" max="38" width="22.140625" style="288" customWidth="1"/>
    <col min="39" max="39" width="14.28515625" style="288" customWidth="1"/>
    <col min="40" max="40" width="13" style="288" bestFit="1" customWidth="1"/>
    <col min="41" max="41" width="13.85546875" style="288" bestFit="1" customWidth="1"/>
    <col min="42" max="16384" width="9.140625" style="288"/>
  </cols>
  <sheetData>
    <row r="1" spans="3:23">
      <c r="P1" s="291"/>
      <c r="Q1" s="291"/>
      <c r="R1" s="288"/>
      <c r="S1" s="288"/>
    </row>
    <row r="2" spans="3:23">
      <c r="E2" s="1"/>
      <c r="H2" s="2" t="s">
        <v>0</v>
      </c>
      <c r="I2" s="288" t="s">
        <v>61</v>
      </c>
      <c r="J2" s="289"/>
      <c r="K2" s="289"/>
      <c r="O2" s="280"/>
      <c r="P2" s="280"/>
      <c r="Q2" s="280"/>
      <c r="R2" s="280"/>
      <c r="S2" s="280"/>
    </row>
    <row r="3" spans="3:23" ht="25.5">
      <c r="C3" s="274" t="s">
        <v>1</v>
      </c>
      <c r="D3" s="274" t="s">
        <v>8</v>
      </c>
      <c r="E3" s="274" t="s">
        <v>2</v>
      </c>
      <c r="F3" s="274" t="s">
        <v>3</v>
      </c>
      <c r="G3" s="274" t="s">
        <v>28</v>
      </c>
      <c r="H3" s="274" t="s">
        <v>141</v>
      </c>
      <c r="I3" s="274" t="s">
        <v>5</v>
      </c>
      <c r="J3" s="274" t="s">
        <v>144</v>
      </c>
      <c r="K3" s="310" t="s">
        <v>365</v>
      </c>
      <c r="L3" s="274" t="s">
        <v>9</v>
      </c>
      <c r="M3" s="310" t="s">
        <v>324</v>
      </c>
      <c r="N3" s="274" t="s">
        <v>10</v>
      </c>
      <c r="O3" s="7" t="s">
        <v>6</v>
      </c>
      <c r="P3" s="9" t="s">
        <v>4</v>
      </c>
      <c r="Q3" s="6" t="s">
        <v>7</v>
      </c>
      <c r="R3" s="6" t="s">
        <v>63</v>
      </c>
      <c r="S3" s="29" t="s">
        <v>373</v>
      </c>
      <c r="U3" s="288" t="s">
        <v>143</v>
      </c>
      <c r="W3" s="35">
        <v>3</v>
      </c>
    </row>
    <row r="4" spans="3:23" ht="24.75" customHeight="1" thickBot="1">
      <c r="C4" s="290" t="s">
        <v>11</v>
      </c>
      <c r="D4" s="290"/>
      <c r="E4" s="290"/>
      <c r="F4" s="290"/>
      <c r="G4" s="290"/>
      <c r="H4" s="290" t="s">
        <v>140</v>
      </c>
      <c r="I4" s="290" t="s">
        <v>13</v>
      </c>
      <c r="J4" s="290" t="s">
        <v>145</v>
      </c>
      <c r="K4" s="290" t="s">
        <v>366</v>
      </c>
      <c r="L4" s="290" t="s">
        <v>142</v>
      </c>
      <c r="M4" s="290" t="s">
        <v>250</v>
      </c>
      <c r="N4" s="290" t="s">
        <v>14</v>
      </c>
      <c r="O4" s="290" t="s">
        <v>57</v>
      </c>
      <c r="P4" s="290" t="s">
        <v>12</v>
      </c>
      <c r="Q4" s="290" t="s">
        <v>12</v>
      </c>
      <c r="R4" s="290" t="s">
        <v>64</v>
      </c>
      <c r="S4" s="290" t="s">
        <v>64</v>
      </c>
      <c r="U4" s="16"/>
    </row>
    <row r="5" spans="3:23">
      <c r="C5" s="288" t="str">
        <f>LEFT(F6,4)&amp;RIGHT(E5,2)&amp;"X1N"&amp;"-"&amp;"ERS"</f>
        <v>TFTREVX1N-ERS</v>
      </c>
      <c r="D5" s="301" t="s">
        <v>249</v>
      </c>
      <c r="E5" s="288" t="s">
        <v>229</v>
      </c>
      <c r="F5" s="288" t="s">
        <v>327</v>
      </c>
      <c r="G5" s="300">
        <v>2020</v>
      </c>
      <c r="H5" s="302" t="str">
        <f>"MKr"&amp;RIGHT('EU Lastbil RME'!$H$38,2)</f>
        <v>MKr13</v>
      </c>
      <c r="I5" s="304">
        <v>2020</v>
      </c>
      <c r="J5" s="300"/>
      <c r="L5" s="501">
        <f>'EU Lastbil'!$D$25/'EU Lastbil El_2'!$P$25*U5</f>
        <v>1.8958222222222219</v>
      </c>
      <c r="M5" s="297">
        <v>0.2</v>
      </c>
      <c r="N5" s="299">
        <f>'EU Lastbil El'!E27</f>
        <v>6</v>
      </c>
      <c r="O5" s="299"/>
      <c r="P5" s="299">
        <v>156</v>
      </c>
      <c r="Q5" s="302">
        <f>'EU Lastbil El'!E31*$V$30*INDEX('Assumptions regarding ERS'!$C$16:$I$16,MATCH(TRA__EroadTrucks!G5,'Assumptions regarding ERS'!$C$15:$I$15))+INDEX('Assumptions regarding ERS'!$C$23:$I$23,MATCH(TRA__EroadTrucks!G5,'Assumptions regarding ERS'!$C$19:$I$19))</f>
        <v>1328.8788739041997</v>
      </c>
      <c r="R5" s="300">
        <v>5</v>
      </c>
      <c r="S5" s="300">
        <v>5</v>
      </c>
      <c r="U5" s="288">
        <f>'Assumptions regarding ERS'!E59</f>
        <v>0.91428571428571426</v>
      </c>
      <c r="V5" s="281" t="s">
        <v>242</v>
      </c>
    </row>
    <row r="6" spans="3:23">
      <c r="C6" s="300"/>
      <c r="D6" s="300"/>
      <c r="E6" s="300" t="str">
        <f>TRA__Eroad_Infra!F5</f>
        <v>ELCEROAD</v>
      </c>
      <c r="F6" s="300" t="s">
        <v>220</v>
      </c>
      <c r="G6" s="300"/>
      <c r="H6" s="302"/>
      <c r="I6" s="304"/>
      <c r="J6" s="298"/>
      <c r="K6" s="298"/>
      <c r="L6" s="502">
        <f>'EU Lastbil'!$D$25/'EU Lastbil El_2'!$P$25*U5</f>
        <v>1.8958222222222219</v>
      </c>
      <c r="M6" s="297"/>
      <c r="N6" s="308"/>
      <c r="O6" s="299"/>
      <c r="P6" s="299"/>
      <c r="Q6" s="302"/>
      <c r="R6" s="300">
        <v>5</v>
      </c>
      <c r="S6" s="300"/>
    </row>
    <row r="7" spans="3:23">
      <c r="F7" s="300" t="s">
        <v>221</v>
      </c>
      <c r="L7" s="502">
        <f>'EU Lastbil'!$D$25/'EU Lastbil El_2'!$P$25*U5</f>
        <v>1.8958222222222219</v>
      </c>
      <c r="R7" s="300">
        <v>5</v>
      </c>
    </row>
    <row r="8" spans="3:23">
      <c r="C8" s="300"/>
      <c r="D8" s="300"/>
      <c r="E8" s="288" t="s">
        <v>229</v>
      </c>
      <c r="F8" s="288" t="s">
        <v>327</v>
      </c>
      <c r="G8" s="300">
        <v>2035</v>
      </c>
      <c r="H8" s="302" t="str">
        <f>"MKr"&amp;RIGHT('EU Lastbil RME'!$H$38,2)</f>
        <v>MKr13</v>
      </c>
      <c r="I8" s="304">
        <v>2035</v>
      </c>
      <c r="J8" s="300"/>
      <c r="K8" s="300"/>
      <c r="L8" s="502">
        <f>'EU Lastbil'!$D$25/'EU Lastbil El_2'!$Q$25*U5</f>
        <v>2.0665652838877024</v>
      </c>
      <c r="M8" s="297">
        <f>M5</f>
        <v>0.2</v>
      </c>
      <c r="N8" s="299">
        <f>'EU Lastbil El'!F27</f>
        <v>6</v>
      </c>
      <c r="O8" s="308"/>
      <c r="P8" s="299">
        <v>156</v>
      </c>
      <c r="Q8" s="302">
        <f>'EU Lastbil El'!F31*$V$30*INDEX('Assumptions regarding ERS'!$C$16:$I$16,MATCH(TRA__EroadTrucks!G8,'Assumptions regarding ERS'!$C$15:$I$15))+INDEX('Assumptions regarding ERS'!$C$23:$I$23,MATCH(TRA__EroadTrucks!G8,'Assumptions regarding ERS'!$C$19:$I$19))</f>
        <v>811.73072526194528</v>
      </c>
      <c r="R8" s="300">
        <v>5</v>
      </c>
      <c r="S8" s="300">
        <v>5</v>
      </c>
    </row>
    <row r="9" spans="3:23">
      <c r="C9" s="303"/>
      <c r="D9" s="300"/>
      <c r="E9" s="300" t="str">
        <f>E6</f>
        <v>ELCEROAD</v>
      </c>
      <c r="F9" s="300" t="s">
        <v>220</v>
      </c>
      <c r="I9" s="304"/>
      <c r="J9" s="300"/>
      <c r="K9" s="300"/>
      <c r="L9" s="502">
        <f>'EU Lastbil'!$D$25/'EU Lastbil El_2'!$Q$25*U5</f>
        <v>2.0665652838877024</v>
      </c>
      <c r="M9" s="297"/>
      <c r="R9" s="300">
        <v>5</v>
      </c>
      <c r="S9" s="300"/>
    </row>
    <row r="10" spans="3:23">
      <c r="F10" s="300" t="s">
        <v>221</v>
      </c>
      <c r="L10" s="502">
        <f>'EU Lastbil'!$D$25/'EU Lastbil El_2'!$Q$25*U5</f>
        <v>2.0665652838877024</v>
      </c>
      <c r="R10" s="300">
        <v>5</v>
      </c>
    </row>
    <row r="11" spans="3:23">
      <c r="C11" s="300" t="s">
        <v>372</v>
      </c>
      <c r="D11" s="300" t="s">
        <v>369</v>
      </c>
      <c r="E11" s="300" t="s">
        <v>229</v>
      </c>
      <c r="F11" s="300" t="s">
        <v>327</v>
      </c>
      <c r="G11" s="300">
        <v>2020</v>
      </c>
      <c r="H11" s="300" t="s">
        <v>364</v>
      </c>
      <c r="I11" s="300">
        <v>2020</v>
      </c>
      <c r="J11" s="300"/>
      <c r="K11" s="304"/>
      <c r="L11" s="542">
        <f>L5*AG$125+AG$126*L45+AG$127*L5</f>
        <v>1.8006312478632478</v>
      </c>
      <c r="M11" s="283">
        <f>AN125</f>
        <v>7.1868151694513438E-2</v>
      </c>
      <c r="N11" s="300">
        <v>6</v>
      </c>
      <c r="O11" s="305"/>
      <c r="P11" s="304">
        <f>P5*AF51</f>
        <v>131.08433107063414</v>
      </c>
      <c r="Q11" s="282">
        <f>751.018913083174*AH51+INDEX('Assumptions regarding ERS'!$C$23:$I$23,MATCH(TRA__EroadTrucks!G11,'Assumptions regarding ERS'!$C$19:$I$19))</f>
        <v>1053.4564147887138</v>
      </c>
      <c r="R11" s="300">
        <v>5</v>
      </c>
      <c r="S11" s="300">
        <v>5</v>
      </c>
    </row>
    <row r="12" spans="3:23">
      <c r="C12" s="300"/>
      <c r="D12" s="300"/>
      <c r="E12" s="300" t="s">
        <v>368</v>
      </c>
      <c r="F12" s="300" t="s">
        <v>220</v>
      </c>
      <c r="G12" s="300"/>
      <c r="H12" s="300"/>
      <c r="I12" s="300"/>
      <c r="J12" s="300"/>
      <c r="K12" s="304"/>
      <c r="L12" s="542">
        <f>L6*AG$125+AG$126*L46+AG$127*L6</f>
        <v>1.8006312478632478</v>
      </c>
      <c r="M12" s="283">
        <f t="shared" ref="M12:M13" si="0">AN126</f>
        <v>0.17154927809480353</v>
      </c>
      <c r="N12" s="300"/>
      <c r="O12" s="305"/>
      <c r="P12" s="300"/>
      <c r="Q12" s="300"/>
      <c r="R12" s="300">
        <v>5</v>
      </c>
      <c r="S12" s="300">
        <v>5</v>
      </c>
    </row>
    <row r="13" spans="3:23">
      <c r="E13" s="300" t="str">
        <f>E9</f>
        <v>ELCEROAD</v>
      </c>
      <c r="F13" s="300" t="s">
        <v>221</v>
      </c>
      <c r="K13" s="282"/>
      <c r="L13" s="542">
        <f>L7*AG$125+AG$126*L47+AG$127*L7</f>
        <v>1.8006312478632478</v>
      </c>
      <c r="M13" s="283">
        <f t="shared" si="0"/>
        <v>0.75658257021068309</v>
      </c>
      <c r="O13" s="279"/>
      <c r="R13" s="300">
        <v>5</v>
      </c>
      <c r="S13" s="300">
        <v>5</v>
      </c>
    </row>
    <row r="14" spans="3:23">
      <c r="C14" s="300" t="s">
        <v>371</v>
      </c>
      <c r="D14" s="288" t="s">
        <v>370</v>
      </c>
      <c r="E14" s="300" t="s">
        <v>229</v>
      </c>
      <c r="F14" s="300" t="s">
        <v>327</v>
      </c>
      <c r="G14" s="288">
        <v>2035</v>
      </c>
      <c r="H14" s="300" t="s">
        <v>364</v>
      </c>
      <c r="I14" s="288">
        <v>2035</v>
      </c>
      <c r="K14" s="282"/>
      <c r="L14" s="542">
        <f>L8*AG$125+AG$126*L48+AG$127*L8</f>
        <v>1.9713568194486855</v>
      </c>
      <c r="M14" s="283">
        <f>AN129</f>
        <v>7.3226336581104279E-2</v>
      </c>
      <c r="N14" s="288">
        <v>6</v>
      </c>
      <c r="O14" s="279"/>
      <c r="P14" s="304">
        <f>P5*AF52</f>
        <v>131.08433107063414</v>
      </c>
      <c r="Q14" s="282">
        <f>751.018913083174*AH52+INDEX('Assumptions regarding ERS'!$C$23:$I$23,MATCH(TRA__EroadTrucks!G14,'Assumptions regarding ERS'!$C$19:$I$19))</f>
        <v>929.63555981362708</v>
      </c>
      <c r="R14" s="300">
        <v>5</v>
      </c>
      <c r="S14" s="300">
        <v>5</v>
      </c>
    </row>
    <row r="15" spans="3:23">
      <c r="E15" s="300" t="s">
        <v>367</v>
      </c>
      <c r="F15" s="300" t="s">
        <v>220</v>
      </c>
      <c r="K15" s="282"/>
      <c r="L15" s="542">
        <f>L9*AG$125+AG$126*L49+AG$127*L9</f>
        <v>1.9713568194486855</v>
      </c>
      <c r="M15" s="283">
        <f t="shared" ref="M15:M16" si="1">AN130</f>
        <v>0.1650029189649434</v>
      </c>
      <c r="O15" s="279"/>
      <c r="R15" s="300">
        <v>5</v>
      </c>
      <c r="S15" s="300">
        <v>5</v>
      </c>
    </row>
    <row r="16" spans="3:23">
      <c r="E16" s="300" t="str">
        <f>E13</f>
        <v>ELCEROAD</v>
      </c>
      <c r="F16" s="300" t="s">
        <v>221</v>
      </c>
      <c r="K16" s="282"/>
      <c r="L16" s="542">
        <f>L10*AG$125+AG$126*L50+AG$127*L10</f>
        <v>1.9713568194486855</v>
      </c>
      <c r="M16" s="283">
        <f t="shared" si="1"/>
        <v>0.76177074445395232</v>
      </c>
      <c r="O16" s="279"/>
      <c r="R16" s="299">
        <v>5</v>
      </c>
      <c r="S16" s="300">
        <v>5</v>
      </c>
    </row>
    <row r="19" spans="2:41">
      <c r="N19" s="278"/>
      <c r="R19" s="288"/>
    </row>
    <row r="20" spans="2:41">
      <c r="N20" s="278"/>
    </row>
    <row r="21" spans="2:41" ht="13.5" thickBot="1">
      <c r="N21" s="278"/>
    </row>
    <row r="22" spans="2:41">
      <c r="AB22" s="333" t="s">
        <v>345</v>
      </c>
      <c r="AC22" s="334"/>
      <c r="AD22" s="334"/>
      <c r="AE22" s="334"/>
      <c r="AF22" s="334"/>
      <c r="AG22" s="334"/>
      <c r="AH22" s="334"/>
      <c r="AI22" s="334"/>
      <c r="AJ22" s="334"/>
      <c r="AK22" s="334"/>
      <c r="AL22" s="334"/>
      <c r="AM22" s="334"/>
      <c r="AN22" s="334"/>
      <c r="AO22" s="335"/>
    </row>
    <row r="23" spans="2:41">
      <c r="V23" s="271" t="s">
        <v>230</v>
      </c>
      <c r="W23" s="271"/>
      <c r="X23" s="293"/>
      <c r="Y23" s="271"/>
      <c r="AB23" s="336"/>
      <c r="AC23" s="291" t="s">
        <v>232</v>
      </c>
      <c r="AD23" s="291" t="s">
        <v>346</v>
      </c>
      <c r="AE23" s="337">
        <f t="shared" ref="AE23:AE28" si="2">AF23*$AE$73</f>
        <v>1885.3804631205996</v>
      </c>
      <c r="AF23" s="338">
        <f t="shared" ref="AF23:AF28" si="3">1000/AG23*$U$5</f>
        <v>178.92166597350618</v>
      </c>
      <c r="AG23" s="291">
        <f>'EU Lastbil El'!D25</f>
        <v>5.109977650337199</v>
      </c>
      <c r="AH23" s="291"/>
      <c r="AI23" s="291"/>
      <c r="AJ23" s="291"/>
      <c r="AK23" s="291"/>
      <c r="AL23" s="291"/>
      <c r="AM23" s="291"/>
      <c r="AN23" s="291"/>
      <c r="AO23" s="339"/>
    </row>
    <row r="24" spans="2:41">
      <c r="V24" s="271" t="s">
        <v>231</v>
      </c>
      <c r="W24" s="271" t="s">
        <v>227</v>
      </c>
      <c r="X24" s="271" t="s">
        <v>214</v>
      </c>
      <c r="Y24" s="271" t="s">
        <v>124</v>
      </c>
      <c r="AB24" s="336"/>
      <c r="AC24" s="291"/>
      <c r="AD24" s="291"/>
      <c r="AE24" s="337">
        <f t="shared" si="2"/>
        <v>2091.852838107508</v>
      </c>
      <c r="AF24" s="338">
        <f t="shared" si="3"/>
        <v>198.51579142074812</v>
      </c>
      <c r="AG24" s="291">
        <f>'EU Lastbil El'!$E$25</f>
        <v>4.6056069783784297</v>
      </c>
      <c r="AH24" s="291"/>
      <c r="AI24" s="291"/>
      <c r="AJ24" s="291"/>
      <c r="AK24" s="291"/>
      <c r="AL24" s="291"/>
      <c r="AM24" s="291"/>
      <c r="AN24" s="291"/>
      <c r="AO24" s="339"/>
    </row>
    <row r="25" spans="2:41">
      <c r="B25" s="12" t="s">
        <v>37</v>
      </c>
      <c r="C25" s="12"/>
      <c r="D25" s="292"/>
      <c r="E25" s="292"/>
      <c r="F25" s="292"/>
      <c r="G25" s="292"/>
      <c r="H25" s="292"/>
      <c r="I25" s="292"/>
      <c r="V25" s="288" t="s">
        <v>232</v>
      </c>
      <c r="W25" s="288" t="s">
        <v>29</v>
      </c>
      <c r="X25" s="283">
        <v>97.507589999999993</v>
      </c>
      <c r="Y25" s="296">
        <f>1000/X25</f>
        <v>10.255611896468778</v>
      </c>
      <c r="AB25" s="336"/>
      <c r="AC25" s="291"/>
      <c r="AD25" s="291"/>
      <c r="AE25" s="337">
        <f t="shared" si="2"/>
        <v>2333.6566199700837</v>
      </c>
      <c r="AF25" s="338">
        <f t="shared" si="3"/>
        <v>221.46284976563928</v>
      </c>
      <c r="AG25" s="291">
        <f>'EU Lastbil El'!F25</f>
        <v>4.1283931605379749</v>
      </c>
      <c r="AH25" s="291"/>
      <c r="AI25" s="291"/>
      <c r="AJ25" s="291"/>
      <c r="AK25" s="291"/>
      <c r="AL25" s="291"/>
      <c r="AM25" s="291"/>
      <c r="AN25" s="291"/>
      <c r="AO25" s="339"/>
    </row>
    <row r="26" spans="2:41">
      <c r="B26" s="11" t="s">
        <v>38</v>
      </c>
      <c r="C26" s="11" t="s">
        <v>1</v>
      </c>
      <c r="D26" s="11" t="s">
        <v>39</v>
      </c>
      <c r="E26" s="11" t="s">
        <v>40</v>
      </c>
      <c r="F26" s="11" t="s">
        <v>41</v>
      </c>
      <c r="G26" s="11" t="s">
        <v>42</v>
      </c>
      <c r="H26" s="11" t="s">
        <v>43</v>
      </c>
      <c r="I26" s="11" t="s">
        <v>44</v>
      </c>
      <c r="V26" s="288" t="s">
        <v>233</v>
      </c>
      <c r="W26" s="288" t="s">
        <v>234</v>
      </c>
      <c r="X26" s="283">
        <v>258.03300000000002</v>
      </c>
      <c r="Y26" s="296">
        <f>1000/X26</f>
        <v>3.8754732921758066</v>
      </c>
      <c r="AB26" s="336"/>
      <c r="AC26" s="291" t="s">
        <v>232</v>
      </c>
      <c r="AD26" s="291" t="s">
        <v>29</v>
      </c>
      <c r="AE26" s="337">
        <f t="shared" si="2"/>
        <v>722.74958956704143</v>
      </c>
      <c r="AF26" s="338">
        <f t="shared" si="3"/>
        <v>68.588575715357408</v>
      </c>
      <c r="AG26" s="291">
        <f>'EU Lastbil'!D25</f>
        <v>13.33</v>
      </c>
      <c r="AH26" s="291"/>
      <c r="AI26" s="291"/>
      <c r="AJ26" s="291"/>
      <c r="AK26" s="291"/>
      <c r="AL26" s="291"/>
      <c r="AM26" s="291"/>
      <c r="AN26" s="291"/>
      <c r="AO26" s="339"/>
    </row>
    <row r="27" spans="2:41" ht="45.75" thickBot="1">
      <c r="B27" s="14" t="s">
        <v>45</v>
      </c>
      <c r="C27" s="14" t="s">
        <v>46</v>
      </c>
      <c r="D27" s="14" t="s">
        <v>47</v>
      </c>
      <c r="E27" s="14" t="s">
        <v>48</v>
      </c>
      <c r="F27" s="14" t="s">
        <v>49</v>
      </c>
      <c r="G27" s="14" t="s">
        <v>50</v>
      </c>
      <c r="H27" s="14" t="s">
        <v>51</v>
      </c>
      <c r="I27" s="14" t="s">
        <v>52</v>
      </c>
      <c r="V27" s="288" t="s">
        <v>233</v>
      </c>
      <c r="W27" s="288" t="s">
        <v>29</v>
      </c>
      <c r="X27" s="283">
        <v>238.61158</v>
      </c>
      <c r="Y27" s="296">
        <f>1000/X27</f>
        <v>4.1909114385814803</v>
      </c>
      <c r="AB27" s="336"/>
      <c r="AC27" s="291"/>
      <c r="AD27" s="291"/>
      <c r="AE27" s="337">
        <f t="shared" si="2"/>
        <v>796.87775259955845</v>
      </c>
      <c r="AF27" s="338">
        <f t="shared" si="3"/>
        <v>75.623301429753042</v>
      </c>
      <c r="AG27" s="291">
        <f>'EU Lastbil'!E25</f>
        <v>12.09</v>
      </c>
      <c r="AH27" s="291"/>
      <c r="AI27" s="291"/>
      <c r="AJ27" s="291"/>
      <c r="AK27" s="291"/>
      <c r="AL27" s="291"/>
      <c r="AM27" s="291"/>
      <c r="AN27" s="291"/>
      <c r="AO27" s="339"/>
    </row>
    <row r="28" spans="2:41">
      <c r="B28" s="284" t="s">
        <v>53</v>
      </c>
      <c r="C28" s="292" t="str">
        <f>C5</f>
        <v>TFTREVX1N-ERS</v>
      </c>
      <c r="D28" s="292" t="str">
        <f>D5</f>
        <v>Transport Freight Truck -Electric - EROAD - New</v>
      </c>
      <c r="E28" s="284" t="s">
        <v>60</v>
      </c>
      <c r="F28" s="286" t="s">
        <v>56</v>
      </c>
      <c r="I28" s="287" t="s">
        <v>54</v>
      </c>
      <c r="P28" s="288">
        <v>1279</v>
      </c>
      <c r="Q28" s="282">
        <f>Q5-P28</f>
        <v>49.878873904199736</v>
      </c>
      <c r="AB28" s="336"/>
      <c r="AC28" s="291"/>
      <c r="AD28" s="291"/>
      <c r="AE28" s="337">
        <f t="shared" si="2"/>
        <v>920.17688910493416</v>
      </c>
      <c r="AF28" s="338">
        <f t="shared" si="3"/>
        <v>87.324328012007086</v>
      </c>
      <c r="AG28" s="291">
        <f>'EU Lastbil'!F25</f>
        <v>10.47</v>
      </c>
      <c r="AH28" s="291"/>
      <c r="AI28" s="291"/>
      <c r="AJ28" s="291"/>
      <c r="AK28" s="291"/>
      <c r="AL28" s="291"/>
      <c r="AM28" s="291"/>
      <c r="AN28" s="291"/>
      <c r="AO28" s="339"/>
    </row>
    <row r="29" spans="2:41">
      <c r="C29" s="288" t="str">
        <f>C11</f>
        <v>TFTREVX1HDSBL3N-ERS</v>
      </c>
      <c r="D29" s="288" t="str">
        <f>D11</f>
        <v>Transport Freight Truck - Hybrid Electric Vehicle Diesel 3  - EROAD- New</v>
      </c>
      <c r="E29" s="284" t="s">
        <v>60</v>
      </c>
      <c r="F29" s="286" t="s">
        <v>56</v>
      </c>
      <c r="I29" s="287" t="s">
        <v>54</v>
      </c>
      <c r="P29" s="288">
        <v>1056</v>
      </c>
      <c r="Q29" s="282">
        <f>Q8-P29</f>
        <v>-244.26927473805472</v>
      </c>
      <c r="U29" s="547" t="s">
        <v>58</v>
      </c>
      <c r="V29" s="548"/>
      <c r="W29" s="549"/>
      <c r="AB29" s="336" t="s">
        <v>355</v>
      </c>
      <c r="AC29" s="291"/>
      <c r="AD29" s="291"/>
      <c r="AE29" s="291"/>
      <c r="AF29" s="291"/>
      <c r="AG29" s="291"/>
      <c r="AH29" s="291"/>
      <c r="AI29" s="291"/>
      <c r="AJ29" s="291"/>
      <c r="AK29" s="291"/>
      <c r="AL29" s="291"/>
      <c r="AM29" s="291"/>
      <c r="AN29" s="291"/>
      <c r="AO29" s="339"/>
    </row>
    <row r="30" spans="2:41">
      <c r="C30" s="288" t="str">
        <f>C14</f>
        <v>TFTREVX1HDSBL4N-ERS</v>
      </c>
      <c r="D30" s="288" t="str">
        <f>D14</f>
        <v>Transport Freight Truck - Hybrid Electric Vehicle Diesel 4 - EROAD - New</v>
      </c>
      <c r="E30" s="284" t="s">
        <v>60</v>
      </c>
      <c r="F30" s="286" t="s">
        <v>56</v>
      </c>
      <c r="I30" s="287" t="s">
        <v>54</v>
      </c>
      <c r="U30" s="17" t="s">
        <v>59</v>
      </c>
      <c r="V30" s="33">
        <f>10^-3</f>
        <v>1E-3</v>
      </c>
      <c r="W30" s="34" t="s">
        <v>12</v>
      </c>
      <c r="AB30" s="336"/>
      <c r="AC30" s="291"/>
      <c r="AD30" s="291"/>
      <c r="AE30" s="291" t="s">
        <v>347</v>
      </c>
      <c r="AF30" s="291"/>
      <c r="AG30" s="291"/>
      <c r="AH30" s="291"/>
      <c r="AI30" s="291"/>
      <c r="AJ30" s="291"/>
      <c r="AK30" s="291"/>
      <c r="AL30" s="291" t="s">
        <v>348</v>
      </c>
      <c r="AM30" s="291"/>
      <c r="AN30" s="291"/>
      <c r="AO30" s="339"/>
    </row>
    <row r="31" spans="2:41">
      <c r="AB31" s="336"/>
      <c r="AC31" s="340"/>
      <c r="AD31" s="291" t="s">
        <v>349</v>
      </c>
      <c r="AE31" s="291" t="s">
        <v>350</v>
      </c>
      <c r="AF31" s="291" t="s">
        <v>6</v>
      </c>
      <c r="AG31" s="291" t="s">
        <v>4</v>
      </c>
      <c r="AH31" s="291" t="s">
        <v>7</v>
      </c>
      <c r="AI31" s="291"/>
      <c r="AJ31" s="340"/>
      <c r="AK31" s="291" t="s">
        <v>351</v>
      </c>
      <c r="AL31" s="291" t="s">
        <v>350</v>
      </c>
      <c r="AM31" s="291" t="s">
        <v>6</v>
      </c>
      <c r="AN31" s="291" t="s">
        <v>4</v>
      </c>
      <c r="AO31" s="339" t="s">
        <v>7</v>
      </c>
    </row>
    <row r="32" spans="2:41">
      <c r="AB32" s="336"/>
      <c r="AC32" s="291" t="s">
        <v>352</v>
      </c>
      <c r="AD32" s="291">
        <v>2015</v>
      </c>
      <c r="AE32" s="341">
        <v>326.7343756415039</v>
      </c>
      <c r="AF32" s="291">
        <v>7.5508398661474794E-4</v>
      </c>
      <c r="AG32" s="291"/>
      <c r="AH32" s="341">
        <v>98.927487980180473</v>
      </c>
      <c r="AI32" s="291"/>
      <c r="AJ32" s="291" t="s">
        <v>352</v>
      </c>
      <c r="AK32" s="291">
        <v>2015</v>
      </c>
      <c r="AL32" s="341">
        <v>346.42993279458477</v>
      </c>
      <c r="AM32" s="291">
        <v>1.1315946081000886E-3</v>
      </c>
      <c r="AN32" s="291"/>
      <c r="AO32" s="342">
        <v>113.63129472235843</v>
      </c>
    </row>
    <row r="33" spans="3:41">
      <c r="P33" s="288">
        <v>1117</v>
      </c>
      <c r="Q33" s="288">
        <v>925</v>
      </c>
      <c r="R33" s="291">
        <f>P33-Q33</f>
        <v>192</v>
      </c>
      <c r="AB33" s="336"/>
      <c r="AC33" s="291"/>
      <c r="AD33" s="291">
        <v>2020</v>
      </c>
      <c r="AE33" s="341">
        <v>386.78514410589889</v>
      </c>
      <c r="AF33" s="291">
        <v>7.5508398661474794E-4</v>
      </c>
      <c r="AG33" s="291"/>
      <c r="AH33" s="341">
        <v>105.79641640360681</v>
      </c>
      <c r="AI33" s="291"/>
      <c r="AJ33" s="291"/>
      <c r="AK33" s="291">
        <v>2020</v>
      </c>
      <c r="AL33" s="341">
        <v>411.00056752354891</v>
      </c>
      <c r="AM33" s="291">
        <v>1.1315946081000886E-3</v>
      </c>
      <c r="AN33" s="291"/>
      <c r="AO33" s="342">
        <v>117.40614587394337</v>
      </c>
    </row>
    <row r="34" spans="3:41">
      <c r="P34" s="288">
        <v>930</v>
      </c>
      <c r="Q34" s="288">
        <v>852</v>
      </c>
      <c r="R34" s="291">
        <f>P34-Q34</f>
        <v>78</v>
      </c>
      <c r="AB34" s="336"/>
      <c r="AC34" s="291"/>
      <c r="AD34" s="291">
        <v>2030</v>
      </c>
      <c r="AE34" s="341">
        <v>444.24057791825942</v>
      </c>
      <c r="AF34" s="291">
        <v>7.5508398661474794E-4</v>
      </c>
      <c r="AG34" s="291"/>
      <c r="AH34" s="341">
        <v>107.01560995368764</v>
      </c>
      <c r="AI34" s="291"/>
      <c r="AJ34" s="291"/>
      <c r="AK34" s="291">
        <v>2030</v>
      </c>
      <c r="AL34" s="341">
        <v>454.61920445685655</v>
      </c>
      <c r="AM34" s="291">
        <v>1.1315946081000886E-3</v>
      </c>
      <c r="AN34" s="291"/>
      <c r="AO34" s="342">
        <v>117.98633168820912</v>
      </c>
    </row>
    <row r="35" spans="3:41">
      <c r="AB35" s="336"/>
      <c r="AC35" s="291"/>
      <c r="AD35" s="291"/>
      <c r="AE35" s="291"/>
      <c r="AF35" s="291"/>
      <c r="AG35" s="291"/>
      <c r="AH35" s="291"/>
      <c r="AI35" s="291"/>
      <c r="AJ35" s="291"/>
      <c r="AK35" s="291"/>
      <c r="AL35" s="291"/>
      <c r="AM35" s="291"/>
      <c r="AN35" s="291"/>
      <c r="AO35" s="339"/>
    </row>
    <row r="36" spans="3:41">
      <c r="AB36" s="336"/>
      <c r="AC36" s="291"/>
      <c r="AD36" s="291"/>
      <c r="AE36" s="291"/>
      <c r="AF36" s="291"/>
      <c r="AG36" s="291"/>
      <c r="AH36" s="291"/>
      <c r="AI36" s="291"/>
      <c r="AJ36" s="291"/>
      <c r="AK36" s="291"/>
      <c r="AL36" s="291"/>
      <c r="AM36" s="291"/>
      <c r="AN36" s="291"/>
      <c r="AO36" s="339"/>
    </row>
    <row r="37" spans="3:41">
      <c r="AB37" s="336"/>
      <c r="AC37" s="291"/>
      <c r="AD37" s="291"/>
      <c r="AE37" s="291" t="s">
        <v>353</v>
      </c>
      <c r="AF37" s="291"/>
      <c r="AG37" s="291"/>
      <c r="AH37" s="291"/>
      <c r="AI37" s="291"/>
      <c r="AJ37" s="291"/>
      <c r="AK37" s="291"/>
      <c r="AL37" s="291"/>
      <c r="AM37" s="291"/>
      <c r="AN37" s="291"/>
      <c r="AO37" s="339"/>
    </row>
    <row r="38" spans="3:41">
      <c r="AB38" s="336"/>
      <c r="AC38" s="291"/>
      <c r="AD38" s="291" t="s">
        <v>354</v>
      </c>
      <c r="AE38" s="291" t="s">
        <v>350</v>
      </c>
      <c r="AF38" s="291" t="s">
        <v>6</v>
      </c>
      <c r="AG38" s="291" t="s">
        <v>4</v>
      </c>
      <c r="AH38" s="291" t="s">
        <v>7</v>
      </c>
      <c r="AI38" s="291"/>
      <c r="AJ38" s="291"/>
      <c r="AK38" s="291"/>
      <c r="AL38" s="291"/>
      <c r="AM38" s="291"/>
      <c r="AN38" s="291"/>
      <c r="AO38" s="339"/>
    </row>
    <row r="39" spans="3:41">
      <c r="C39" s="294" t="s">
        <v>479</v>
      </c>
      <c r="AB39" s="336"/>
      <c r="AC39" s="291" t="s">
        <v>352</v>
      </c>
      <c r="AD39" s="291">
        <v>2018</v>
      </c>
      <c r="AE39" s="341">
        <v>326.7343756415039</v>
      </c>
      <c r="AF39" s="291">
        <v>9.5086104003805458E-4</v>
      </c>
      <c r="AG39" s="291"/>
      <c r="AH39" s="341">
        <v>149.52414017347374</v>
      </c>
      <c r="AI39" s="291"/>
      <c r="AJ39" s="291"/>
      <c r="AK39" s="291"/>
      <c r="AL39" s="291"/>
      <c r="AM39" s="291"/>
      <c r="AN39" s="291"/>
      <c r="AO39" s="339"/>
    </row>
    <row r="40" spans="3:41" ht="25.5">
      <c r="C40" s="310" t="s">
        <v>1</v>
      </c>
      <c r="D40" s="310" t="s">
        <v>8</v>
      </c>
      <c r="E40" s="310" t="s">
        <v>2</v>
      </c>
      <c r="F40" s="310" t="s">
        <v>3</v>
      </c>
      <c r="G40" s="310" t="s">
        <v>28</v>
      </c>
      <c r="H40" s="310" t="s">
        <v>141</v>
      </c>
      <c r="I40" s="310" t="s">
        <v>5</v>
      </c>
      <c r="J40" s="310" t="s">
        <v>144</v>
      </c>
      <c r="K40" s="310" t="s">
        <v>365</v>
      </c>
      <c r="L40" s="310" t="s">
        <v>9</v>
      </c>
      <c r="M40" s="310" t="s">
        <v>472</v>
      </c>
      <c r="N40" s="310" t="s">
        <v>10</v>
      </c>
      <c r="O40" s="503" t="s">
        <v>6</v>
      </c>
      <c r="P40" s="9" t="s">
        <v>4</v>
      </c>
      <c r="Q40" s="6" t="s">
        <v>7</v>
      </c>
      <c r="R40" s="504" t="s">
        <v>473</v>
      </c>
      <c r="S40" s="29" t="s">
        <v>474</v>
      </c>
      <c r="AB40" s="336"/>
      <c r="AC40" s="291"/>
      <c r="AD40" s="291">
        <v>2020</v>
      </c>
      <c r="AE40" s="341">
        <v>386.78514410589889</v>
      </c>
      <c r="AF40" s="291">
        <v>9.5086104003805458E-4</v>
      </c>
      <c r="AG40" s="291"/>
      <c r="AH40" s="341">
        <v>144.55046010839939</v>
      </c>
      <c r="AI40" s="291"/>
      <c r="AJ40" s="291"/>
      <c r="AK40" s="291"/>
      <c r="AL40" s="291"/>
      <c r="AM40" s="291"/>
      <c r="AN40" s="291"/>
      <c r="AO40" s="339"/>
    </row>
    <row r="41" spans="3:41" ht="34.5" thickBot="1">
      <c r="C41" s="290" t="s">
        <v>11</v>
      </c>
      <c r="D41" s="290"/>
      <c r="E41" s="290"/>
      <c r="F41" s="290"/>
      <c r="G41" s="290"/>
      <c r="H41" s="290" t="s">
        <v>140</v>
      </c>
      <c r="I41" s="290" t="s">
        <v>13</v>
      </c>
      <c r="J41" s="290" t="s">
        <v>145</v>
      </c>
      <c r="K41" s="290" t="s">
        <v>366</v>
      </c>
      <c r="L41" s="290" t="s">
        <v>142</v>
      </c>
      <c r="M41" s="290"/>
      <c r="N41" s="290" t="s">
        <v>14</v>
      </c>
      <c r="O41" s="290" t="s">
        <v>57</v>
      </c>
      <c r="P41" s="290" t="s">
        <v>12</v>
      </c>
      <c r="Q41" s="290" t="s">
        <v>12</v>
      </c>
      <c r="R41" s="290" t="s">
        <v>64</v>
      </c>
      <c r="S41" s="290" t="s">
        <v>64</v>
      </c>
      <c r="AB41" s="336"/>
      <c r="AC41" s="291"/>
      <c r="AD41" s="291">
        <v>2030</v>
      </c>
      <c r="AE41" s="341">
        <v>444.24057791825942</v>
      </c>
      <c r="AF41" s="291">
        <v>9.5086104003805458E-4</v>
      </c>
      <c r="AG41" s="291"/>
      <c r="AH41" s="341">
        <v>133.91891192424006</v>
      </c>
      <c r="AI41" s="291"/>
      <c r="AJ41" s="291"/>
      <c r="AK41" s="291"/>
      <c r="AL41" s="291"/>
      <c r="AM41" s="291"/>
      <c r="AN41" s="291"/>
      <c r="AO41" s="339"/>
    </row>
    <row r="42" spans="3:41">
      <c r="C42" s="292" t="str">
        <f>LEFT(F42,4)&amp;RIGHT(E42,5)&amp;"N"</f>
        <v>TFTRDSBL2N</v>
      </c>
      <c r="D42" s="281" t="s">
        <v>475</v>
      </c>
      <c r="E42" s="289" t="s">
        <v>476</v>
      </c>
      <c r="F42" s="288" t="s">
        <v>327</v>
      </c>
      <c r="G42" s="288">
        <v>2015</v>
      </c>
      <c r="H42" s="288" t="s">
        <v>364</v>
      </c>
      <c r="I42" s="288">
        <v>2012</v>
      </c>
      <c r="J42" s="288">
        <v>2019</v>
      </c>
      <c r="L42" s="505">
        <f>'EU Lastbil'!$D$25/'EU Lastbil'!$D$25</f>
        <v>1</v>
      </c>
      <c r="M42" s="506"/>
      <c r="N42" s="288">
        <v>6</v>
      </c>
      <c r="O42" s="507"/>
      <c r="P42" s="288">
        <v>156</v>
      </c>
      <c r="Q42" s="282">
        <v>751.0189130831742</v>
      </c>
      <c r="R42" s="282"/>
      <c r="S42" s="291">
        <v>5</v>
      </c>
      <c r="AB42" s="336"/>
      <c r="AC42" s="291"/>
      <c r="AD42" s="291"/>
      <c r="AE42" s="341"/>
      <c r="AF42" s="291"/>
      <c r="AG42" s="291"/>
      <c r="AH42" s="341"/>
      <c r="AI42" s="291"/>
      <c r="AJ42" s="291"/>
      <c r="AK42" s="291"/>
      <c r="AL42" s="291"/>
      <c r="AM42" s="291"/>
      <c r="AN42" s="291"/>
      <c r="AO42" s="339"/>
    </row>
    <row r="43" spans="3:41">
      <c r="C43" s="281"/>
      <c r="D43" s="281"/>
      <c r="F43" s="15" t="s">
        <v>220</v>
      </c>
      <c r="L43" s="505">
        <f>'EU Lastbil'!$D$25/'EU Lastbil'!$D$25</f>
        <v>1</v>
      </c>
      <c r="M43" s="506"/>
      <c r="O43" s="507"/>
      <c r="R43" s="288"/>
      <c r="S43" s="291">
        <v>5</v>
      </c>
      <c r="AB43" s="336"/>
      <c r="AC43" s="291"/>
      <c r="AD43" s="291" t="s">
        <v>356</v>
      </c>
      <c r="AE43" s="291" t="s">
        <v>350</v>
      </c>
      <c r="AF43" s="291" t="s">
        <v>6</v>
      </c>
      <c r="AG43" s="291" t="s">
        <v>4</v>
      </c>
      <c r="AH43" s="291" t="s">
        <v>7</v>
      </c>
      <c r="AI43" s="291"/>
      <c r="AJ43" s="291"/>
      <c r="AK43" s="291" t="s">
        <v>357</v>
      </c>
      <c r="AL43" s="291" t="s">
        <v>350</v>
      </c>
      <c r="AM43" s="291" t="s">
        <v>6</v>
      </c>
      <c r="AN43" s="291" t="s">
        <v>4</v>
      </c>
      <c r="AO43" s="339" t="s">
        <v>7</v>
      </c>
    </row>
    <row r="44" spans="3:41">
      <c r="C44" s="281"/>
      <c r="D44" s="281"/>
      <c r="F44" s="15" t="s">
        <v>221</v>
      </c>
      <c r="L44" s="505">
        <f>'EU Lastbil'!$D$25/'EU Lastbil'!$D$25</f>
        <v>1</v>
      </c>
      <c r="M44" s="506"/>
      <c r="O44" s="507"/>
      <c r="R44" s="288"/>
      <c r="S44" s="291">
        <v>5</v>
      </c>
      <c r="AB44" s="336"/>
      <c r="AC44" s="291" t="s">
        <v>352</v>
      </c>
      <c r="AD44" s="291">
        <f>AD39</f>
        <v>2018</v>
      </c>
      <c r="AE44" s="291">
        <f t="shared" ref="AE44:AF46" si="4">AE39/AE32</f>
        <v>1</v>
      </c>
      <c r="AF44" s="291">
        <f t="shared" si="4"/>
        <v>1.2592785132433144</v>
      </c>
      <c r="AG44" s="291"/>
      <c r="AH44" s="291">
        <f>AH39/AH32</f>
        <v>1.5114519050906257</v>
      </c>
      <c r="AI44" s="291"/>
      <c r="AJ44" s="291" t="s">
        <v>352</v>
      </c>
      <c r="AK44" s="291">
        <f>AK32</f>
        <v>2015</v>
      </c>
      <c r="AL44" s="291">
        <f>AL32/AE32</f>
        <v>1.0602800275129025</v>
      </c>
      <c r="AM44" s="291">
        <f t="shared" ref="AM44:AO46" si="5">AM32/AF32</f>
        <v>1.4986340965504286</v>
      </c>
      <c r="AN44" s="291"/>
      <c r="AO44" s="291">
        <f t="shared" si="5"/>
        <v>1.1486321652595057</v>
      </c>
    </row>
    <row r="45" spans="3:41">
      <c r="C45" s="292" t="str">
        <f>LEFT(F45,4)&amp;RIGHT(E45,5)&amp;"N"</f>
        <v>TFTRDSBL3N</v>
      </c>
      <c r="D45" s="281" t="s">
        <v>477</v>
      </c>
      <c r="E45" s="289" t="s">
        <v>368</v>
      </c>
      <c r="F45" s="288" t="s">
        <v>327</v>
      </c>
      <c r="G45" s="288">
        <v>2020</v>
      </c>
      <c r="H45" s="288" t="s">
        <v>364</v>
      </c>
      <c r="I45" s="288">
        <v>2020</v>
      </c>
      <c r="J45" s="288">
        <v>2034</v>
      </c>
      <c r="L45" s="505">
        <f>'EU Lastbil'!$D$25/'EU Lastbil'!$E$25</f>
        <v>1.1025641025641026</v>
      </c>
      <c r="M45" s="506"/>
      <c r="N45" s="288">
        <v>6</v>
      </c>
      <c r="O45" s="507"/>
      <c r="P45" s="288">
        <v>156</v>
      </c>
      <c r="Q45" s="282">
        <v>751.0189130831742</v>
      </c>
      <c r="R45" s="282"/>
      <c r="S45" s="508">
        <v>5</v>
      </c>
      <c r="AB45" s="336"/>
      <c r="AC45" s="291"/>
      <c r="AD45" s="291">
        <f>AD40</f>
        <v>2020</v>
      </c>
      <c r="AE45" s="291">
        <f t="shared" si="4"/>
        <v>1</v>
      </c>
      <c r="AF45" s="291">
        <f t="shared" si="4"/>
        <v>1.2592785132433144</v>
      </c>
      <c r="AG45" s="291"/>
      <c r="AH45" s="291">
        <f>AH40/AH33</f>
        <v>1.3663077164820809</v>
      </c>
      <c r="AI45" s="291"/>
      <c r="AJ45" s="291"/>
      <c r="AK45" s="291">
        <f>AK33</f>
        <v>2020</v>
      </c>
      <c r="AL45" s="291">
        <f>AL33/AE33</f>
        <v>1.0626069118389407</v>
      </c>
      <c r="AM45" s="291">
        <f t="shared" si="5"/>
        <v>1.4986340965504286</v>
      </c>
      <c r="AN45" s="291"/>
      <c r="AO45" s="291">
        <f t="shared" si="5"/>
        <v>1.1097365096568692</v>
      </c>
    </row>
    <row r="46" spans="3:41">
      <c r="C46" s="281"/>
      <c r="D46" s="281"/>
      <c r="F46" s="15" t="s">
        <v>220</v>
      </c>
      <c r="L46" s="505">
        <f>'EU Lastbil'!$D$25/'EU Lastbil'!$E$25</f>
        <v>1.1025641025641026</v>
      </c>
      <c r="M46" s="506"/>
      <c r="O46" s="507"/>
      <c r="R46" s="288"/>
      <c r="S46" s="508">
        <v>5</v>
      </c>
      <c r="AB46" s="336"/>
      <c r="AC46" s="291"/>
      <c r="AD46" s="291">
        <f>AD41</f>
        <v>2030</v>
      </c>
      <c r="AE46" s="291">
        <f t="shared" si="4"/>
        <v>1</v>
      </c>
      <c r="AF46" s="291">
        <f t="shared" si="4"/>
        <v>1.2592785132433144</v>
      </c>
      <c r="AG46" s="291"/>
      <c r="AH46" s="291">
        <f>AH41/AH34</f>
        <v>1.2513960531757484</v>
      </c>
      <c r="AI46" s="291"/>
      <c r="AJ46" s="291"/>
      <c r="AK46" s="291">
        <f>AK34</f>
        <v>2030</v>
      </c>
      <c r="AL46" s="291">
        <f>AL34/AE34</f>
        <v>1.02336262614107</v>
      </c>
      <c r="AM46" s="291">
        <f t="shared" si="5"/>
        <v>1.4986340965504286</v>
      </c>
      <c r="AN46" s="291"/>
      <c r="AO46" s="291">
        <f t="shared" si="5"/>
        <v>1.1025151539973392</v>
      </c>
    </row>
    <row r="47" spans="3:41">
      <c r="C47" s="408"/>
      <c r="D47" s="281"/>
      <c r="F47" s="15" t="s">
        <v>221</v>
      </c>
      <c r="L47" s="505">
        <f>'EU Lastbil'!$D$25/'EU Lastbil'!$E$25</f>
        <v>1.1025641025641026</v>
      </c>
      <c r="M47" s="506"/>
      <c r="O47" s="507"/>
      <c r="R47" s="288"/>
      <c r="S47" s="508">
        <v>5</v>
      </c>
      <c r="AB47" s="336"/>
      <c r="AC47" s="291"/>
      <c r="AD47" s="291"/>
      <c r="AE47" s="291"/>
      <c r="AF47" s="291"/>
      <c r="AG47" s="291"/>
      <c r="AH47" s="291"/>
      <c r="AI47" s="291"/>
      <c r="AJ47" s="291"/>
      <c r="AK47" s="291"/>
      <c r="AL47" s="291"/>
      <c r="AM47" s="291"/>
      <c r="AN47" s="291"/>
      <c r="AO47" s="339"/>
    </row>
    <row r="48" spans="3:41">
      <c r="C48" s="292" t="str">
        <f>LEFT(F48,4)&amp;RIGHT(E48,5)&amp;"N"</f>
        <v>TFTRDSBL4N</v>
      </c>
      <c r="D48" s="281" t="s">
        <v>478</v>
      </c>
      <c r="E48" s="289" t="s">
        <v>367</v>
      </c>
      <c r="F48" s="288" t="s">
        <v>327</v>
      </c>
      <c r="G48" s="288">
        <v>2035</v>
      </c>
      <c r="H48" s="288" t="s">
        <v>364</v>
      </c>
      <c r="I48" s="288">
        <v>2035</v>
      </c>
      <c r="L48" s="505">
        <f>'EU Lastbil'!$D$25/'EU Lastbil'!$F$25</f>
        <v>1.2731614135625595</v>
      </c>
      <c r="M48" s="506"/>
      <c r="N48" s="288">
        <v>6</v>
      </c>
      <c r="O48" s="507"/>
      <c r="P48" s="288">
        <v>156</v>
      </c>
      <c r="Q48" s="282">
        <v>751.0189130831742</v>
      </c>
      <c r="R48" s="282"/>
      <c r="S48" s="508">
        <v>5</v>
      </c>
      <c r="AB48" s="336"/>
      <c r="AC48" s="291"/>
      <c r="AD48" s="291"/>
      <c r="AE48" s="291"/>
      <c r="AF48" s="291"/>
      <c r="AG48" s="291"/>
      <c r="AH48" s="291"/>
      <c r="AI48" s="291"/>
      <c r="AJ48" s="291"/>
      <c r="AK48" s="291"/>
      <c r="AL48" s="291"/>
      <c r="AM48" s="291"/>
      <c r="AN48" s="291"/>
      <c r="AO48" s="339"/>
    </row>
    <row r="49" spans="3:41">
      <c r="C49" s="408"/>
      <c r="D49" s="408"/>
      <c r="E49" s="291"/>
      <c r="F49" s="513" t="s">
        <v>220</v>
      </c>
      <c r="G49" s="291"/>
      <c r="H49" s="291"/>
      <c r="I49" s="291"/>
      <c r="J49" s="291"/>
      <c r="K49" s="291"/>
      <c r="L49" s="514">
        <f>'EU Lastbil'!$D$25/'EU Lastbil'!$F$25</f>
        <v>1.2731614135625595</v>
      </c>
      <c r="M49" s="515"/>
      <c r="N49" s="291"/>
      <c r="O49" s="516"/>
      <c r="P49" s="291"/>
      <c r="Q49" s="291"/>
      <c r="S49" s="508">
        <v>5</v>
      </c>
      <c r="AB49" s="336"/>
      <c r="AC49" s="291"/>
      <c r="AD49" s="291" t="s">
        <v>358</v>
      </c>
      <c r="AE49" s="291" t="s">
        <v>350</v>
      </c>
      <c r="AF49" s="291" t="s">
        <v>6</v>
      </c>
      <c r="AG49" s="291" t="s">
        <v>4</v>
      </c>
      <c r="AH49" s="291" t="s">
        <v>7</v>
      </c>
      <c r="AI49" s="291"/>
      <c r="AJ49" s="291"/>
      <c r="AK49" s="291"/>
      <c r="AL49" s="291"/>
      <c r="AM49" s="291"/>
      <c r="AN49" s="291"/>
      <c r="AO49" s="339"/>
    </row>
    <row r="50" spans="3:41">
      <c r="C50" s="509"/>
      <c r="D50" s="509"/>
      <c r="E50" s="280"/>
      <c r="F50" s="517" t="s">
        <v>221</v>
      </c>
      <c r="G50" s="280"/>
      <c r="H50" s="280"/>
      <c r="I50" s="280"/>
      <c r="J50" s="280"/>
      <c r="K50" s="280"/>
      <c r="L50" s="510">
        <f>'EU Lastbil'!$D$25/'EU Lastbil'!$F$25</f>
        <v>1.2731614135625595</v>
      </c>
      <c r="M50" s="511"/>
      <c r="N50" s="280"/>
      <c r="O50" s="518"/>
      <c r="P50" s="280"/>
      <c r="Q50" s="280"/>
      <c r="R50" s="280"/>
      <c r="S50" s="512">
        <v>5</v>
      </c>
      <c r="AB50" s="336"/>
      <c r="AC50" s="291" t="s">
        <v>352</v>
      </c>
      <c r="AD50" s="291">
        <f t="shared" ref="AD50:AE52" si="6">AD44</f>
        <v>2018</v>
      </c>
      <c r="AE50" s="291">
        <f t="shared" si="6"/>
        <v>1</v>
      </c>
      <c r="AF50" s="291">
        <f>AF44/AM44</f>
        <v>0.84028417352970597</v>
      </c>
      <c r="AG50" s="291"/>
      <c r="AH50" s="291">
        <f>AH44/AO44</f>
        <v>1.3158711298574419</v>
      </c>
      <c r="AI50" s="291"/>
      <c r="AJ50" s="291"/>
      <c r="AK50" s="291"/>
      <c r="AL50" s="291"/>
      <c r="AM50" s="291"/>
      <c r="AN50" s="291"/>
      <c r="AO50" s="339"/>
    </row>
    <row r="51" spans="3:41">
      <c r="AB51" s="336"/>
      <c r="AC51" s="291"/>
      <c r="AD51" s="291">
        <f t="shared" si="6"/>
        <v>2020</v>
      </c>
      <c r="AE51" s="291">
        <f t="shared" si="6"/>
        <v>1</v>
      </c>
      <c r="AF51" s="291">
        <f>AF45/AM45</f>
        <v>0.84028417352970597</v>
      </c>
      <c r="AG51" s="291"/>
      <c r="AH51" s="291">
        <f>AH45/AO45</f>
        <v>1.2312001133535235</v>
      </c>
      <c r="AI51" s="291"/>
      <c r="AJ51" s="291"/>
      <c r="AK51" s="291"/>
      <c r="AL51" s="291"/>
      <c r="AM51" s="291"/>
      <c r="AN51" s="291"/>
      <c r="AO51" s="339"/>
    </row>
    <row r="52" spans="3:41">
      <c r="AB52" s="336"/>
      <c r="AC52" s="291"/>
      <c r="AD52" s="291">
        <f t="shared" si="6"/>
        <v>2030</v>
      </c>
      <c r="AE52" s="291">
        <f t="shared" si="6"/>
        <v>1</v>
      </c>
      <c r="AF52" s="291">
        <f>AF46/AM46</f>
        <v>0.84028417352970597</v>
      </c>
      <c r="AG52" s="291"/>
      <c r="AH52" s="291">
        <f>AH46/AO46</f>
        <v>1.1350375082270918</v>
      </c>
      <c r="AI52" s="291"/>
      <c r="AJ52" s="291"/>
      <c r="AK52" s="291"/>
      <c r="AL52" s="291"/>
      <c r="AM52" s="291"/>
      <c r="AN52" s="291"/>
      <c r="AO52" s="339"/>
    </row>
    <row r="53" spans="3:41">
      <c r="AB53" s="336"/>
      <c r="AC53" s="291"/>
      <c r="AD53" s="291"/>
      <c r="AE53" s="291"/>
      <c r="AF53" s="291"/>
      <c r="AG53" s="291"/>
      <c r="AH53" s="291"/>
      <c r="AI53" s="291"/>
      <c r="AJ53" s="291"/>
      <c r="AK53" s="291"/>
      <c r="AL53" s="291"/>
      <c r="AM53" s="291"/>
      <c r="AN53" s="291"/>
      <c r="AO53" s="339"/>
    </row>
    <row r="54" spans="3:41">
      <c r="C54" s="531" t="s">
        <v>496</v>
      </c>
      <c r="D54" s="532" t="s">
        <v>491</v>
      </c>
      <c r="E54" s="532" t="s">
        <v>229</v>
      </c>
      <c r="F54" s="532" t="s">
        <v>327</v>
      </c>
      <c r="G54" s="532">
        <v>2020</v>
      </c>
      <c r="H54" s="533" t="s">
        <v>286</v>
      </c>
      <c r="I54" s="533">
        <v>2020</v>
      </c>
      <c r="J54" s="532"/>
      <c r="K54" s="534"/>
      <c r="L54" s="529">
        <v>1.7545470085470085</v>
      </c>
      <c r="M54" s="530"/>
      <c r="N54" s="533">
        <v>6</v>
      </c>
      <c r="O54" s="532"/>
      <c r="P54" s="532">
        <v>156</v>
      </c>
      <c r="Q54" s="533">
        <v>1278.8346587071387</v>
      </c>
      <c r="R54" s="533"/>
      <c r="S54" s="532">
        <v>5</v>
      </c>
      <c r="AB54" s="336"/>
      <c r="AC54" s="291"/>
      <c r="AD54" s="291"/>
      <c r="AE54" s="291"/>
      <c r="AF54" s="291"/>
      <c r="AG54" s="291"/>
      <c r="AH54" s="291"/>
      <c r="AI54" s="291"/>
      <c r="AJ54" s="291"/>
      <c r="AK54" s="291"/>
      <c r="AL54" s="291"/>
      <c r="AM54" s="291"/>
      <c r="AN54" s="291"/>
      <c r="AO54" s="339"/>
    </row>
    <row r="55" spans="3:41">
      <c r="C55" s="534"/>
      <c r="D55" s="534"/>
      <c r="E55" s="534"/>
      <c r="F55" s="534" t="s">
        <v>220</v>
      </c>
      <c r="G55" s="534"/>
      <c r="H55" s="535"/>
      <c r="I55" s="536"/>
      <c r="J55" s="534"/>
      <c r="K55" s="534"/>
      <c r="L55" s="529">
        <v>1.7545470085470085</v>
      </c>
      <c r="M55" s="530"/>
      <c r="N55" s="534"/>
      <c r="O55" s="534"/>
      <c r="P55" s="534"/>
      <c r="Q55" s="535"/>
      <c r="R55" s="535"/>
      <c r="S55" s="534">
        <v>5</v>
      </c>
      <c r="AB55" s="336"/>
      <c r="AC55" s="291"/>
      <c r="AD55" s="291"/>
      <c r="AE55" s="291"/>
      <c r="AF55" s="291"/>
      <c r="AG55" s="291"/>
      <c r="AH55" s="291"/>
      <c r="AI55" s="291"/>
      <c r="AJ55" s="291"/>
      <c r="AK55" s="291"/>
      <c r="AL55" s="291"/>
      <c r="AM55" s="291"/>
      <c r="AN55" s="291"/>
      <c r="AO55" s="339"/>
    </row>
    <row r="56" spans="3:41">
      <c r="C56" s="534"/>
      <c r="D56" s="534"/>
      <c r="E56" s="534"/>
      <c r="F56" s="534" t="s">
        <v>221</v>
      </c>
      <c r="G56" s="534"/>
      <c r="H56" s="535"/>
      <c r="I56" s="536"/>
      <c r="J56" s="534"/>
      <c r="K56" s="534"/>
      <c r="L56" s="529">
        <v>1.7545470085470085</v>
      </c>
      <c r="M56" s="530"/>
      <c r="N56" s="534"/>
      <c r="O56" s="534"/>
      <c r="P56" s="534"/>
      <c r="Q56" s="535"/>
      <c r="R56" s="535"/>
      <c r="S56" s="534">
        <v>5</v>
      </c>
      <c r="AB56" s="336"/>
      <c r="AC56" s="291"/>
      <c r="AD56" s="291" t="s">
        <v>359</v>
      </c>
      <c r="AE56" s="291"/>
      <c r="AF56" s="291"/>
      <c r="AG56" s="291"/>
      <c r="AH56" s="291"/>
      <c r="AI56" s="291"/>
      <c r="AJ56" s="291"/>
      <c r="AK56" s="291"/>
      <c r="AL56" s="291"/>
      <c r="AM56" s="291"/>
      <c r="AN56" s="291"/>
      <c r="AO56" s="339"/>
    </row>
    <row r="57" spans="3:41">
      <c r="C57" s="526"/>
      <c r="D57" s="526"/>
      <c r="E57" s="526"/>
      <c r="F57" s="526" t="s">
        <v>327</v>
      </c>
      <c r="G57" s="526">
        <v>2035</v>
      </c>
      <c r="H57" s="526" t="s">
        <v>286</v>
      </c>
      <c r="I57" s="526">
        <v>2035</v>
      </c>
      <c r="J57" s="526"/>
      <c r="K57" s="526"/>
      <c r="L57" s="529">
        <v>1.9125664285979938</v>
      </c>
      <c r="M57" s="530"/>
      <c r="N57" s="526">
        <v>6</v>
      </c>
      <c r="O57" s="526"/>
      <c r="P57" s="526">
        <v>156</v>
      </c>
      <c r="Q57" s="535">
        <v>1055.6935013576374</v>
      </c>
      <c r="R57" s="535"/>
      <c r="S57" s="526">
        <v>5</v>
      </c>
      <c r="AB57" s="336"/>
      <c r="AC57" s="291"/>
      <c r="AD57" s="329" t="s">
        <v>326</v>
      </c>
      <c r="AE57" s="343" t="s">
        <v>333</v>
      </c>
      <c r="AF57" s="343"/>
      <c r="AG57" s="343"/>
      <c r="AH57" s="343"/>
      <c r="AI57" s="291"/>
      <c r="AJ57" s="291"/>
      <c r="AK57" s="291"/>
      <c r="AL57" s="291"/>
      <c r="AM57" s="291"/>
      <c r="AN57" s="291"/>
      <c r="AO57" s="339"/>
    </row>
    <row r="58" spans="3:41">
      <c r="C58" s="526"/>
      <c r="D58" s="526"/>
      <c r="E58" s="526"/>
      <c r="F58" s="526" t="s">
        <v>220</v>
      </c>
      <c r="G58" s="526"/>
      <c r="H58" s="526"/>
      <c r="I58" s="526"/>
      <c r="J58" s="526"/>
      <c r="K58" s="526"/>
      <c r="L58" s="529">
        <v>1.9125664285979938</v>
      </c>
      <c r="M58" s="530"/>
      <c r="N58" s="526"/>
      <c r="O58" s="526"/>
      <c r="P58" s="526"/>
      <c r="Q58" s="535"/>
      <c r="R58" s="535"/>
      <c r="S58" s="526">
        <v>5</v>
      </c>
      <c r="AB58" s="336"/>
      <c r="AC58" s="291"/>
      <c r="AD58" s="329"/>
      <c r="AE58" s="344" t="s">
        <v>334</v>
      </c>
      <c r="AF58" s="344" t="s">
        <v>335</v>
      </c>
      <c r="AG58" s="344" t="s">
        <v>336</v>
      </c>
      <c r="AH58" s="344" t="s">
        <v>337</v>
      </c>
      <c r="AI58" s="345" t="s">
        <v>342</v>
      </c>
      <c r="AJ58" s="291"/>
      <c r="AK58" s="291"/>
      <c r="AL58" s="291"/>
      <c r="AM58" s="291"/>
      <c r="AN58" s="291"/>
      <c r="AO58" s="339"/>
    </row>
    <row r="59" spans="3:41">
      <c r="C59" s="526"/>
      <c r="D59" s="526"/>
      <c r="E59" s="526"/>
      <c r="F59" s="526" t="s">
        <v>221</v>
      </c>
      <c r="G59" s="526"/>
      <c r="H59" s="526"/>
      <c r="I59" s="526"/>
      <c r="J59" s="526"/>
      <c r="K59" s="537"/>
      <c r="L59" s="538">
        <v>1.9125664285979938</v>
      </c>
      <c r="M59" s="539"/>
      <c r="N59" s="526"/>
      <c r="O59" s="526"/>
      <c r="P59" s="526"/>
      <c r="Q59" s="535"/>
      <c r="R59" s="535"/>
      <c r="S59" s="526">
        <v>5</v>
      </c>
      <c r="AB59" s="336"/>
      <c r="AC59" s="291"/>
      <c r="AD59" s="330" t="s">
        <v>327</v>
      </c>
      <c r="AE59" s="346">
        <v>7.7858414799701858</v>
      </c>
      <c r="AF59" s="346">
        <f>AE59</f>
        <v>7.7858414799701858</v>
      </c>
      <c r="AG59" s="346">
        <f>AF59</f>
        <v>7.7858414799701858</v>
      </c>
      <c r="AH59" s="346">
        <f>AG59</f>
        <v>7.7858414799701858</v>
      </c>
      <c r="AI59" s="338">
        <f>AVERAGE(AE59:AH59)</f>
        <v>7.7858414799701858</v>
      </c>
      <c r="AJ59" s="291"/>
      <c r="AK59" s="291"/>
      <c r="AL59" s="291"/>
      <c r="AM59" s="291"/>
      <c r="AN59" s="291"/>
      <c r="AO59" s="339"/>
    </row>
    <row r="60" spans="3:41">
      <c r="C60" s="540" t="s">
        <v>492</v>
      </c>
      <c r="D60" s="540" t="s">
        <v>493</v>
      </c>
      <c r="E60" s="532" t="s">
        <v>229</v>
      </c>
      <c r="F60" s="540" t="s">
        <v>327</v>
      </c>
      <c r="G60" s="540">
        <v>2020</v>
      </c>
      <c r="H60" s="540" t="s">
        <v>364</v>
      </c>
      <c r="I60" s="540">
        <v>2020</v>
      </c>
      <c r="J60" s="540"/>
      <c r="K60" s="526"/>
      <c r="L60" s="529">
        <v>1.1461831310036268</v>
      </c>
      <c r="M60" s="530">
        <v>4.4535539538724286E-2</v>
      </c>
      <c r="N60" s="540">
        <v>6</v>
      </c>
      <c r="O60" s="540"/>
      <c r="P60" s="541">
        <v>131.08433107063414</v>
      </c>
      <c r="Q60" s="533">
        <v>924.65457091864414</v>
      </c>
      <c r="R60" s="533">
        <v>5</v>
      </c>
      <c r="S60" s="540">
        <v>5</v>
      </c>
      <c r="AB60" s="336"/>
      <c r="AC60" s="291"/>
      <c r="AD60" s="330" t="s">
        <v>220</v>
      </c>
      <c r="AE60" s="346">
        <f>AE59</f>
        <v>7.7858414799701858</v>
      </c>
      <c r="AF60" s="346">
        <f t="shared" ref="AF60:AH61" si="7">AE60</f>
        <v>7.7858414799701858</v>
      </c>
      <c r="AG60" s="346">
        <f t="shared" si="7"/>
        <v>7.7858414799701858</v>
      </c>
      <c r="AH60" s="346">
        <f t="shared" si="7"/>
        <v>7.7858414799701858</v>
      </c>
      <c r="AI60" s="338">
        <f>AVERAGE(AE60:AH60)</f>
        <v>7.7858414799701858</v>
      </c>
      <c r="AJ60" s="291"/>
      <c r="AK60" s="291"/>
      <c r="AL60" s="291"/>
      <c r="AM60" s="291"/>
      <c r="AN60" s="291"/>
      <c r="AO60" s="339"/>
    </row>
    <row r="61" spans="3:41">
      <c r="C61" s="526"/>
      <c r="D61" s="526"/>
      <c r="E61" s="534" t="s">
        <v>368</v>
      </c>
      <c r="F61" s="526" t="s">
        <v>220</v>
      </c>
      <c r="G61" s="526"/>
      <c r="H61" s="526"/>
      <c r="I61" s="526"/>
      <c r="J61" s="526"/>
      <c r="K61" s="526"/>
      <c r="L61" s="529">
        <v>1.1461831310036268</v>
      </c>
      <c r="M61" s="530">
        <v>0.95546446046127576</v>
      </c>
      <c r="N61" s="526"/>
      <c r="O61" s="526"/>
      <c r="P61" s="526"/>
      <c r="Q61" s="535"/>
      <c r="R61" s="535">
        <v>5</v>
      </c>
      <c r="S61" s="526">
        <v>5</v>
      </c>
      <c r="AB61" s="336"/>
      <c r="AC61" s="291"/>
      <c r="AD61" s="330" t="s">
        <v>221</v>
      </c>
      <c r="AE61" s="346">
        <f>AE60</f>
        <v>7.7858414799701858</v>
      </c>
      <c r="AF61" s="346">
        <f t="shared" si="7"/>
        <v>7.7858414799701858</v>
      </c>
      <c r="AG61" s="346">
        <f t="shared" si="7"/>
        <v>7.7858414799701858</v>
      </c>
      <c r="AH61" s="346">
        <f t="shared" si="7"/>
        <v>7.7858414799701858</v>
      </c>
      <c r="AI61" s="338">
        <f>AVERAGE(AE61:AH61)</f>
        <v>7.7858414799701858</v>
      </c>
      <c r="AJ61" s="291"/>
      <c r="AK61" s="291"/>
      <c r="AL61" s="291"/>
      <c r="AM61" s="291"/>
      <c r="AN61" s="291"/>
      <c r="AO61" s="339"/>
    </row>
    <row r="62" spans="3:41">
      <c r="C62" s="526"/>
      <c r="D62" s="526"/>
      <c r="E62" s="526"/>
      <c r="F62" s="526" t="s">
        <v>221</v>
      </c>
      <c r="G62" s="526"/>
      <c r="H62" s="526"/>
      <c r="I62" s="526"/>
      <c r="J62" s="526"/>
      <c r="K62" s="526"/>
      <c r="L62" s="529">
        <v>1.1461831310036268</v>
      </c>
      <c r="M62" s="528"/>
      <c r="N62" s="526"/>
      <c r="O62" s="526"/>
      <c r="P62" s="526"/>
      <c r="Q62" s="535"/>
      <c r="R62" s="535"/>
      <c r="S62" s="526">
        <v>5</v>
      </c>
      <c r="AB62" s="336"/>
      <c r="AC62" s="291"/>
      <c r="AD62" s="344"/>
      <c r="AE62" s="343" t="s">
        <v>333</v>
      </c>
      <c r="AF62" s="343"/>
      <c r="AG62" s="291"/>
      <c r="AH62" s="291"/>
      <c r="AI62" s="291"/>
      <c r="AJ62" s="291"/>
      <c r="AK62" s="291"/>
      <c r="AL62" s="291"/>
      <c r="AM62" s="291"/>
      <c r="AN62" s="291"/>
      <c r="AO62" s="339"/>
    </row>
    <row r="63" spans="3:41">
      <c r="C63" s="526" t="s">
        <v>494</v>
      </c>
      <c r="D63" s="526" t="s">
        <v>495</v>
      </c>
      <c r="E63" s="534" t="s">
        <v>229</v>
      </c>
      <c r="F63" s="526" t="s">
        <v>327</v>
      </c>
      <c r="G63" s="526">
        <v>2035</v>
      </c>
      <c r="H63" s="526" t="s">
        <v>364</v>
      </c>
      <c r="I63" s="526">
        <v>2035</v>
      </c>
      <c r="J63" s="526"/>
      <c r="K63" s="526"/>
      <c r="L63" s="529">
        <v>1.3159389546288527</v>
      </c>
      <c r="M63" s="530">
        <v>4.4535539538724286E-2</v>
      </c>
      <c r="N63" s="526">
        <v>6</v>
      </c>
      <c r="O63" s="526"/>
      <c r="P63" s="528">
        <v>131.08433107063414</v>
      </c>
      <c r="Q63" s="535">
        <v>852.43463573734493</v>
      </c>
      <c r="R63" s="535">
        <v>5</v>
      </c>
      <c r="S63" s="526">
        <v>5</v>
      </c>
      <c r="AB63" s="336"/>
      <c r="AC63" s="291"/>
      <c r="AD63" s="329" t="s">
        <v>328</v>
      </c>
      <c r="AE63" s="344" t="s">
        <v>338</v>
      </c>
      <c r="AF63" s="344" t="s">
        <v>339</v>
      </c>
      <c r="AG63" s="291" t="s">
        <v>342</v>
      </c>
      <c r="AH63" s="291"/>
      <c r="AI63" s="291"/>
      <c r="AJ63" s="291"/>
      <c r="AK63" s="291"/>
      <c r="AL63" s="291"/>
      <c r="AM63" s="291"/>
      <c r="AN63" s="291"/>
      <c r="AO63" s="339"/>
    </row>
    <row r="64" spans="3:41">
      <c r="C64" s="526"/>
      <c r="D64" s="526"/>
      <c r="E64" s="534" t="s">
        <v>367</v>
      </c>
      <c r="F64" s="526" t="s">
        <v>220</v>
      </c>
      <c r="G64" s="526"/>
      <c r="H64" s="526"/>
      <c r="I64" s="526"/>
      <c r="J64" s="526"/>
      <c r="K64" s="526"/>
      <c r="L64" s="529">
        <v>1.3159389546288527</v>
      </c>
      <c r="M64" s="530">
        <v>0.95546446046127576</v>
      </c>
      <c r="N64" s="526"/>
      <c r="O64" s="526"/>
      <c r="P64" s="526"/>
      <c r="Q64" s="535"/>
      <c r="R64" s="535">
        <v>5</v>
      </c>
      <c r="S64" s="526">
        <v>5</v>
      </c>
      <c r="AB64" s="336"/>
      <c r="AC64" s="291"/>
      <c r="AD64" s="330" t="s">
        <v>327</v>
      </c>
      <c r="AE64" s="346">
        <v>13.881547989951986</v>
      </c>
      <c r="AF64" s="346">
        <f>AE64</f>
        <v>13.881547989951986</v>
      </c>
      <c r="AG64" s="338">
        <f>AVERAGE(AE64:AF64)</f>
        <v>13.881547989951986</v>
      </c>
      <c r="AH64" s="291"/>
      <c r="AI64" s="291"/>
      <c r="AJ64" s="291"/>
      <c r="AK64" s="291"/>
      <c r="AL64" s="291"/>
      <c r="AM64" s="291"/>
      <c r="AN64" s="291"/>
      <c r="AO64" s="339"/>
    </row>
    <row r="65" spans="3:41">
      <c r="C65" s="526"/>
      <c r="D65" s="526"/>
      <c r="E65" s="526"/>
      <c r="F65" s="526" t="s">
        <v>221</v>
      </c>
      <c r="G65" s="526"/>
      <c r="H65" s="526"/>
      <c r="I65" s="526"/>
      <c r="J65" s="526"/>
      <c r="K65" s="526"/>
      <c r="L65" s="529">
        <v>1.3159389546288527</v>
      </c>
      <c r="M65" s="528"/>
      <c r="N65" s="526"/>
      <c r="O65" s="526"/>
      <c r="P65" s="526"/>
      <c r="Q65" s="535"/>
      <c r="R65" s="535"/>
      <c r="S65" s="526">
        <v>5</v>
      </c>
      <c r="AB65" s="336"/>
      <c r="AC65" s="291"/>
      <c r="AD65" s="330" t="s">
        <v>220</v>
      </c>
      <c r="AE65" s="346">
        <f>AE64</f>
        <v>13.881547989951986</v>
      </c>
      <c r="AF65" s="346">
        <f>AE65</f>
        <v>13.881547989951986</v>
      </c>
      <c r="AG65" s="338">
        <f>AVERAGE(AE65:AF65)</f>
        <v>13.881547989951986</v>
      </c>
      <c r="AH65" s="291"/>
      <c r="AI65" s="291"/>
      <c r="AJ65" s="291"/>
      <c r="AK65" s="291"/>
      <c r="AL65" s="291"/>
      <c r="AM65" s="291"/>
      <c r="AN65" s="291"/>
      <c r="AO65" s="339"/>
    </row>
    <row r="66" spans="3:41">
      <c r="AB66" s="336"/>
      <c r="AC66" s="291"/>
      <c r="AD66" s="330" t="s">
        <v>221</v>
      </c>
      <c r="AE66" s="346">
        <f>AE65</f>
        <v>13.881547989951986</v>
      </c>
      <c r="AF66" s="346">
        <f>AE66</f>
        <v>13.881547989951986</v>
      </c>
      <c r="AG66" s="338">
        <f>AVERAGE(AE66:AF66)</f>
        <v>13.881547989951986</v>
      </c>
      <c r="AH66" s="291"/>
      <c r="AI66" s="291"/>
      <c r="AJ66" s="291"/>
      <c r="AK66" s="291"/>
      <c r="AL66" s="291"/>
      <c r="AM66" s="291"/>
      <c r="AN66" s="291"/>
      <c r="AO66" s="339"/>
    </row>
    <row r="67" spans="3:41">
      <c r="AB67" s="336"/>
      <c r="AC67" s="291"/>
      <c r="AD67" s="344"/>
      <c r="AE67" s="343" t="s">
        <v>333</v>
      </c>
      <c r="AF67" s="343"/>
      <c r="AG67" s="291"/>
      <c r="AH67" s="291"/>
      <c r="AI67" s="291"/>
      <c r="AJ67" s="291"/>
      <c r="AK67" s="291"/>
      <c r="AL67" s="291"/>
      <c r="AM67" s="291"/>
      <c r="AN67" s="291"/>
      <c r="AO67" s="339"/>
    </row>
    <row r="68" spans="3:41">
      <c r="AB68" s="336"/>
      <c r="AC68" s="291"/>
      <c r="AD68" s="329" t="s">
        <v>332</v>
      </c>
      <c r="AE68" s="344" t="s">
        <v>340</v>
      </c>
      <c r="AF68" s="344" t="s">
        <v>341</v>
      </c>
      <c r="AG68" s="291" t="s">
        <v>342</v>
      </c>
      <c r="AH68" s="291"/>
      <c r="AI68" s="291"/>
      <c r="AJ68" s="291"/>
      <c r="AK68" s="291"/>
      <c r="AL68" s="291"/>
      <c r="AM68" s="291"/>
      <c r="AN68" s="291"/>
      <c r="AO68" s="339"/>
    </row>
    <row r="69" spans="3:41">
      <c r="AB69" s="336"/>
      <c r="AC69" s="291"/>
      <c r="AD69" s="330" t="s">
        <v>327</v>
      </c>
      <c r="AE69" s="344">
        <v>8.6999999999999993</v>
      </c>
      <c r="AF69" s="344">
        <v>11.19</v>
      </c>
      <c r="AG69" s="291">
        <f>AVERAGE(AE69:AF69)</f>
        <v>9.9450000000000003</v>
      </c>
      <c r="AH69" s="291"/>
      <c r="AI69" s="291"/>
      <c r="AJ69" s="291"/>
      <c r="AK69" s="291"/>
      <c r="AL69" s="291"/>
      <c r="AM69" s="291"/>
      <c r="AN69" s="291"/>
      <c r="AO69" s="339"/>
    </row>
    <row r="70" spans="3:41">
      <c r="AB70" s="336"/>
      <c r="AC70" s="291"/>
      <c r="AD70" s="330" t="s">
        <v>220</v>
      </c>
      <c r="AE70" s="344">
        <f>AE69</f>
        <v>8.6999999999999993</v>
      </c>
      <c r="AF70" s="344">
        <f>AF69</f>
        <v>11.19</v>
      </c>
      <c r="AG70" s="291">
        <f>AVERAGE(AE70:AF70)</f>
        <v>9.9450000000000003</v>
      </c>
      <c r="AH70" s="291"/>
      <c r="AI70" s="291"/>
      <c r="AJ70" s="291"/>
      <c r="AK70" s="291"/>
      <c r="AL70" s="291"/>
      <c r="AM70" s="291"/>
      <c r="AN70" s="291"/>
      <c r="AO70" s="339"/>
    </row>
    <row r="71" spans="3:41">
      <c r="AB71" s="336"/>
      <c r="AC71" s="291"/>
      <c r="AD71" s="330" t="s">
        <v>221</v>
      </c>
      <c r="AE71" s="344">
        <f>AE70</f>
        <v>8.6999999999999993</v>
      </c>
      <c r="AF71" s="344">
        <f>AF70</f>
        <v>11.19</v>
      </c>
      <c r="AG71" s="291">
        <f>AVERAGE(AE71:AF71)</f>
        <v>9.9450000000000003</v>
      </c>
      <c r="AH71" s="291"/>
      <c r="AI71" s="291"/>
      <c r="AJ71" s="291"/>
      <c r="AK71" s="291"/>
      <c r="AL71" s="291"/>
      <c r="AM71" s="291"/>
      <c r="AN71" s="291"/>
      <c r="AO71" s="339"/>
    </row>
    <row r="72" spans="3:41">
      <c r="AB72" s="336"/>
      <c r="AC72" s="291"/>
      <c r="AD72" s="329" t="s">
        <v>360</v>
      </c>
      <c r="AE72" s="291"/>
      <c r="AF72" s="291"/>
      <c r="AG72" s="291"/>
      <c r="AH72" s="291"/>
      <c r="AI72" s="291"/>
      <c r="AJ72" s="291"/>
      <c r="AK72" s="291"/>
      <c r="AL72" s="291"/>
      <c r="AM72" s="291"/>
      <c r="AN72" s="291"/>
      <c r="AO72" s="339"/>
    </row>
    <row r="73" spans="3:41">
      <c r="AB73" s="336"/>
      <c r="AC73" s="291"/>
      <c r="AD73" s="330" t="s">
        <v>327</v>
      </c>
      <c r="AE73" s="338">
        <f>AVERAGE(AI59,AG64,AG69)</f>
        <v>10.537463156640724</v>
      </c>
      <c r="AF73" s="291"/>
      <c r="AG73" s="291"/>
      <c r="AH73" s="291"/>
      <c r="AI73" s="291"/>
      <c r="AJ73" s="291"/>
      <c r="AK73" s="291"/>
      <c r="AL73" s="291"/>
      <c r="AM73" s="291"/>
      <c r="AN73" s="291"/>
      <c r="AO73" s="339"/>
    </row>
    <row r="74" spans="3:41">
      <c r="AB74" s="336"/>
      <c r="AC74" s="291"/>
      <c r="AD74" s="330" t="s">
        <v>220</v>
      </c>
      <c r="AE74" s="338">
        <f>AVERAGE(AI60,AG65,AG70)</f>
        <v>10.537463156640724</v>
      </c>
      <c r="AF74" s="291"/>
      <c r="AG74" s="291"/>
      <c r="AH74" s="291"/>
      <c r="AI74" s="291"/>
      <c r="AJ74" s="291"/>
      <c r="AK74" s="291"/>
      <c r="AL74" s="291"/>
      <c r="AM74" s="291"/>
      <c r="AN74" s="291"/>
      <c r="AO74" s="339"/>
    </row>
    <row r="75" spans="3:41" ht="13.5" thickBot="1">
      <c r="AB75" s="347"/>
      <c r="AC75" s="348"/>
      <c r="AD75" s="349" t="s">
        <v>221</v>
      </c>
      <c r="AE75" s="350">
        <f>AVERAGE(AI61,AG66,AG71)</f>
        <v>10.537463156640724</v>
      </c>
      <c r="AF75" s="348"/>
      <c r="AG75" s="348"/>
      <c r="AH75" s="348"/>
      <c r="AI75" s="348"/>
      <c r="AJ75" s="348"/>
      <c r="AK75" s="348"/>
      <c r="AL75" s="348"/>
      <c r="AM75" s="348"/>
      <c r="AN75" s="348"/>
      <c r="AO75" s="351"/>
    </row>
    <row r="76" spans="3:41" ht="25.5">
      <c r="AD76" s="330" t="s">
        <v>361</v>
      </c>
    </row>
    <row r="77" spans="3:41">
      <c r="AC77" s="288" t="s">
        <v>362</v>
      </c>
    </row>
    <row r="79" spans="3:41">
      <c r="AE79" s="288">
        <f>[7]TRA_Cars!K7</f>
        <v>0</v>
      </c>
    </row>
    <row r="80" spans="3:41">
      <c r="AE80" s="288" t="s">
        <v>28</v>
      </c>
    </row>
    <row r="81" spans="28:41">
      <c r="AE81" s="282" t="str">
        <f>[7]TRA_Cars!E61</f>
        <v>TRAELCEV</v>
      </c>
      <c r="AF81" s="288" t="str">
        <f>[7]TRA_Cars!E65</f>
        <v>TRAH2G</v>
      </c>
    </row>
    <row r="82" spans="28:41">
      <c r="AD82" s="288" t="s">
        <v>346</v>
      </c>
      <c r="AE82" s="283">
        <v>0.4151238798625253</v>
      </c>
      <c r="AF82" s="283">
        <v>0.42843773350814029</v>
      </c>
    </row>
    <row r="83" spans="28:41">
      <c r="AD83" s="288" t="s">
        <v>29</v>
      </c>
      <c r="AE83" s="283">
        <v>0.5848761201374747</v>
      </c>
      <c r="AF83" s="283">
        <v>0.57156226649185971</v>
      </c>
    </row>
    <row r="84" spans="28:41">
      <c r="AD84" s="288" t="s">
        <v>363</v>
      </c>
      <c r="AE84" s="283">
        <v>1</v>
      </c>
      <c r="AF84" s="283">
        <v>1</v>
      </c>
    </row>
    <row r="89" spans="28:41" ht="13.5" thickBot="1"/>
    <row r="90" spans="28:41">
      <c r="AB90" s="554" t="s">
        <v>487</v>
      </c>
      <c r="AC90" s="334"/>
      <c r="AD90" s="334"/>
      <c r="AE90" s="334"/>
      <c r="AF90" s="334"/>
      <c r="AG90" s="334"/>
      <c r="AH90" s="334"/>
      <c r="AI90" s="334"/>
      <c r="AJ90" s="334"/>
      <c r="AK90" s="334"/>
      <c r="AL90" s="334"/>
      <c r="AM90" s="334"/>
      <c r="AN90" s="334"/>
      <c r="AO90" s="335"/>
    </row>
    <row r="91" spans="28:41" ht="13.5" thickBot="1">
      <c r="AB91" s="347"/>
      <c r="AC91" s="348"/>
      <c r="AD91" s="348"/>
      <c r="AE91" s="348"/>
      <c r="AF91" s="348"/>
      <c r="AG91" s="348"/>
      <c r="AH91" s="348"/>
      <c r="AI91" s="348"/>
      <c r="AJ91" s="348"/>
      <c r="AK91" s="348"/>
      <c r="AL91" s="348"/>
      <c r="AM91" s="348"/>
      <c r="AN91" s="348"/>
      <c r="AO91" s="351"/>
    </row>
    <row r="92" spans="28:41">
      <c r="AB92" s="550" t="s">
        <v>510</v>
      </c>
      <c r="AC92" s="334"/>
      <c r="AD92" s="525"/>
      <c r="AE92" s="334"/>
      <c r="AF92" s="334"/>
      <c r="AG92" s="334"/>
      <c r="AH92" s="334"/>
      <c r="AI92" s="334"/>
      <c r="AJ92" s="334"/>
      <c r="AK92" s="334"/>
      <c r="AL92" s="334"/>
      <c r="AM92" s="334"/>
      <c r="AN92" s="334"/>
      <c r="AO92" s="335"/>
    </row>
    <row r="93" spans="28:41">
      <c r="AB93" s="336"/>
      <c r="AC93" s="291"/>
      <c r="AD93" s="291"/>
      <c r="AE93" s="291"/>
      <c r="AF93" s="291"/>
      <c r="AG93" s="291"/>
      <c r="AH93" s="291"/>
      <c r="AI93" s="291"/>
      <c r="AJ93" s="291"/>
      <c r="AK93" s="291"/>
      <c r="AL93" s="291"/>
      <c r="AM93" s="291"/>
      <c r="AN93" s="291"/>
      <c r="AO93" s="339"/>
    </row>
    <row r="94" spans="28:41">
      <c r="AB94" s="336"/>
      <c r="AC94" s="291"/>
      <c r="AD94" s="291"/>
      <c r="AE94" s="291"/>
      <c r="AF94" s="291"/>
      <c r="AG94" s="291"/>
      <c r="AH94" s="291"/>
      <c r="AI94" s="291"/>
      <c r="AJ94" s="291"/>
      <c r="AK94" s="291"/>
      <c r="AL94" s="291"/>
      <c r="AM94" s="291"/>
      <c r="AN94" s="291"/>
      <c r="AO94" s="339"/>
    </row>
    <row r="95" spans="28:41">
      <c r="AB95" s="545"/>
      <c r="AC95" s="508"/>
      <c r="AD95" s="508"/>
      <c r="AE95" s="508"/>
      <c r="AF95" s="508"/>
      <c r="AG95" s="508"/>
      <c r="AH95" s="508"/>
      <c r="AI95" s="508"/>
      <c r="AJ95" s="508"/>
      <c r="AK95" s="508"/>
      <c r="AL95" s="508"/>
      <c r="AM95" s="508"/>
      <c r="AN95" s="508"/>
      <c r="AO95" s="546"/>
    </row>
    <row r="96" spans="28:41">
      <c r="AB96" s="545"/>
      <c r="AC96" s="508"/>
      <c r="AD96" s="508"/>
      <c r="AE96" s="508"/>
      <c r="AF96" s="508"/>
      <c r="AG96" s="526" t="s">
        <v>497</v>
      </c>
      <c r="AH96" s="526"/>
      <c r="AI96" s="508"/>
      <c r="AJ96" s="508"/>
      <c r="AK96" s="508"/>
      <c r="AL96" s="508"/>
      <c r="AM96" s="508"/>
      <c r="AN96" s="508"/>
      <c r="AO96" s="546"/>
    </row>
    <row r="97" spans="28:41">
      <c r="AB97" s="336"/>
      <c r="AC97" s="526" t="s">
        <v>512</v>
      </c>
      <c r="AD97" s="551" t="s">
        <v>501</v>
      </c>
      <c r="AE97" s="383"/>
      <c r="AF97" s="383"/>
      <c r="AG97" s="543">
        <v>0.8</v>
      </c>
      <c r="AH97" s="515"/>
      <c r="AI97" s="515"/>
      <c r="AJ97" s="552">
        <v>2020</v>
      </c>
      <c r="AK97" s="526" t="s">
        <v>489</v>
      </c>
      <c r="AL97" s="526" t="s">
        <v>503</v>
      </c>
      <c r="AM97" s="508">
        <f>AG97/AG103</f>
        <v>0.455958145380501</v>
      </c>
      <c r="AN97" s="515">
        <f>AM97/SUM(AM97:AM98)</f>
        <v>0.75658257021068309</v>
      </c>
      <c r="AO97" s="546"/>
    </row>
    <row r="98" spans="28:41">
      <c r="AB98" s="545"/>
      <c r="AC98" s="526" t="s">
        <v>512</v>
      </c>
      <c r="AD98" s="551" t="s">
        <v>502</v>
      </c>
      <c r="AE98" s="383"/>
      <c r="AF98" s="383"/>
      <c r="AG98" s="543">
        <v>0.2</v>
      </c>
      <c r="AH98" s="515"/>
      <c r="AI98" s="508"/>
      <c r="AJ98" s="515"/>
      <c r="AK98" s="526" t="s">
        <v>489</v>
      </c>
      <c r="AL98" s="526" t="s">
        <v>508</v>
      </c>
      <c r="AM98" s="508">
        <f>AG98/AI103</f>
        <v>0.14669669142539032</v>
      </c>
      <c r="AN98" s="515">
        <f>AM98/SUM(AM97:AM98)</f>
        <v>0.24341742978931699</v>
      </c>
      <c r="AO98" s="546"/>
    </row>
    <row r="99" spans="28:41">
      <c r="AB99" s="545"/>
      <c r="AC99" s="508"/>
      <c r="AD99" s="508"/>
      <c r="AE99" s="508"/>
      <c r="AF99" s="508"/>
      <c r="AG99" s="508"/>
      <c r="AH99" s="508"/>
      <c r="AI99" s="508"/>
      <c r="AJ99" s="508">
        <v>2030</v>
      </c>
      <c r="AK99" s="526" t="s">
        <v>489</v>
      </c>
      <c r="AL99" s="526" t="s">
        <v>490</v>
      </c>
      <c r="AM99" s="508">
        <f>AG97/AG104</f>
        <v>0.41828612488322292</v>
      </c>
      <c r="AN99" s="515">
        <f>AM99/SUM(AM99:AM100)</f>
        <v>0.76177074445395232</v>
      </c>
      <c r="AO99" s="527"/>
    </row>
    <row r="100" spans="28:41">
      <c r="AB100" s="545"/>
      <c r="AC100" s="526"/>
      <c r="AD100" s="508"/>
      <c r="AE100" s="508"/>
      <c r="AF100" s="508"/>
      <c r="AG100" s="508"/>
      <c r="AH100" s="508"/>
      <c r="AI100" s="508"/>
      <c r="AJ100" s="508"/>
      <c r="AK100" s="526" t="s">
        <v>489</v>
      </c>
      <c r="AL100" s="526" t="s">
        <v>488</v>
      </c>
      <c r="AM100" s="508">
        <f>AG98/AI104</f>
        <v>0.13081099905930407</v>
      </c>
      <c r="AN100" s="515">
        <f>AM100/SUM(AM99:AM100)</f>
        <v>0.23822925554604768</v>
      </c>
      <c r="AO100" s="546"/>
    </row>
    <row r="101" spans="28:41">
      <c r="AB101" s="336"/>
      <c r="AC101" s="291"/>
      <c r="AD101" s="291"/>
      <c r="AE101" s="291"/>
      <c r="AF101" s="291"/>
      <c r="AG101" s="291"/>
      <c r="AH101" s="291"/>
      <c r="AI101" s="291"/>
      <c r="AJ101" s="291"/>
      <c r="AK101" s="291"/>
      <c r="AL101" s="291"/>
      <c r="AM101" s="291"/>
      <c r="AN101" s="291"/>
      <c r="AO101" s="339"/>
    </row>
    <row r="102" spans="28:41">
      <c r="AB102" s="336"/>
      <c r="AC102" s="408" t="s">
        <v>498</v>
      </c>
      <c r="AD102" s="291"/>
      <c r="AE102" s="408" t="s">
        <v>499</v>
      </c>
      <c r="AF102" s="408" t="s">
        <v>488</v>
      </c>
      <c r="AG102" s="408" t="s">
        <v>500</v>
      </c>
      <c r="AH102" s="291"/>
      <c r="AI102" s="291" t="str">
        <f>AI117</f>
        <v>Hybrid EFF</v>
      </c>
      <c r="AJ102" s="291"/>
      <c r="AK102" s="291"/>
      <c r="AL102" s="291"/>
      <c r="AM102" s="291"/>
      <c r="AN102" s="291"/>
      <c r="AO102" s="339"/>
    </row>
    <row r="103" spans="28:41">
      <c r="AB103" s="336"/>
      <c r="AC103" s="291">
        <v>2020</v>
      </c>
      <c r="AD103" s="291"/>
      <c r="AE103" s="341">
        <v>1.1025641025641026</v>
      </c>
      <c r="AF103" s="291">
        <v>1</v>
      </c>
      <c r="AG103" s="341">
        <v>1.7545470085470085</v>
      </c>
      <c r="AH103" s="291"/>
      <c r="AI103" s="291">
        <f>AI118</f>
        <v>1.3633572649572649</v>
      </c>
      <c r="AJ103" s="291"/>
      <c r="AK103" s="291"/>
      <c r="AL103" s="291"/>
      <c r="AM103" s="291"/>
      <c r="AN103" s="291"/>
      <c r="AO103" s="339"/>
    </row>
    <row r="104" spans="28:41">
      <c r="AB104" s="336"/>
      <c r="AC104" s="291">
        <v>2030</v>
      </c>
      <c r="AD104" s="291"/>
      <c r="AE104" s="341">
        <v>1.2731614135625595</v>
      </c>
      <c r="AF104" s="291">
        <v>1</v>
      </c>
      <c r="AG104" s="341">
        <v>1.9125664285979938</v>
      </c>
      <c r="AH104" s="291"/>
      <c r="AI104" s="291">
        <f>AI119</f>
        <v>1.5289234195767332</v>
      </c>
      <c r="AJ104" s="291"/>
      <c r="AK104" s="291"/>
      <c r="AL104" s="291"/>
      <c r="AM104" s="291"/>
      <c r="AN104" s="291"/>
      <c r="AO104" s="339"/>
    </row>
    <row r="105" spans="28:41">
      <c r="AB105" s="336"/>
      <c r="AC105" s="291"/>
      <c r="AD105" s="291"/>
      <c r="AE105" s="291"/>
      <c r="AF105" s="291"/>
      <c r="AG105" s="291"/>
      <c r="AH105" s="291"/>
      <c r="AI105" s="291"/>
      <c r="AJ105" s="291"/>
      <c r="AK105" s="291"/>
      <c r="AL105" s="291"/>
      <c r="AM105" s="291"/>
      <c r="AN105" s="291"/>
      <c r="AO105" s="339"/>
    </row>
    <row r="106" spans="28:41">
      <c r="AB106" s="336"/>
      <c r="AC106" s="291"/>
      <c r="AD106" s="291"/>
      <c r="AE106" s="291"/>
      <c r="AF106" s="291"/>
      <c r="AG106" s="291"/>
      <c r="AH106" s="291"/>
      <c r="AI106" s="291"/>
      <c r="AJ106" s="291"/>
      <c r="AK106" s="291"/>
      <c r="AL106" s="291"/>
      <c r="AM106" s="291"/>
      <c r="AN106" s="291"/>
      <c r="AO106" s="339"/>
    </row>
    <row r="107" spans="28:41" ht="13.5" thickBot="1">
      <c r="AB107" s="347"/>
      <c r="AC107" s="348"/>
      <c r="AD107" s="348"/>
      <c r="AE107" s="348"/>
      <c r="AF107" s="348"/>
      <c r="AG107" s="348"/>
      <c r="AH107" s="348"/>
      <c r="AI107" s="348"/>
      <c r="AJ107" s="348"/>
      <c r="AK107" s="348"/>
      <c r="AL107" s="348"/>
      <c r="AM107" s="348"/>
      <c r="AN107" s="348"/>
      <c r="AO107" s="351"/>
    </row>
    <row r="108" spans="28:41">
      <c r="AB108" s="550" t="s">
        <v>506</v>
      </c>
      <c r="AC108" s="334"/>
      <c r="AD108" s="525"/>
      <c r="AE108" s="334"/>
      <c r="AF108" s="334"/>
      <c r="AG108" s="334"/>
      <c r="AH108" s="334"/>
      <c r="AI108" s="334"/>
      <c r="AJ108" s="334"/>
      <c r="AK108" s="334"/>
      <c r="AL108" s="334"/>
      <c r="AM108" s="334"/>
      <c r="AN108" s="334"/>
      <c r="AO108" s="335"/>
    </row>
    <row r="109" spans="28:41">
      <c r="AB109" s="336"/>
      <c r="AC109" s="291"/>
      <c r="AD109" s="291"/>
      <c r="AE109" s="291"/>
      <c r="AF109" s="291"/>
      <c r="AG109" s="291"/>
      <c r="AH109" s="291"/>
      <c r="AI109" s="291"/>
      <c r="AJ109" s="291"/>
      <c r="AK109" s="291"/>
      <c r="AL109" s="291"/>
      <c r="AM109" s="291"/>
      <c r="AN109" s="291"/>
      <c r="AO109" s="339"/>
    </row>
    <row r="110" spans="28:41">
      <c r="AB110" s="545"/>
      <c r="AC110" s="508"/>
      <c r="AD110" s="508"/>
      <c r="AE110" s="508"/>
      <c r="AF110" s="508"/>
      <c r="AG110" s="508"/>
      <c r="AH110" s="508"/>
      <c r="AI110" s="508"/>
      <c r="AJ110" s="508"/>
      <c r="AK110" s="508"/>
      <c r="AL110" s="508"/>
      <c r="AM110" s="508"/>
      <c r="AN110" s="508"/>
      <c r="AO110" s="546"/>
    </row>
    <row r="111" spans="28:41">
      <c r="AB111" s="545"/>
      <c r="AC111" s="508"/>
      <c r="AD111" s="508"/>
      <c r="AE111" s="508"/>
      <c r="AF111" s="508"/>
      <c r="AG111" s="526" t="s">
        <v>497</v>
      </c>
      <c r="AH111" s="526"/>
      <c r="AI111" s="508"/>
      <c r="AJ111" s="508"/>
      <c r="AK111" s="508"/>
      <c r="AL111" s="508"/>
      <c r="AM111" s="508"/>
      <c r="AN111" s="508"/>
      <c r="AO111" s="546"/>
    </row>
    <row r="112" spans="28:41">
      <c r="AB112" s="545"/>
      <c r="AC112" s="526" t="s">
        <v>512</v>
      </c>
      <c r="AD112" s="551" t="s">
        <v>504</v>
      </c>
      <c r="AE112" s="383"/>
      <c r="AF112" s="383"/>
      <c r="AG112" s="543">
        <v>0.4</v>
      </c>
      <c r="AH112" s="515"/>
      <c r="AI112" s="515"/>
      <c r="AJ112" s="515">
        <v>2020</v>
      </c>
      <c r="AK112" s="526" t="s">
        <v>489</v>
      </c>
      <c r="AL112" s="526" t="s">
        <v>509</v>
      </c>
      <c r="AM112" s="508">
        <f>AG112/AG118</f>
        <v>0.2279790726902505</v>
      </c>
      <c r="AN112" s="515">
        <f>AM112/SUM(AM112:AM113)</f>
        <v>0.29524653085326252</v>
      </c>
      <c r="AO112" s="546"/>
    </row>
    <row r="113" spans="28:41">
      <c r="AB113" s="545"/>
      <c r="AC113" s="526" t="s">
        <v>512</v>
      </c>
      <c r="AD113" s="551" t="s">
        <v>505</v>
      </c>
      <c r="AE113" s="383"/>
      <c r="AF113" s="383"/>
      <c r="AG113" s="543">
        <v>0.6</v>
      </c>
      <c r="AH113" s="515"/>
      <c r="AI113" s="508"/>
      <c r="AJ113" s="515"/>
      <c r="AK113" s="526" t="s">
        <v>489</v>
      </c>
      <c r="AL113" s="526" t="s">
        <v>488</v>
      </c>
      <c r="AM113" s="508">
        <f>AG113/AE118</f>
        <v>0.54418604651162783</v>
      </c>
      <c r="AN113" s="515">
        <f>AM113/SUM(AM112:AM113)</f>
        <v>0.70475346914673742</v>
      </c>
      <c r="AO113" s="546"/>
    </row>
    <row r="114" spans="28:41">
      <c r="AB114" s="545"/>
      <c r="AC114" s="508"/>
      <c r="AD114" s="508"/>
      <c r="AE114" s="508"/>
      <c r="AF114" s="508"/>
      <c r="AG114" s="508"/>
      <c r="AH114" s="508"/>
      <c r="AI114" s="508"/>
      <c r="AJ114" s="508">
        <v>2030</v>
      </c>
      <c r="AK114" s="526" t="s">
        <v>489</v>
      </c>
      <c r="AL114" s="526" t="s">
        <v>490</v>
      </c>
      <c r="AM114" s="508">
        <f>AG112/AG119</f>
        <v>0.20914306244161146</v>
      </c>
      <c r="AN114" s="515">
        <f>AM114/SUM(AM114:AM115)</f>
        <v>0.30737759899917183</v>
      </c>
      <c r="AO114" s="527"/>
    </row>
    <row r="115" spans="28:41">
      <c r="AB115" s="545"/>
      <c r="AC115" s="526"/>
      <c r="AD115" s="508"/>
      <c r="AE115" s="508"/>
      <c r="AF115" s="508"/>
      <c r="AG115" s="508"/>
      <c r="AH115" s="508"/>
      <c r="AI115" s="508"/>
      <c r="AJ115" s="508"/>
      <c r="AK115" s="526" t="s">
        <v>489</v>
      </c>
      <c r="AL115" s="526" t="s">
        <v>488</v>
      </c>
      <c r="AM115" s="508">
        <f>AG113/AE119</f>
        <v>0.47126781695423858</v>
      </c>
      <c r="AN115" s="515">
        <f>AM115/SUM(AM114:AM115)</f>
        <v>0.69262240100082817</v>
      </c>
      <c r="AO115" s="546"/>
    </row>
    <row r="116" spans="28:41">
      <c r="AB116" s="336"/>
      <c r="AC116" s="291"/>
      <c r="AD116" s="291"/>
      <c r="AE116" s="291"/>
      <c r="AF116" s="291"/>
      <c r="AG116" s="291"/>
      <c r="AH116" s="291"/>
      <c r="AI116" s="291"/>
      <c r="AJ116" s="291"/>
      <c r="AK116" s="291"/>
      <c r="AL116" s="291"/>
      <c r="AM116" s="291"/>
      <c r="AN116" s="291"/>
      <c r="AO116" s="339"/>
    </row>
    <row r="117" spans="28:41">
      <c r="AB117" s="336"/>
      <c r="AC117" s="408" t="s">
        <v>498</v>
      </c>
      <c r="AD117" s="291"/>
      <c r="AE117" s="408" t="s">
        <v>499</v>
      </c>
      <c r="AF117" s="408" t="s">
        <v>488</v>
      </c>
      <c r="AG117" s="408" t="s">
        <v>500</v>
      </c>
      <c r="AH117" s="291"/>
      <c r="AI117" s="544" t="s">
        <v>507</v>
      </c>
      <c r="AJ117" s="291"/>
      <c r="AK117" s="291"/>
      <c r="AL117" s="291"/>
      <c r="AM117" s="291"/>
      <c r="AN117" s="291"/>
      <c r="AO117" s="339"/>
    </row>
    <row r="118" spans="28:41">
      <c r="AB118" s="336"/>
      <c r="AC118" s="291">
        <v>2020</v>
      </c>
      <c r="AD118" s="291"/>
      <c r="AE118" s="341">
        <v>1.1025641025641026</v>
      </c>
      <c r="AF118" s="291">
        <v>1</v>
      </c>
      <c r="AG118" s="341">
        <v>1.7545470085470085</v>
      </c>
      <c r="AH118" s="291"/>
      <c r="AI118" s="341">
        <f>AE118*AG113+AG118*AG112</f>
        <v>1.3633572649572649</v>
      </c>
      <c r="AJ118" s="291"/>
      <c r="AK118" s="291"/>
      <c r="AL118" s="291"/>
      <c r="AM118" s="291"/>
      <c r="AN118" s="291"/>
      <c r="AO118" s="339"/>
    </row>
    <row r="119" spans="28:41">
      <c r="AB119" s="336"/>
      <c r="AC119" s="291">
        <v>2030</v>
      </c>
      <c r="AD119" s="291"/>
      <c r="AE119" s="341">
        <v>1.2731614135625595</v>
      </c>
      <c r="AF119" s="291">
        <v>1</v>
      </c>
      <c r="AG119" s="341">
        <v>1.9125664285979938</v>
      </c>
      <c r="AH119" s="291"/>
      <c r="AI119" s="341">
        <f>AE119*AG113+AG119*AG112</f>
        <v>1.5289234195767332</v>
      </c>
      <c r="AJ119" s="291"/>
      <c r="AK119" s="291"/>
      <c r="AL119" s="291"/>
      <c r="AM119" s="291"/>
      <c r="AN119" s="291"/>
      <c r="AO119" s="339"/>
    </row>
    <row r="120" spans="28:41">
      <c r="AB120" s="336"/>
      <c r="AC120" s="291"/>
      <c r="AD120" s="291"/>
      <c r="AE120" s="291"/>
      <c r="AF120" s="291"/>
      <c r="AG120" s="291"/>
      <c r="AH120" s="291"/>
      <c r="AI120" s="291"/>
      <c r="AJ120" s="291"/>
      <c r="AK120" s="291"/>
      <c r="AL120" s="291"/>
      <c r="AM120" s="291"/>
      <c r="AN120" s="291"/>
      <c r="AO120" s="339"/>
    </row>
    <row r="121" spans="28:41">
      <c r="AB121" s="336"/>
      <c r="AC121" s="291"/>
      <c r="AD121" s="291"/>
      <c r="AE121" s="291"/>
      <c r="AF121" s="291"/>
      <c r="AG121" s="291"/>
      <c r="AH121" s="291"/>
      <c r="AI121" s="291"/>
      <c r="AJ121" s="291"/>
      <c r="AK121" s="291"/>
      <c r="AL121" s="291"/>
      <c r="AM121" s="291"/>
      <c r="AN121" s="291"/>
      <c r="AO121" s="339"/>
    </row>
    <row r="122" spans="28:41" ht="13.5" thickBot="1">
      <c r="AB122" s="347"/>
      <c r="AC122" s="348"/>
      <c r="AD122" s="348"/>
      <c r="AE122" s="348"/>
      <c r="AF122" s="348"/>
      <c r="AG122" s="348"/>
      <c r="AH122" s="348"/>
      <c r="AI122" s="348"/>
      <c r="AJ122" s="348"/>
      <c r="AK122" s="348"/>
      <c r="AL122" s="348"/>
      <c r="AM122" s="348"/>
      <c r="AN122" s="348"/>
      <c r="AO122" s="351"/>
    </row>
    <row r="123" spans="28:41">
      <c r="AB123" s="333"/>
      <c r="AC123" s="334"/>
      <c r="AD123" s="334"/>
      <c r="AE123" s="334"/>
      <c r="AF123" s="334"/>
      <c r="AG123" s="334"/>
      <c r="AH123" s="334"/>
      <c r="AI123" s="334"/>
      <c r="AJ123" s="334"/>
      <c r="AK123" s="334"/>
      <c r="AL123" s="334"/>
      <c r="AM123" s="334"/>
      <c r="AN123" s="334"/>
      <c r="AO123" s="335"/>
    </row>
    <row r="124" spans="28:41">
      <c r="AB124" s="336"/>
      <c r="AC124" s="291"/>
      <c r="AD124" s="291"/>
      <c r="AE124" s="291"/>
      <c r="AF124" s="291"/>
      <c r="AG124" s="291"/>
      <c r="AH124" s="291"/>
      <c r="AI124" s="291"/>
      <c r="AJ124" s="291"/>
      <c r="AK124" s="291"/>
      <c r="AL124" s="291"/>
      <c r="AM124" s="291"/>
      <c r="AN124" s="291"/>
      <c r="AO124" s="339"/>
    </row>
    <row r="125" spans="28:41">
      <c r="AB125" s="336"/>
      <c r="AC125" s="408" t="s">
        <v>513</v>
      </c>
      <c r="AD125" s="555" t="s">
        <v>229</v>
      </c>
      <c r="AE125" s="383"/>
      <c r="AF125" s="383"/>
      <c r="AG125" s="383">
        <f>AG112*AG98</f>
        <v>8.0000000000000016E-2</v>
      </c>
      <c r="AH125" s="291"/>
      <c r="AI125" s="291"/>
      <c r="AJ125" s="291"/>
      <c r="AK125" s="291">
        <v>2020</v>
      </c>
      <c r="AL125" s="408" t="s">
        <v>489</v>
      </c>
      <c r="AM125" s="299" t="s">
        <v>229</v>
      </c>
      <c r="AN125" s="341">
        <f>AN112*AN98</f>
        <v>7.1868151694513438E-2</v>
      </c>
      <c r="AO125" s="339"/>
    </row>
    <row r="126" spans="28:41">
      <c r="AB126" s="336"/>
      <c r="AD126" s="555" t="s">
        <v>511</v>
      </c>
      <c r="AE126" s="383"/>
      <c r="AF126" s="383"/>
      <c r="AG126" s="383">
        <f>AG113*AG98</f>
        <v>0.12</v>
      </c>
      <c r="AH126" s="291"/>
      <c r="AI126" s="291"/>
      <c r="AJ126" s="291"/>
      <c r="AK126" s="291"/>
      <c r="AL126" s="408" t="s">
        <v>489</v>
      </c>
      <c r="AM126" s="299" t="s">
        <v>511</v>
      </c>
      <c r="AN126" s="341">
        <f>AN113*AN98</f>
        <v>0.17154927809480353</v>
      </c>
      <c r="AO126" s="339"/>
    </row>
    <row r="127" spans="28:41">
      <c r="AB127" s="336"/>
      <c r="AC127" s="291"/>
      <c r="AD127" s="555" t="s">
        <v>276</v>
      </c>
      <c r="AE127" s="383"/>
      <c r="AF127" s="383"/>
      <c r="AG127" s="543">
        <f>AG97</f>
        <v>0.8</v>
      </c>
      <c r="AH127" s="291">
        <f>SUM(AG125:AG127)</f>
        <v>1</v>
      </c>
      <c r="AI127" s="291"/>
      <c r="AJ127" s="291"/>
      <c r="AK127" s="291"/>
      <c r="AL127" s="408" t="s">
        <v>489</v>
      </c>
      <c r="AM127" s="299" t="s">
        <v>276</v>
      </c>
      <c r="AN127" s="341">
        <f>AN97</f>
        <v>0.75658257021068309</v>
      </c>
      <c r="AO127" s="553">
        <f>SUM(AN125:AN127)</f>
        <v>1</v>
      </c>
    </row>
    <row r="128" spans="28:41">
      <c r="AB128" s="336"/>
      <c r="AC128" s="291"/>
      <c r="AD128" s="291"/>
      <c r="AE128" s="291"/>
      <c r="AF128" s="291"/>
      <c r="AG128" s="291"/>
      <c r="AH128" s="291"/>
      <c r="AI128" s="291"/>
      <c r="AJ128" s="291"/>
      <c r="AK128" s="291"/>
      <c r="AL128" s="408"/>
      <c r="AM128" s="291"/>
      <c r="AN128" s="291"/>
      <c r="AO128" s="339"/>
    </row>
    <row r="129" spans="28:41">
      <c r="AB129" s="336"/>
      <c r="AC129" s="291"/>
      <c r="AD129" s="291"/>
      <c r="AE129" s="291"/>
      <c r="AF129" s="291"/>
      <c r="AG129" s="291"/>
      <c r="AH129" s="291"/>
      <c r="AI129" s="291"/>
      <c r="AJ129" s="291"/>
      <c r="AK129" s="291">
        <v>2030</v>
      </c>
      <c r="AL129" s="408" t="s">
        <v>489</v>
      </c>
      <c r="AM129" s="299" t="s">
        <v>229</v>
      </c>
      <c r="AN129" s="341">
        <f>AN114*AN100</f>
        <v>7.3226336581104279E-2</v>
      </c>
      <c r="AO129" s="339"/>
    </row>
    <row r="130" spans="28:41">
      <c r="AB130" s="336"/>
      <c r="AC130" s="291"/>
      <c r="AD130" s="291"/>
      <c r="AE130" s="291"/>
      <c r="AF130" s="291"/>
      <c r="AG130" s="291"/>
      <c r="AH130" s="291"/>
      <c r="AI130" s="291"/>
      <c r="AJ130" s="291"/>
      <c r="AK130" s="291"/>
      <c r="AL130" s="408" t="s">
        <v>489</v>
      </c>
      <c r="AM130" s="299" t="s">
        <v>511</v>
      </c>
      <c r="AN130" s="341">
        <f>AN115*AN100</f>
        <v>0.1650029189649434</v>
      </c>
      <c r="AO130" s="339"/>
    </row>
    <row r="131" spans="28:41">
      <c r="AB131" s="336"/>
      <c r="AC131" s="291"/>
      <c r="AD131" s="291"/>
      <c r="AE131" s="291"/>
      <c r="AF131" s="291"/>
      <c r="AG131" s="291"/>
      <c r="AH131" s="291"/>
      <c r="AI131" s="291"/>
      <c r="AJ131" s="291"/>
      <c r="AK131" s="291"/>
      <c r="AL131" s="408" t="s">
        <v>489</v>
      </c>
      <c r="AM131" s="299" t="s">
        <v>276</v>
      </c>
      <c r="AN131" s="341">
        <f>AN99</f>
        <v>0.76177074445395232</v>
      </c>
      <c r="AO131" s="553">
        <f>SUM(AN129:AN131)</f>
        <v>1</v>
      </c>
    </row>
    <row r="132" spans="28:41">
      <c r="AB132" s="336"/>
      <c r="AC132" s="291"/>
      <c r="AD132" s="291"/>
      <c r="AE132" s="291"/>
      <c r="AF132" s="291"/>
      <c r="AG132" s="291"/>
      <c r="AH132" s="291"/>
      <c r="AI132" s="291"/>
      <c r="AJ132" s="291"/>
      <c r="AK132" s="291"/>
      <c r="AL132" s="291"/>
      <c r="AM132" s="291"/>
      <c r="AN132" s="291"/>
      <c r="AO132" s="339"/>
    </row>
    <row r="133" spans="28:41">
      <c r="AB133" s="336"/>
      <c r="AC133" s="291"/>
      <c r="AD133" s="291"/>
      <c r="AE133" s="291"/>
      <c r="AF133" s="291"/>
      <c r="AG133" s="291"/>
      <c r="AH133" s="291"/>
      <c r="AI133" s="291"/>
      <c r="AJ133" s="291"/>
      <c r="AK133" s="291"/>
      <c r="AL133" s="291"/>
      <c r="AM133" s="291"/>
      <c r="AN133" s="291"/>
      <c r="AO133" s="339"/>
    </row>
    <row r="134" spans="28:41">
      <c r="AB134" s="336"/>
      <c r="AC134" s="291"/>
      <c r="AD134" s="291"/>
      <c r="AE134" s="291"/>
      <c r="AF134" s="291"/>
      <c r="AG134" s="291"/>
      <c r="AH134" s="291"/>
      <c r="AI134" s="291"/>
      <c r="AJ134" s="291"/>
      <c r="AK134" s="291"/>
      <c r="AL134" s="291"/>
      <c r="AM134" s="291"/>
      <c r="AN134" s="291"/>
      <c r="AO134" s="339"/>
    </row>
    <row r="135" spans="28:41">
      <c r="AB135" s="336"/>
      <c r="AC135" s="291"/>
      <c r="AD135" s="291"/>
      <c r="AE135" s="291"/>
      <c r="AF135" s="291"/>
      <c r="AG135" s="291"/>
      <c r="AH135" s="291"/>
      <c r="AI135" s="291"/>
      <c r="AJ135" s="291"/>
      <c r="AK135" s="291"/>
      <c r="AL135" s="291"/>
      <c r="AM135" s="291"/>
      <c r="AN135" s="291"/>
      <c r="AO135" s="339"/>
    </row>
    <row r="136" spans="28:41">
      <c r="AB136" s="336"/>
      <c r="AC136" s="291"/>
      <c r="AD136" s="291"/>
      <c r="AE136" s="291"/>
      <c r="AF136" s="291"/>
      <c r="AG136" s="291"/>
      <c r="AH136" s="291"/>
      <c r="AI136" s="291"/>
      <c r="AJ136" s="291"/>
      <c r="AK136" s="291"/>
      <c r="AL136" s="291"/>
      <c r="AM136" s="291"/>
      <c r="AN136" s="291"/>
      <c r="AO136" s="339"/>
    </row>
    <row r="137" spans="28:41">
      <c r="AB137" s="336"/>
      <c r="AC137" s="291"/>
      <c r="AD137" s="291"/>
      <c r="AE137" s="291"/>
      <c r="AF137" s="291"/>
      <c r="AG137" s="291"/>
      <c r="AH137" s="291"/>
      <c r="AI137" s="291"/>
      <c r="AJ137" s="291"/>
      <c r="AK137" s="291"/>
      <c r="AL137" s="291"/>
      <c r="AM137" s="291"/>
      <c r="AN137" s="291"/>
      <c r="AO137" s="339"/>
    </row>
    <row r="138" spans="28:41">
      <c r="AB138" s="336"/>
      <c r="AC138" s="291"/>
      <c r="AD138" s="291"/>
      <c r="AE138" s="291"/>
      <c r="AF138" s="291"/>
      <c r="AG138" s="291"/>
      <c r="AH138" s="291"/>
      <c r="AI138" s="291"/>
      <c r="AJ138" s="291"/>
      <c r="AK138" s="291"/>
      <c r="AL138" s="291"/>
      <c r="AM138" s="291"/>
      <c r="AN138" s="291"/>
      <c r="AO138" s="339"/>
    </row>
    <row r="139" spans="28:41" ht="13.5" thickBot="1">
      <c r="AB139" s="347"/>
      <c r="AC139" s="348"/>
      <c r="AD139" s="348"/>
      <c r="AE139" s="348"/>
      <c r="AF139" s="348"/>
      <c r="AG139" s="348"/>
      <c r="AH139" s="348"/>
      <c r="AI139" s="348"/>
      <c r="AJ139" s="348"/>
      <c r="AK139" s="348"/>
      <c r="AL139" s="348"/>
      <c r="AM139" s="348"/>
      <c r="AN139" s="348"/>
      <c r="AO139" s="351"/>
    </row>
  </sheetData>
  <mergeCells count="1">
    <mergeCell ref="U29:W29"/>
  </mergeCells>
  <pageMargins left="0.7" right="0.7" top="0.75" bottom="0.75" header="0.3" footer="0.3"/>
  <pageSetup paperSize="9" orientation="portrait" verticalDpi="12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94"/>
  <sheetViews>
    <sheetView zoomScale="85" zoomScaleNormal="85" workbookViewId="0">
      <selection activeCell="B6" sqref="B6"/>
    </sheetView>
  </sheetViews>
  <sheetFormatPr defaultColWidth="9.140625" defaultRowHeight="11.25"/>
  <cols>
    <col min="1" max="3" width="9.140625" style="327"/>
    <col min="4" max="4" width="11.5703125" style="327" bestFit="1" customWidth="1"/>
    <col min="5" max="5" width="47.28515625" style="327" customWidth="1"/>
    <col min="6" max="6" width="12.140625" style="327" customWidth="1"/>
    <col min="7" max="7" width="14" style="327" customWidth="1"/>
    <col min="8" max="8" width="13.28515625" style="327" customWidth="1"/>
    <col min="9" max="9" width="14.140625" style="327" bestFit="1" customWidth="1"/>
    <col min="10" max="10" width="11.7109375" style="327" bestFit="1" customWidth="1"/>
    <col min="11" max="11" width="45.85546875" style="327" customWidth="1"/>
    <col min="12" max="14" width="11.7109375" style="327" customWidth="1"/>
    <col min="15" max="15" width="16.5703125" style="327" customWidth="1"/>
    <col min="16" max="17" width="11.7109375" style="327" customWidth="1"/>
    <col min="18" max="18" width="12.5703125" style="327" bestFit="1" customWidth="1"/>
    <col min="19" max="19" width="13.5703125" style="327" bestFit="1" customWidth="1"/>
    <col min="20" max="23" width="9.140625" style="327"/>
    <col min="24" max="24" width="20.7109375" style="327" bestFit="1" customWidth="1"/>
    <col min="25" max="25" width="36" style="327" customWidth="1"/>
    <col min="26" max="28" width="11.140625" style="327" bestFit="1" customWidth="1"/>
    <col min="29" max="29" width="12" style="327" customWidth="1"/>
    <col min="30" max="30" width="11.140625" style="327" bestFit="1" customWidth="1"/>
    <col min="31" max="16384" width="9.140625" style="327"/>
  </cols>
  <sheetData>
    <row r="1" spans="1:25">
      <c r="A1" s="522" t="s">
        <v>483</v>
      </c>
      <c r="B1" s="522"/>
      <c r="C1" s="523"/>
      <c r="D1" s="523"/>
      <c r="E1" s="523"/>
    </row>
    <row r="4" spans="1:25">
      <c r="D4" s="328">
        <v>43520</v>
      </c>
      <c r="K4" s="519" t="s">
        <v>457</v>
      </c>
      <c r="L4" s="519"/>
      <c r="M4" s="519"/>
      <c r="N4" s="519"/>
      <c r="O4" s="519"/>
    </row>
    <row r="5" spans="1:25">
      <c r="D5" s="352" t="s">
        <v>374</v>
      </c>
      <c r="K5" s="520"/>
      <c r="L5" s="519"/>
      <c r="M5" s="519"/>
      <c r="N5" s="519"/>
      <c r="O5" s="519"/>
    </row>
    <row r="6" spans="1:25">
      <c r="D6" s="352" t="s">
        <v>375</v>
      </c>
    </row>
    <row r="7" spans="1:25">
      <c r="K7" s="401" t="s">
        <v>427</v>
      </c>
      <c r="L7" s="402"/>
      <c r="M7" s="402"/>
      <c r="N7" s="402"/>
      <c r="O7" s="402"/>
    </row>
    <row r="8" spans="1:25">
      <c r="D8" s="327" t="s">
        <v>325</v>
      </c>
    </row>
    <row r="9" spans="1:25">
      <c r="K9" s="327" t="s">
        <v>317</v>
      </c>
    </row>
    <row r="10" spans="1:25">
      <c r="D10" s="327" t="s">
        <v>317</v>
      </c>
    </row>
    <row r="11" spans="1:25">
      <c r="L11" s="352" t="s">
        <v>453</v>
      </c>
      <c r="M11" s="352" t="s">
        <v>452</v>
      </c>
    </row>
    <row r="12" spans="1:25">
      <c r="E12" s="327" t="s">
        <v>124</v>
      </c>
      <c r="K12" s="327">
        <v>2015</v>
      </c>
      <c r="L12" s="331">
        <v>5.109977650337199</v>
      </c>
      <c r="M12" s="327">
        <f>CONVERT(L12,"MJ","PJ")*1000000</f>
        <v>5.1099776503371998E-3</v>
      </c>
    </row>
    <row r="13" spans="1:25" ht="12.75">
      <c r="D13" s="327">
        <v>2015</v>
      </c>
      <c r="E13" s="331">
        <v>5.109977650337199</v>
      </c>
      <c r="K13" s="327">
        <v>2020</v>
      </c>
      <c r="L13" s="379">
        <v>4.6056069783784297</v>
      </c>
      <c r="M13" s="327">
        <f t="shared" ref="M13:M15" si="0">CONVERT(L13,"MJ","PJ")*1000000</f>
        <v>4.6056069783784294E-3</v>
      </c>
      <c r="Y13" s="313" t="s">
        <v>377</v>
      </c>
    </row>
    <row r="14" spans="1:25">
      <c r="D14" s="327">
        <v>2020</v>
      </c>
      <c r="E14" s="379">
        <v>4.6056069783784297</v>
      </c>
      <c r="K14" s="327">
        <v>2035</v>
      </c>
      <c r="L14" s="331">
        <v>4.1283931605379749</v>
      </c>
      <c r="M14" s="327">
        <f t="shared" si="0"/>
        <v>4.1283931605379754E-3</v>
      </c>
    </row>
    <row r="15" spans="1:25">
      <c r="D15" s="327">
        <v>2035</v>
      </c>
      <c r="E15" s="331">
        <v>4.1283931605379749</v>
      </c>
      <c r="K15" s="327">
        <v>2050</v>
      </c>
      <c r="L15" s="331">
        <v>3.7147104254770293</v>
      </c>
      <c r="M15" s="327">
        <f t="shared" si="0"/>
        <v>3.7147104254770299E-3</v>
      </c>
    </row>
    <row r="16" spans="1:25">
      <c r="D16" s="327">
        <v>2050</v>
      </c>
      <c r="E16" s="331">
        <v>3.7147104254770293</v>
      </c>
    </row>
    <row r="17" spans="4:31" ht="16.5" thickBot="1">
      <c r="Y17" s="354" t="s">
        <v>378</v>
      </c>
      <c r="Z17" s="359" t="s">
        <v>387</v>
      </c>
      <c r="AA17" s="359" t="s">
        <v>388</v>
      </c>
      <c r="AB17" s="359" t="s">
        <v>389</v>
      </c>
      <c r="AC17" s="359" t="s">
        <v>390</v>
      </c>
      <c r="AD17" s="359" t="s">
        <v>391</v>
      </c>
      <c r="AE17" s="359">
        <v>2018</v>
      </c>
    </row>
    <row r="18" spans="4:31" ht="15.75" thickBot="1">
      <c r="D18" s="360" t="s">
        <v>343</v>
      </c>
      <c r="E18" s="361"/>
      <c r="F18" s="362"/>
      <c r="K18" s="401" t="s">
        <v>429</v>
      </c>
      <c r="L18" s="402"/>
      <c r="M18" s="402"/>
      <c r="N18" s="402"/>
      <c r="O18" s="402"/>
      <c r="Y18" s="355" t="s">
        <v>379</v>
      </c>
      <c r="Z18" s="356">
        <v>387</v>
      </c>
      <c r="AA18" s="356">
        <v>367</v>
      </c>
      <c r="AB18" s="356">
        <v>374</v>
      </c>
      <c r="AC18" s="356">
        <v>348</v>
      </c>
      <c r="AD18" s="356">
        <v>377</v>
      </c>
      <c r="AE18" s="327">
        <f>SUM(AA18:AD18)</f>
        <v>1466</v>
      </c>
    </row>
    <row r="19" spans="4:31" ht="15.75" thickBot="1">
      <c r="D19" s="363" t="s">
        <v>329</v>
      </c>
      <c r="E19" s="375">
        <f>7320*2</f>
        <v>14640</v>
      </c>
      <c r="F19" s="365"/>
      <c r="K19" s="352" t="s">
        <v>447</v>
      </c>
      <c r="Y19" s="357" t="s">
        <v>380</v>
      </c>
      <c r="Z19" s="358">
        <v>323</v>
      </c>
      <c r="AA19" s="358">
        <v>316</v>
      </c>
      <c r="AB19" s="358">
        <v>318</v>
      </c>
      <c r="AC19" s="358">
        <v>296</v>
      </c>
      <c r="AD19" s="358">
        <v>327</v>
      </c>
      <c r="AE19" s="327">
        <f t="shared" ref="AE19:AE25" si="1">SUM(AA19:AD19)</f>
        <v>1257</v>
      </c>
    </row>
    <row r="20" spans="4:31" ht="15.75" thickBot="1">
      <c r="D20" s="363" t="s">
        <v>330</v>
      </c>
      <c r="E20" s="364">
        <f>6830*2</f>
        <v>13660</v>
      </c>
      <c r="F20" s="365"/>
      <c r="K20" s="386" t="s">
        <v>428</v>
      </c>
      <c r="L20" s="384" t="s">
        <v>404</v>
      </c>
      <c r="M20" s="384" t="s">
        <v>405</v>
      </c>
      <c r="N20" s="384" t="s">
        <v>406</v>
      </c>
      <c r="Y20" s="355" t="s">
        <v>381</v>
      </c>
      <c r="Z20" s="356">
        <v>259</v>
      </c>
      <c r="AA20" s="356">
        <v>261</v>
      </c>
      <c r="AB20" s="356">
        <v>256</v>
      </c>
      <c r="AC20" s="356">
        <v>225</v>
      </c>
      <c r="AD20" s="356">
        <v>267</v>
      </c>
      <c r="AE20" s="327">
        <f t="shared" si="1"/>
        <v>1009</v>
      </c>
    </row>
    <row r="21" spans="4:31" ht="15.75" thickBot="1">
      <c r="D21" s="363" t="s">
        <v>331</v>
      </c>
      <c r="E21" s="364">
        <v>2700</v>
      </c>
      <c r="F21" s="365"/>
      <c r="K21" s="331">
        <f>'Eroad potential'!C20</f>
        <v>0.1</v>
      </c>
      <c r="L21" s="387">
        <f>'Eroad potential'!L20</f>
        <v>232.276295133438</v>
      </c>
      <c r="M21" s="387">
        <f>'Eroad potential'!M20</f>
        <v>344.38775510204084</v>
      </c>
      <c r="N21" s="387">
        <f>'Eroad potential'!N20</f>
        <v>101.85400313971742</v>
      </c>
      <c r="Y21" s="357" t="s">
        <v>382</v>
      </c>
      <c r="Z21" s="358">
        <v>64</v>
      </c>
      <c r="AA21" s="358">
        <v>55</v>
      </c>
      <c r="AB21" s="358">
        <v>63</v>
      </c>
      <c r="AC21" s="358">
        <v>71</v>
      </c>
      <c r="AD21" s="358">
        <v>60</v>
      </c>
      <c r="AE21" s="327">
        <f t="shared" si="1"/>
        <v>249</v>
      </c>
    </row>
    <row r="22" spans="4:31" ht="15.75" thickBot="1">
      <c r="D22" s="366"/>
      <c r="E22" s="367"/>
      <c r="F22" s="368"/>
      <c r="K22" s="331">
        <f>'Eroad potential'!C21-'Eroad potential'!C20</f>
        <v>0.1</v>
      </c>
      <c r="L22" s="387">
        <f>'Eroad potential'!L21</f>
        <v>326.90737833594972</v>
      </c>
      <c r="M22" s="387">
        <f>'Eroad potential'!M21</f>
        <v>484.69387755102036</v>
      </c>
      <c r="N22" s="387">
        <f>'Eroad potential'!N21</f>
        <v>143.35007849293567</v>
      </c>
      <c r="Y22" s="355" t="s">
        <v>383</v>
      </c>
      <c r="Z22" s="356">
        <v>64</v>
      </c>
      <c r="AA22" s="356">
        <v>51</v>
      </c>
      <c r="AB22" s="356">
        <v>55</v>
      </c>
      <c r="AC22" s="356">
        <v>52</v>
      </c>
      <c r="AD22" s="356">
        <v>50</v>
      </c>
      <c r="AE22" s="327">
        <f t="shared" si="1"/>
        <v>208</v>
      </c>
    </row>
    <row r="23" spans="4:31" ht="15.75" thickBot="1">
      <c r="I23" s="327" t="e">
        <f>convert</f>
        <v>#NAME?</v>
      </c>
      <c r="K23" s="331">
        <f>'Eroad potential'!C22-'Eroad potential'!C21</f>
        <v>9.9999999999999978E-2</v>
      </c>
      <c r="L23" s="387">
        <f>'Eroad potential'!L22</f>
        <v>628.00627943485074</v>
      </c>
      <c r="M23" s="387">
        <f>'Eroad potential'!M22</f>
        <v>931.12244897959158</v>
      </c>
      <c r="N23" s="387">
        <f>'Eroad potential'!N22</f>
        <v>275.38304552590256</v>
      </c>
      <c r="Y23" s="357" t="s">
        <v>384</v>
      </c>
      <c r="Z23" s="358">
        <v>17</v>
      </c>
      <c r="AA23" s="358">
        <v>12</v>
      </c>
      <c r="AB23" s="358">
        <v>12</v>
      </c>
      <c r="AC23" s="358">
        <v>11</v>
      </c>
      <c r="AD23" s="358">
        <v>13</v>
      </c>
      <c r="AE23" s="327">
        <f t="shared" si="1"/>
        <v>48</v>
      </c>
    </row>
    <row r="24" spans="4:31" ht="15.75" thickBot="1">
      <c r="K24" s="331">
        <f>'Eroad potential'!C23-'Eroad potential'!C22</f>
        <v>0.10000000000000003</v>
      </c>
      <c r="L24" s="387">
        <f>'Eroad potential'!L23</f>
        <v>1058.1475667189952</v>
      </c>
      <c r="M24" s="387">
        <f>'Eroad potential'!M23</f>
        <v>1568.877551020408</v>
      </c>
      <c r="N24" s="387">
        <f>'Eroad potential'!N23</f>
        <v>464.00156985871274</v>
      </c>
      <c r="Y24" s="355" t="s">
        <v>385</v>
      </c>
      <c r="Z24" s="356">
        <v>36</v>
      </c>
      <c r="AA24" s="356">
        <v>32</v>
      </c>
      <c r="AB24" s="356">
        <v>33</v>
      </c>
      <c r="AC24" s="356">
        <v>31</v>
      </c>
      <c r="AD24" s="356">
        <v>29</v>
      </c>
      <c r="AE24" s="327">
        <f t="shared" si="1"/>
        <v>125</v>
      </c>
    </row>
    <row r="25" spans="4:31" ht="15.75" thickBot="1">
      <c r="K25" s="331">
        <f>'Eroad potential'!C24-'Eroad potential'!C23</f>
        <v>9.9999999999999978E-2</v>
      </c>
      <c r="L25" s="387">
        <f>'Eroad potential'!L24</f>
        <v>1574.3171114599691</v>
      </c>
      <c r="M25" s="387">
        <f>'Eroad potential'!M24</f>
        <v>2334.1836734693884</v>
      </c>
      <c r="N25" s="387">
        <f>'Eroad potential'!N24</f>
        <v>690.34379905808498</v>
      </c>
      <c r="Y25" s="357" t="s">
        <v>386</v>
      </c>
      <c r="Z25" s="358">
        <v>12</v>
      </c>
      <c r="AA25" s="358">
        <v>7</v>
      </c>
      <c r="AB25" s="358">
        <v>10</v>
      </c>
      <c r="AC25" s="358">
        <v>10</v>
      </c>
      <c r="AD25" s="358">
        <v>8</v>
      </c>
      <c r="AE25" s="327">
        <f t="shared" si="1"/>
        <v>35</v>
      </c>
    </row>
    <row r="26" spans="4:31">
      <c r="E26" s="380" t="s">
        <v>333</v>
      </c>
      <c r="F26" s="353"/>
      <c r="G26" s="353"/>
      <c r="H26" s="353"/>
      <c r="K26" s="331">
        <f>'Eroad potential'!C25-'Eroad potential'!C24</f>
        <v>9.9999999999999978E-2</v>
      </c>
      <c r="L26" s="387">
        <f>'Eroad potential'!L25</f>
        <v>2761.5070643642066</v>
      </c>
      <c r="M26" s="387">
        <f>'Eroad potential'!M25</f>
        <v>4094.3877551020405</v>
      </c>
      <c r="N26" s="387">
        <f>'Eroad potential'!N25</f>
        <v>1210.9309262166403</v>
      </c>
    </row>
    <row r="27" spans="4:31">
      <c r="D27" s="352" t="s">
        <v>326</v>
      </c>
      <c r="E27" s="381">
        <v>7.7858414799701858</v>
      </c>
      <c r="K27" s="331">
        <f>'Eroad potential'!C26-'Eroad potential'!C25</f>
        <v>4.8437500000000022E-2</v>
      </c>
      <c r="L27" s="387">
        <f>'Eroad potential'!L26</f>
        <v>4378.8383045525907</v>
      </c>
      <c r="M27" s="387">
        <f>'Eroad potential'!M26</f>
        <v>6492.3469387755104</v>
      </c>
      <c r="N27" s="387">
        <f>'Eroad potential'!N26</f>
        <v>1920.1365777080064</v>
      </c>
    </row>
    <row r="28" spans="4:31">
      <c r="D28" s="352" t="s">
        <v>328</v>
      </c>
      <c r="E28" s="381">
        <v>13.881547989951986</v>
      </c>
      <c r="L28" s="387">
        <f>SUM(L21:L27)</f>
        <v>10960</v>
      </c>
      <c r="M28" s="387">
        <f t="shared" ref="M28:N28" si="2">SUM(M21:M27)</f>
        <v>16250</v>
      </c>
      <c r="N28" s="387">
        <f t="shared" si="2"/>
        <v>4806</v>
      </c>
    </row>
    <row r="29" spans="4:31" ht="15">
      <c r="D29" s="352" t="s">
        <v>332</v>
      </c>
      <c r="E29" s="382">
        <v>8.6999999999999993</v>
      </c>
      <c r="K29" s="352" t="s">
        <v>430</v>
      </c>
      <c r="L29" s="352" t="s">
        <v>431</v>
      </c>
      <c r="Q29" s="327" t="s">
        <v>325</v>
      </c>
      <c r="X29" s="389"/>
    </row>
    <row r="30" spans="4:31" ht="15">
      <c r="K30" s="331">
        <f>SUM(K21:K27)</f>
        <v>0.6484375</v>
      </c>
      <c r="L30" s="331">
        <f>SUM(L21:L27)/'Eroad potential'!D10</f>
        <v>0.11747052518756698</v>
      </c>
      <c r="M30" s="331">
        <f>SUM(M21:M27)/'Eroad potential'!E10</f>
        <v>7.5092421441774498E-2</v>
      </c>
      <c r="N30" s="331">
        <f>SUM(N21:N27)/'Eroad potential'!F10</f>
        <v>6.4313242693501763E-2</v>
      </c>
      <c r="X30" s="389"/>
    </row>
    <row r="31" spans="4:31" ht="15.75" thickBot="1">
      <c r="Q31" s="329" t="s">
        <v>326</v>
      </c>
      <c r="R31" s="329"/>
      <c r="S31" s="390"/>
      <c r="X31" s="389"/>
    </row>
    <row r="32" spans="4:31" ht="16.5" customHeight="1">
      <c r="D32" s="369"/>
      <c r="E32" s="370" t="s">
        <v>376</v>
      </c>
      <c r="F32" s="361"/>
      <c r="G32" s="361"/>
      <c r="H32" s="361"/>
      <c r="I32" s="362"/>
      <c r="K32" s="401" t="s">
        <v>444</v>
      </c>
      <c r="L32" s="402"/>
      <c r="M32" s="402"/>
      <c r="N32" s="402"/>
      <c r="O32" s="402"/>
      <c r="Q32" s="391" t="s">
        <v>291</v>
      </c>
      <c r="R32" s="392" t="s">
        <v>432</v>
      </c>
      <c r="S32" s="393" t="s">
        <v>11</v>
      </c>
      <c r="T32" s="394" t="s">
        <v>433</v>
      </c>
      <c r="U32" s="394" t="s">
        <v>434</v>
      </c>
      <c r="V32" s="394" t="s">
        <v>435</v>
      </c>
      <c r="W32" s="394" t="s">
        <v>436</v>
      </c>
      <c r="X32" s="389"/>
    </row>
    <row r="33" spans="4:24" ht="15">
      <c r="D33" s="371" t="s">
        <v>326</v>
      </c>
      <c r="E33" s="378">
        <v>3590</v>
      </c>
      <c r="F33" s="344"/>
      <c r="G33" s="344"/>
      <c r="H33" s="344"/>
      <c r="I33" s="365"/>
      <c r="L33" s="384" t="s">
        <v>404</v>
      </c>
      <c r="M33" s="384" t="s">
        <v>405</v>
      </c>
      <c r="N33" s="384" t="s">
        <v>406</v>
      </c>
      <c r="Q33" s="330" t="s">
        <v>327</v>
      </c>
      <c r="R33" s="395" t="s">
        <v>437</v>
      </c>
      <c r="S33" s="396" t="s">
        <v>60</v>
      </c>
      <c r="T33" s="397">
        <v>144.40723385707031</v>
      </c>
      <c r="U33" s="397">
        <v>305.89212889001521</v>
      </c>
      <c r="V33" s="397">
        <v>1828.0442688798785</v>
      </c>
      <c r="W33" s="397">
        <v>620.084368373036</v>
      </c>
      <c r="X33" s="389"/>
    </row>
    <row r="34" spans="4:24" ht="15">
      <c r="D34" s="371" t="s">
        <v>328</v>
      </c>
      <c r="E34" s="344">
        <v>1900</v>
      </c>
      <c r="F34" s="344"/>
      <c r="G34" s="344"/>
      <c r="H34" s="344"/>
      <c r="I34" s="365"/>
      <c r="K34" s="352" t="s">
        <v>445</v>
      </c>
      <c r="L34" s="387">
        <f>V44</f>
        <v>19746.399999999998</v>
      </c>
      <c r="M34" s="387">
        <f>X36</f>
        <v>36273.146999999997</v>
      </c>
      <c r="N34" s="387">
        <f>V51</f>
        <v>19750.869609000001</v>
      </c>
      <c r="Q34" s="330" t="s">
        <v>220</v>
      </c>
      <c r="R34" s="395" t="s">
        <v>438</v>
      </c>
      <c r="S34" s="396" t="s">
        <v>60</v>
      </c>
      <c r="T34" s="397">
        <v>1486.669669538772</v>
      </c>
      <c r="U34" s="397">
        <v>3149.1535293968573</v>
      </c>
      <c r="V34" s="397">
        <v>18819.68026482514</v>
      </c>
      <c r="W34" s="397">
        <v>6383.7565362392297</v>
      </c>
      <c r="X34" s="389"/>
    </row>
    <row r="35" spans="4:24" ht="15">
      <c r="D35" s="371" t="s">
        <v>332</v>
      </c>
      <c r="E35" s="344">
        <f>AE18</f>
        <v>1466</v>
      </c>
      <c r="F35" s="372" t="s">
        <v>392</v>
      </c>
      <c r="G35" s="344"/>
      <c r="H35" s="344"/>
      <c r="I35" s="365"/>
      <c r="Q35" s="330" t="s">
        <v>221</v>
      </c>
      <c r="R35" s="395" t="s">
        <v>439</v>
      </c>
      <c r="S35" s="396" t="s">
        <v>60</v>
      </c>
      <c r="T35" s="397">
        <v>176.14577785098817</v>
      </c>
      <c r="U35" s="397">
        <v>373.12263065129241</v>
      </c>
      <c r="V35" s="397">
        <v>2229.8209797896607</v>
      </c>
      <c r="W35" s="397">
        <v>756.36961170805876</v>
      </c>
      <c r="X35" s="389" t="s">
        <v>363</v>
      </c>
    </row>
    <row r="36" spans="4:24" ht="15.75" thickBot="1">
      <c r="D36" s="366"/>
      <c r="E36" s="367"/>
      <c r="F36" s="367"/>
      <c r="G36" s="367"/>
      <c r="H36" s="367"/>
      <c r="I36" s="368"/>
      <c r="Q36" s="398" t="s">
        <v>363</v>
      </c>
      <c r="T36" s="387">
        <f>SUM(T33:T35)</f>
        <v>1807.2226812468305</v>
      </c>
      <c r="U36" s="387">
        <f>SUM(U33:U35)</f>
        <v>3828.1682889381646</v>
      </c>
      <c r="V36" s="387">
        <f>SUM(V33:V35)</f>
        <v>22877.545513494679</v>
      </c>
      <c r="W36" s="387">
        <f>SUM(W33:W35)</f>
        <v>7760.210516320325</v>
      </c>
      <c r="X36" s="399">
        <f>SUM(T36:W36)</f>
        <v>36273.146999999997</v>
      </c>
    </row>
    <row r="37" spans="4:24" ht="15">
      <c r="K37" s="352" t="s">
        <v>446</v>
      </c>
      <c r="L37" s="384" t="s">
        <v>404</v>
      </c>
      <c r="M37" s="384" t="s">
        <v>405</v>
      </c>
      <c r="N37" s="384" t="s">
        <v>406</v>
      </c>
      <c r="X37" s="389"/>
    </row>
    <row r="38" spans="4:24" ht="15">
      <c r="E38" s="352" t="s">
        <v>393</v>
      </c>
      <c r="K38" s="352" t="s">
        <v>396</v>
      </c>
      <c r="L38" s="332">
        <f>L$34*K21</f>
        <v>1974.6399999999999</v>
      </c>
      <c r="M38" s="332">
        <f>M$34*K21</f>
        <v>3627.3146999999999</v>
      </c>
      <c r="N38" s="332">
        <f>N$34*K21</f>
        <v>1975.0869609000001</v>
      </c>
      <c r="X38" s="389"/>
    </row>
    <row r="39" spans="4:24" ht="15">
      <c r="D39" s="352" t="s">
        <v>326</v>
      </c>
      <c r="E39" s="376">
        <f>CONVERT((E33*10^6)*$E$14,"MJ","PJ")</f>
        <v>16.534129052378564</v>
      </c>
      <c r="K39" s="352" t="s">
        <v>397</v>
      </c>
      <c r="L39" s="332">
        <f t="shared" ref="L39:L44" si="3">L$34*K22</f>
        <v>1974.6399999999999</v>
      </c>
      <c r="M39" s="332">
        <f t="shared" ref="M39:M44" si="4">M$34*K22</f>
        <v>3627.3146999999999</v>
      </c>
      <c r="N39" s="332">
        <f t="shared" ref="N39:N44" si="5">N$34*K22</f>
        <v>1975.0869609000001</v>
      </c>
      <c r="Q39" s="329" t="s">
        <v>328</v>
      </c>
      <c r="X39" s="389"/>
    </row>
    <row r="40" spans="4:24" ht="25.5">
      <c r="D40" s="352" t="s">
        <v>328</v>
      </c>
      <c r="E40" s="332">
        <f>CONVERT((E34*10^6)*$E$14,"MJ","PJ")</f>
        <v>8.7506532589190158</v>
      </c>
      <c r="K40" s="352" t="s">
        <v>398</v>
      </c>
      <c r="L40" s="332">
        <f t="shared" si="3"/>
        <v>1974.6399999999994</v>
      </c>
      <c r="M40" s="332">
        <f t="shared" si="4"/>
        <v>3627.314699999999</v>
      </c>
      <c r="N40" s="332">
        <f t="shared" si="5"/>
        <v>1975.0869608999997</v>
      </c>
      <c r="Q40" s="391" t="s">
        <v>291</v>
      </c>
      <c r="R40" s="392" t="s">
        <v>432</v>
      </c>
      <c r="S40" s="393" t="s">
        <v>11</v>
      </c>
      <c r="T40" s="394" t="s">
        <v>440</v>
      </c>
      <c r="U40" s="394" t="s">
        <v>441</v>
      </c>
      <c r="X40" s="389"/>
    </row>
    <row r="41" spans="4:24" ht="15">
      <c r="D41" s="352" t="s">
        <v>332</v>
      </c>
      <c r="E41" s="332">
        <f>CONVERT((E35*10^6)*$E$14,"MJ","PJ")</f>
        <v>6.7518198303027788</v>
      </c>
      <c r="K41" s="352" t="s">
        <v>399</v>
      </c>
      <c r="L41" s="332">
        <f t="shared" si="3"/>
        <v>1974.6400000000003</v>
      </c>
      <c r="M41" s="332">
        <f t="shared" si="4"/>
        <v>3627.3147000000008</v>
      </c>
      <c r="N41" s="332">
        <f t="shared" si="5"/>
        <v>1975.0869609000008</v>
      </c>
      <c r="Q41" s="330" t="s">
        <v>327</v>
      </c>
      <c r="R41" s="395" t="s">
        <v>437</v>
      </c>
      <c r="S41" s="396" t="s">
        <v>60</v>
      </c>
      <c r="T41" s="397">
        <v>2077.9809890426641</v>
      </c>
      <c r="U41" s="397">
        <v>665.58972729485959</v>
      </c>
      <c r="X41" s="389"/>
    </row>
    <row r="42" spans="4:24" ht="15">
      <c r="K42" s="352" t="s">
        <v>400</v>
      </c>
      <c r="L42" s="332">
        <f t="shared" si="3"/>
        <v>1974.6399999999994</v>
      </c>
      <c r="M42" s="332">
        <f t="shared" si="4"/>
        <v>3627.314699999999</v>
      </c>
      <c r="N42" s="332">
        <f t="shared" si="5"/>
        <v>1975.0869608999997</v>
      </c>
      <c r="Q42" s="330" t="s">
        <v>220</v>
      </c>
      <c r="R42" s="395" t="s">
        <v>438</v>
      </c>
      <c r="S42" s="396" t="s">
        <v>60</v>
      </c>
      <c r="T42" s="397">
        <v>10297.86241848009</v>
      </c>
      <c r="U42" s="397">
        <v>3298.4668651823845</v>
      </c>
      <c r="X42" s="389"/>
    </row>
    <row r="43" spans="4:24" ht="15">
      <c r="K43" s="352" t="s">
        <v>401</v>
      </c>
      <c r="L43" s="332">
        <f t="shared" si="3"/>
        <v>1974.6399999999994</v>
      </c>
      <c r="M43" s="332">
        <f t="shared" si="4"/>
        <v>3627.314699999999</v>
      </c>
      <c r="N43" s="332">
        <f t="shared" si="5"/>
        <v>1975.0869608999997</v>
      </c>
      <c r="Q43" s="330" t="s">
        <v>221</v>
      </c>
      <c r="R43" s="395" t="s">
        <v>439</v>
      </c>
      <c r="S43" s="396" t="s">
        <v>60</v>
      </c>
      <c r="T43" s="397">
        <v>2126.4621871677914</v>
      </c>
      <c r="U43" s="397">
        <v>1280.0378128322077</v>
      </c>
      <c r="V43" s="398" t="s">
        <v>363</v>
      </c>
      <c r="X43" s="389"/>
    </row>
    <row r="44" spans="4:24" ht="15">
      <c r="E44" s="352" t="s">
        <v>394</v>
      </c>
      <c r="K44" s="352" t="s">
        <v>402</v>
      </c>
      <c r="L44" s="332">
        <f t="shared" si="3"/>
        <v>956.46625000000029</v>
      </c>
      <c r="M44" s="332">
        <f t="shared" si="4"/>
        <v>1756.9805578125006</v>
      </c>
      <c r="N44" s="332">
        <f t="shared" si="5"/>
        <v>956.68274668593801</v>
      </c>
      <c r="Q44" s="398" t="s">
        <v>363</v>
      </c>
      <c r="T44" s="387">
        <f>SUM(T41:T43)</f>
        <v>14502.305594690546</v>
      </c>
      <c r="U44" s="387">
        <f>SUM(U41:U43)</f>
        <v>5244.0944053094518</v>
      </c>
      <c r="V44" s="399">
        <f>SUM(T44:U44)</f>
        <v>19746.399999999998</v>
      </c>
      <c r="X44" s="389"/>
    </row>
    <row r="45" spans="4:24" ht="15">
      <c r="D45" s="352" t="s">
        <v>326</v>
      </c>
      <c r="E45" s="377">
        <f>E39/E19</f>
        <v>1.1293803997526341E-3</v>
      </c>
      <c r="X45" s="389"/>
    </row>
    <row r="46" spans="4:24" ht="24">
      <c r="D46" s="352" t="s">
        <v>328</v>
      </c>
      <c r="E46" s="327">
        <f>E40/E20</f>
        <v>6.4060419172174343E-4</v>
      </c>
      <c r="K46" s="403" t="s">
        <v>448</v>
      </c>
      <c r="L46" s="404" t="s">
        <v>404</v>
      </c>
      <c r="M46" s="404" t="s">
        <v>405</v>
      </c>
      <c r="N46" s="404" t="s">
        <v>450</v>
      </c>
      <c r="O46" s="352" t="s">
        <v>449</v>
      </c>
      <c r="Q46" s="329" t="s">
        <v>332</v>
      </c>
      <c r="R46" s="329"/>
      <c r="S46" s="390"/>
      <c r="X46" s="389"/>
    </row>
    <row r="47" spans="4:24" ht="25.5">
      <c r="D47" s="352" t="s">
        <v>332</v>
      </c>
      <c r="E47" s="327">
        <f>E41/E21</f>
        <v>2.5006740112232515E-3</v>
      </c>
      <c r="L47" s="327">
        <v>13.881547989951986</v>
      </c>
      <c r="M47" s="327">
        <v>7.7858414799701858</v>
      </c>
      <c r="N47" s="327">
        <v>11.19</v>
      </c>
      <c r="O47" s="327">
        <v>8.6999999999999993</v>
      </c>
      <c r="Q47" s="391" t="s">
        <v>291</v>
      </c>
      <c r="R47" s="392" t="s">
        <v>432</v>
      </c>
      <c r="S47" s="393" t="s">
        <v>11</v>
      </c>
      <c r="T47" s="394" t="s">
        <v>442</v>
      </c>
      <c r="U47" s="394" t="s">
        <v>443</v>
      </c>
      <c r="X47" s="389"/>
    </row>
    <row r="48" spans="4:24" ht="15">
      <c r="Q48" s="330" t="s">
        <v>327</v>
      </c>
      <c r="R48" s="395" t="s">
        <v>437</v>
      </c>
      <c r="S48" s="396" t="s">
        <v>60</v>
      </c>
      <c r="T48" s="397">
        <v>606.13210800000002</v>
      </c>
      <c r="U48" s="397">
        <v>606.13210800000002</v>
      </c>
      <c r="X48" s="389"/>
    </row>
    <row r="49" spans="4:25" ht="15">
      <c r="L49" s="384" t="s">
        <v>404</v>
      </c>
      <c r="M49" s="384" t="s">
        <v>405</v>
      </c>
      <c r="N49" s="384" t="s">
        <v>406</v>
      </c>
      <c r="Q49" s="330" t="s">
        <v>220</v>
      </c>
      <c r="R49" s="395" t="s">
        <v>438</v>
      </c>
      <c r="S49" s="396" t="s">
        <v>60</v>
      </c>
      <c r="T49" s="397">
        <v>4395.2079465000006</v>
      </c>
      <c r="U49" s="397">
        <v>4395.2079465000006</v>
      </c>
      <c r="X49" s="389"/>
    </row>
    <row r="50" spans="4:25" ht="15">
      <c r="E50" s="352" t="s">
        <v>395</v>
      </c>
      <c r="L50" s="331">
        <f>L47</f>
        <v>13.881547989951986</v>
      </c>
      <c r="M50" s="331">
        <f>M47</f>
        <v>7.7858414799701858</v>
      </c>
      <c r="N50" s="331">
        <f>AVERAGE(N47:O47)</f>
        <v>9.9450000000000003</v>
      </c>
      <c r="Q50" s="330" t="s">
        <v>221</v>
      </c>
      <c r="R50" s="395" t="s">
        <v>439</v>
      </c>
      <c r="S50" s="396" t="s">
        <v>60</v>
      </c>
      <c r="T50" s="397">
        <v>4874.0947500000002</v>
      </c>
      <c r="U50" s="397">
        <v>4874.0947500000002</v>
      </c>
      <c r="V50" s="398" t="s">
        <v>363</v>
      </c>
      <c r="X50" s="389"/>
      <c r="Y50" s="313" t="s">
        <v>344</v>
      </c>
    </row>
    <row r="51" spans="4:25" ht="15">
      <c r="D51" s="352"/>
      <c r="E51" s="327">
        <f>SUMPRODUCT(E19:E21,E45:E47)/SUM(E19:E21)</f>
        <v>1.0334387787613018E-3</v>
      </c>
      <c r="Q51" s="400" t="s">
        <v>363</v>
      </c>
      <c r="R51" s="389"/>
      <c r="S51" s="389"/>
      <c r="T51" s="399">
        <f>SUM(T48:T50)</f>
        <v>9875.4348045000006</v>
      </c>
      <c r="U51" s="399">
        <f>SUM(U48:U50)</f>
        <v>9875.4348045000006</v>
      </c>
      <c r="V51" s="399">
        <f>SUM(T51:U51)</f>
        <v>19750.869609000001</v>
      </c>
      <c r="W51" s="389"/>
      <c r="X51" s="389"/>
    </row>
    <row r="52" spans="4:25" ht="15">
      <c r="D52" s="352"/>
      <c r="K52" s="352" t="s">
        <v>451</v>
      </c>
      <c r="L52" s="384" t="s">
        <v>404</v>
      </c>
      <c r="M52" s="384" t="s">
        <v>405</v>
      </c>
      <c r="N52" s="384" t="s">
        <v>406</v>
      </c>
    </row>
    <row r="53" spans="4:25">
      <c r="D53" s="352"/>
      <c r="K53" s="352" t="s">
        <v>396</v>
      </c>
      <c r="L53" s="332">
        <f>L38/L$50</f>
        <v>142.24926509848342</v>
      </c>
      <c r="M53" s="332">
        <f t="shared" ref="M53:N53" si="6">M38/M$50</f>
        <v>465.88602007009905</v>
      </c>
      <c r="N53" s="332">
        <f t="shared" si="6"/>
        <v>198.60100159879337</v>
      </c>
    </row>
    <row r="54" spans="4:25">
      <c r="K54" s="352" t="s">
        <v>397</v>
      </c>
      <c r="L54" s="332">
        <f t="shared" ref="L54:N59" si="7">L39/L$50</f>
        <v>142.24926509848342</v>
      </c>
      <c r="M54" s="332">
        <f t="shared" si="7"/>
        <v>465.88602007009905</v>
      </c>
      <c r="N54" s="332">
        <f t="shared" si="7"/>
        <v>198.60100159879337</v>
      </c>
    </row>
    <row r="55" spans="4:25">
      <c r="K55" s="352" t="s">
        <v>398</v>
      </c>
      <c r="L55" s="332">
        <f t="shared" si="7"/>
        <v>142.24926509848339</v>
      </c>
      <c r="M55" s="332">
        <f t="shared" si="7"/>
        <v>465.88602007009894</v>
      </c>
      <c r="N55" s="332">
        <f t="shared" si="7"/>
        <v>198.60100159879332</v>
      </c>
    </row>
    <row r="56" spans="4:25">
      <c r="K56" s="352" t="s">
        <v>399</v>
      </c>
      <c r="L56" s="332">
        <f t="shared" si="7"/>
        <v>142.24926509848345</v>
      </c>
      <c r="M56" s="332">
        <f t="shared" si="7"/>
        <v>465.88602007009922</v>
      </c>
      <c r="N56" s="332">
        <f t="shared" si="7"/>
        <v>198.60100159879343</v>
      </c>
    </row>
    <row r="57" spans="4:25">
      <c r="K57" s="352" t="s">
        <v>400</v>
      </c>
      <c r="L57" s="332">
        <f t="shared" si="7"/>
        <v>142.24926509848339</v>
      </c>
      <c r="M57" s="332">
        <f t="shared" si="7"/>
        <v>465.88602007009894</v>
      </c>
      <c r="N57" s="332">
        <f t="shared" si="7"/>
        <v>198.60100159879332</v>
      </c>
    </row>
    <row r="58" spans="4:25">
      <c r="K58" s="352" t="s">
        <v>401</v>
      </c>
      <c r="L58" s="332">
        <f t="shared" si="7"/>
        <v>142.24926509848339</v>
      </c>
      <c r="M58" s="332">
        <f t="shared" si="7"/>
        <v>465.88602007009894</v>
      </c>
      <c r="N58" s="332">
        <f t="shared" si="7"/>
        <v>198.60100159879332</v>
      </c>
    </row>
    <row r="59" spans="4:25">
      <c r="K59" s="352" t="s">
        <v>402</v>
      </c>
      <c r="L59" s="332">
        <f t="shared" si="7"/>
        <v>68.901987782077939</v>
      </c>
      <c r="M59" s="332">
        <f t="shared" si="7"/>
        <v>225.66354097145432</v>
      </c>
      <c r="N59" s="332">
        <f t="shared" si="7"/>
        <v>96.197360149415587</v>
      </c>
    </row>
    <row r="60" spans="4:25">
      <c r="L60" s="332"/>
      <c r="M60" s="332"/>
      <c r="N60" s="332"/>
    </row>
    <row r="62" spans="4:25">
      <c r="K62" s="401" t="s">
        <v>393</v>
      </c>
      <c r="L62" s="402"/>
      <c r="M62" s="402"/>
      <c r="N62" s="402"/>
      <c r="O62" s="402"/>
    </row>
    <row r="64" spans="4:25" ht="15">
      <c r="L64" s="384" t="s">
        <v>404</v>
      </c>
      <c r="M64" s="384" t="s">
        <v>405</v>
      </c>
      <c r="N64" s="384" t="s">
        <v>406</v>
      </c>
    </row>
    <row r="65" spans="11:15">
      <c r="K65" s="352" t="s">
        <v>396</v>
      </c>
      <c r="L65" s="388">
        <f>CONVERT((L53*10^6)*$L$13,"MJ","PJ")</f>
        <v>0.65514420800677842</v>
      </c>
      <c r="M65" s="388">
        <f t="shared" ref="M65:N65" si="8">CONVERT((M53*10^6)*$L$13,"MJ","PJ")</f>
        <v>2.1456879051638018</v>
      </c>
      <c r="N65" s="388">
        <f t="shared" si="8"/>
        <v>0.9146781588763484</v>
      </c>
    </row>
    <row r="66" spans="11:15">
      <c r="K66" s="352" t="s">
        <v>397</v>
      </c>
      <c r="L66" s="388">
        <f t="shared" ref="L66:N71" si="9">CONVERT((L54*10^6)*$L$13,"MJ","PJ")</f>
        <v>0.65514420800677842</v>
      </c>
      <c r="M66" s="388">
        <f t="shared" si="9"/>
        <v>2.1456879051638018</v>
      </c>
      <c r="N66" s="388">
        <f t="shared" si="9"/>
        <v>0.9146781588763484</v>
      </c>
    </row>
    <row r="67" spans="11:15">
      <c r="K67" s="352" t="s">
        <v>398</v>
      </c>
      <c r="L67" s="388">
        <f t="shared" si="9"/>
        <v>0.65514420800677831</v>
      </c>
      <c r="M67" s="388">
        <f t="shared" si="9"/>
        <v>2.1456879051638009</v>
      </c>
      <c r="N67" s="388">
        <f t="shared" si="9"/>
        <v>0.91467815887634829</v>
      </c>
    </row>
    <row r="68" spans="11:15">
      <c r="K68" s="352" t="s">
        <v>399</v>
      </c>
      <c r="L68" s="388">
        <f t="shared" si="9"/>
        <v>0.65514420800677864</v>
      </c>
      <c r="M68" s="388">
        <f t="shared" si="9"/>
        <v>2.1456879051638023</v>
      </c>
      <c r="N68" s="388">
        <f t="shared" si="9"/>
        <v>0.91467815887634862</v>
      </c>
    </row>
    <row r="69" spans="11:15">
      <c r="K69" s="352" t="s">
        <v>400</v>
      </c>
      <c r="L69" s="388">
        <f t="shared" si="9"/>
        <v>0.65514420800677831</v>
      </c>
      <c r="M69" s="388">
        <f t="shared" si="9"/>
        <v>2.1456879051638009</v>
      </c>
      <c r="N69" s="388">
        <f t="shared" si="9"/>
        <v>0.91467815887634829</v>
      </c>
    </row>
    <row r="70" spans="11:15">
      <c r="K70" s="352" t="s">
        <v>401</v>
      </c>
      <c r="L70" s="388">
        <f t="shared" si="9"/>
        <v>0.65514420800677831</v>
      </c>
      <c r="M70" s="388">
        <f t="shared" si="9"/>
        <v>2.1456879051638009</v>
      </c>
      <c r="N70" s="388">
        <f t="shared" si="9"/>
        <v>0.91467815887634829</v>
      </c>
    </row>
    <row r="71" spans="11:15">
      <c r="K71" s="352" t="s">
        <v>402</v>
      </c>
      <c r="L71" s="388">
        <f t="shared" si="9"/>
        <v>0.31733547575328347</v>
      </c>
      <c r="M71" s="388">
        <f t="shared" si="9"/>
        <v>1.0393175790637168</v>
      </c>
      <c r="N71" s="388">
        <f t="shared" si="9"/>
        <v>0.44304723320573147</v>
      </c>
    </row>
    <row r="72" spans="11:15">
      <c r="L72" s="388"/>
      <c r="M72" s="388"/>
      <c r="N72" s="388"/>
    </row>
    <row r="74" spans="11:15">
      <c r="K74" s="401" t="s">
        <v>454</v>
      </c>
      <c r="L74" s="401"/>
      <c r="M74" s="401"/>
      <c r="N74" s="401"/>
      <c r="O74" s="401"/>
    </row>
    <row r="76" spans="11:15" ht="15">
      <c r="L76" s="384" t="s">
        <v>404</v>
      </c>
      <c r="M76" s="384" t="s">
        <v>405</v>
      </c>
      <c r="N76" s="384" t="s">
        <v>406</v>
      </c>
      <c r="O76" s="352" t="s">
        <v>342</v>
      </c>
    </row>
    <row r="77" spans="11:15">
      <c r="K77" s="352" t="s">
        <v>396</v>
      </c>
      <c r="L77" s="409">
        <f>L65/L21</f>
        <v>2.8205383921351568E-3</v>
      </c>
      <c r="M77" s="409">
        <f t="shared" ref="M77:N77" si="10">M65/M21</f>
        <v>6.2304419172163721E-3</v>
      </c>
      <c r="N77" s="409">
        <f t="shared" si="10"/>
        <v>8.98028678972633E-3</v>
      </c>
      <c r="O77" s="409">
        <f>L88</f>
        <v>6.0104223663592872E-3</v>
      </c>
    </row>
    <row r="78" spans="11:15">
      <c r="K78" s="352" t="s">
        <v>397</v>
      </c>
      <c r="L78" s="409">
        <f t="shared" ref="L78:N83" si="11">L66/L22</f>
        <v>2.0040667523065592E-3</v>
      </c>
      <c r="M78" s="409">
        <f t="shared" si="11"/>
        <v>4.4268929411800549E-3</v>
      </c>
      <c r="N78" s="409">
        <f t="shared" si="11"/>
        <v>6.3807300874371272E-3</v>
      </c>
      <c r="O78" s="409">
        <f t="shared" ref="O78:O83" si="12">L89</f>
        <v>4.270563260307913E-3</v>
      </c>
    </row>
    <row r="79" spans="11:15">
      <c r="K79" s="352" t="s">
        <v>398</v>
      </c>
      <c r="L79" s="409">
        <f t="shared" si="11"/>
        <v>1.0432128299677978E-3</v>
      </c>
      <c r="M79" s="409">
        <f t="shared" si="11"/>
        <v>2.3044100241759184E-3</v>
      </c>
      <c r="N79" s="409">
        <f t="shared" si="11"/>
        <v>3.3214759359261772E-3</v>
      </c>
      <c r="O79" s="409">
        <f t="shared" si="12"/>
        <v>2.2230329300232977E-3</v>
      </c>
    </row>
    <row r="80" spans="11:15">
      <c r="K80" s="352" t="s">
        <v>399</v>
      </c>
      <c r="L80" s="409">
        <f t="shared" si="11"/>
        <v>6.191425738833274E-4</v>
      </c>
      <c r="M80" s="409">
        <f t="shared" si="11"/>
        <v>1.3676579818279848E-3</v>
      </c>
      <c r="N80" s="409">
        <f t="shared" si="11"/>
        <v>1.9712824660374872E-3</v>
      </c>
      <c r="O80" s="409">
        <f t="shared" si="12"/>
        <v>1.3193610072496E-3</v>
      </c>
    </row>
    <row r="81" spans="11:15">
      <c r="K81" s="352" t="s">
        <v>400</v>
      </c>
      <c r="L81" s="409">
        <f t="shared" si="11"/>
        <v>4.1614500867567875E-4</v>
      </c>
      <c r="M81" s="409">
        <f t="shared" si="11"/>
        <v>9.1924552876962808E-4</v>
      </c>
      <c r="N81" s="409">
        <f t="shared" si="11"/>
        <v>1.3249603460251955E-3</v>
      </c>
      <c r="O81" s="409">
        <f t="shared" si="12"/>
        <v>8.8678362782350069E-4</v>
      </c>
    </row>
    <row r="82" spans="11:15">
      <c r="K82" s="352" t="s">
        <v>401</v>
      </c>
      <c r="L82" s="409">
        <f t="shared" si="11"/>
        <v>2.3724154700202258E-4</v>
      </c>
      <c r="M82" s="409">
        <f t="shared" si="11"/>
        <v>5.2405586219576947E-4</v>
      </c>
      <c r="N82" s="409">
        <f t="shared" si="11"/>
        <v>7.5535122530408379E-4</v>
      </c>
      <c r="O82" s="409">
        <f t="shared" si="12"/>
        <v>5.0554954483395854E-4</v>
      </c>
    </row>
    <row r="83" spans="11:15">
      <c r="K83" s="352" t="s">
        <v>402</v>
      </c>
      <c r="L83" s="409">
        <f t="shared" si="11"/>
        <v>7.247024294625269E-5</v>
      </c>
      <c r="M83" s="409">
        <f t="shared" si="11"/>
        <v>1.6008349351393988E-4</v>
      </c>
      <c r="N83" s="409">
        <f t="shared" si="11"/>
        <v>2.3073735397227837E-4</v>
      </c>
      <c r="O83" s="409">
        <f t="shared" si="12"/>
        <v>1.5443036347749032E-4</v>
      </c>
    </row>
    <row r="85" spans="11:15">
      <c r="K85" s="352" t="s">
        <v>455</v>
      </c>
      <c r="L85" s="405">
        <f>AVERAGE(L77:L83)</f>
        <v>1.0304024781309707E-3</v>
      </c>
      <c r="M85" s="405">
        <f t="shared" ref="M85:N85" si="13">AVERAGE(M77:M83)</f>
        <v>2.2761125355542379E-3</v>
      </c>
      <c r="N85" s="405">
        <f t="shared" si="13"/>
        <v>3.2806891720612396E-3</v>
      </c>
    </row>
    <row r="87" spans="11:15">
      <c r="K87" s="352" t="s">
        <v>456</v>
      </c>
      <c r="L87" s="405"/>
    </row>
    <row r="88" spans="11:15">
      <c r="K88" s="352" t="s">
        <v>396</v>
      </c>
      <c r="L88" s="405">
        <f>AVERAGE(L77:N77)</f>
        <v>6.0104223663592872E-3</v>
      </c>
    </row>
    <row r="89" spans="11:15">
      <c r="K89" s="352" t="s">
        <v>397</v>
      </c>
      <c r="L89" s="405">
        <f t="shared" ref="L89:L94" si="14">AVERAGE(L78:N78)</f>
        <v>4.270563260307913E-3</v>
      </c>
    </row>
    <row r="90" spans="11:15">
      <c r="K90" s="352" t="s">
        <v>398</v>
      </c>
      <c r="L90" s="405">
        <f t="shared" si="14"/>
        <v>2.2230329300232977E-3</v>
      </c>
    </row>
    <row r="91" spans="11:15">
      <c r="K91" s="352" t="s">
        <v>399</v>
      </c>
      <c r="L91" s="405">
        <f t="shared" si="14"/>
        <v>1.3193610072496E-3</v>
      </c>
    </row>
    <row r="92" spans="11:15">
      <c r="K92" s="352" t="s">
        <v>400</v>
      </c>
      <c r="L92" s="405">
        <f t="shared" si="14"/>
        <v>8.8678362782350069E-4</v>
      </c>
    </row>
    <row r="93" spans="11:15">
      <c r="K93" s="352" t="s">
        <v>401</v>
      </c>
      <c r="L93" s="405">
        <f t="shared" si="14"/>
        <v>5.0554954483395854E-4</v>
      </c>
    </row>
    <row r="94" spans="11:15">
      <c r="K94" s="352" t="s">
        <v>402</v>
      </c>
      <c r="L94" s="405">
        <f t="shared" si="14"/>
        <v>1.5443036347749032E-4</v>
      </c>
    </row>
  </sheetData>
  <hyperlinks>
    <hyperlink ref="Y50" r:id="rId1" xr:uid="{00000000-0004-0000-0400-000000000000}"/>
    <hyperlink ref="Y13" r:id="rId2" xr:uid="{00000000-0004-0000-0400-000001000000}"/>
  </hyperlinks>
  <pageMargins left="0.7" right="0.7" top="0.75" bottom="0.75" header="0.3" footer="0.3"/>
  <pageSetup paperSize="9" orientation="portrait" horizontalDpi="300" verticalDpi="300"/>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2F5B-22AD-47F8-A65D-6C3AC032BCC8}">
  <dimension ref="B4:T95"/>
  <sheetViews>
    <sheetView zoomScale="55" zoomScaleNormal="55" workbookViewId="0">
      <selection activeCell="B95" sqref="B95"/>
    </sheetView>
  </sheetViews>
  <sheetFormatPr defaultRowHeight="12.75"/>
  <cols>
    <col min="1" max="2" width="9.140625" style="288"/>
    <col min="3" max="3" width="23" style="288" customWidth="1"/>
    <col min="4" max="16" width="9.140625" style="288"/>
    <col min="17" max="17" width="10.7109375" style="288" bestFit="1" customWidth="1"/>
    <col min="18" max="18" width="11.85546875" style="288" bestFit="1" customWidth="1"/>
    <col min="19" max="19" width="10.7109375" style="288" bestFit="1" customWidth="1"/>
    <col min="20" max="16384" width="9.140625" style="288"/>
  </cols>
  <sheetData>
    <row r="4" spans="2:20" ht="13.5" thickBot="1"/>
    <row r="5" spans="2:20">
      <c r="B5" s="333"/>
      <c r="C5" s="334"/>
      <c r="D5" s="334" t="s">
        <v>403</v>
      </c>
      <c r="E5" s="334"/>
      <c r="F5" s="334"/>
      <c r="G5" s="334"/>
      <c r="H5" s="334"/>
      <c r="I5" s="334"/>
      <c r="J5" s="334"/>
      <c r="K5" s="334"/>
      <c r="L5" s="334"/>
      <c r="M5" s="334"/>
      <c r="N5" s="334"/>
      <c r="O5" s="335"/>
    </row>
    <row r="6" spans="2:20">
      <c r="B6" s="336"/>
      <c r="C6" s="291"/>
      <c r="D6" s="291" t="s">
        <v>404</v>
      </c>
      <c r="E6" s="291" t="s">
        <v>405</v>
      </c>
      <c r="F6" s="291" t="s">
        <v>406</v>
      </c>
      <c r="G6" s="291"/>
      <c r="H6" s="291"/>
      <c r="I6" s="291"/>
      <c r="J6" s="291"/>
      <c r="K6" s="291"/>
      <c r="L6" s="291"/>
      <c r="M6" s="291"/>
      <c r="N6" s="291"/>
      <c r="O6" s="339"/>
    </row>
    <row r="7" spans="2:20">
      <c r="B7" s="336"/>
      <c r="C7" s="291" t="s">
        <v>407</v>
      </c>
      <c r="D7" s="291">
        <v>6830</v>
      </c>
      <c r="E7" s="291">
        <v>7320</v>
      </c>
      <c r="F7" s="291">
        <v>945</v>
      </c>
      <c r="G7" s="291"/>
      <c r="H7" s="291"/>
      <c r="I7" s="291"/>
      <c r="J7" s="291"/>
      <c r="K7" s="291"/>
      <c r="L7" s="291"/>
      <c r="M7" s="291"/>
      <c r="N7" s="291"/>
      <c r="O7" s="339"/>
    </row>
    <row r="8" spans="2:20">
      <c r="B8" s="336"/>
      <c r="C8" s="291" t="s">
        <v>408</v>
      </c>
      <c r="D8" s="291">
        <v>4100</v>
      </c>
      <c r="E8" s="291">
        <v>8940</v>
      </c>
      <c r="F8" s="291">
        <v>3861</v>
      </c>
      <c r="G8" s="291"/>
      <c r="H8" s="291"/>
      <c r="I8" s="291"/>
      <c r="J8" s="291"/>
      <c r="K8" s="291"/>
      <c r="L8" s="291"/>
      <c r="M8" s="291"/>
      <c r="N8" s="291"/>
      <c r="O8" s="339"/>
    </row>
    <row r="9" spans="2:20">
      <c r="B9" s="336"/>
      <c r="C9" s="383" t="s">
        <v>409</v>
      </c>
      <c r="D9" s="383">
        <v>10960</v>
      </c>
      <c r="E9" s="383">
        <v>16250</v>
      </c>
      <c r="F9" s="383">
        <f>SUM(F7:F8)</f>
        <v>4806</v>
      </c>
      <c r="G9" s="291"/>
      <c r="H9" s="291"/>
      <c r="I9" s="291"/>
      <c r="J9" s="291"/>
      <c r="K9" s="291"/>
      <c r="L9" s="291"/>
      <c r="M9" s="291"/>
      <c r="N9" s="291"/>
      <c r="O9" s="339"/>
    </row>
    <row r="10" spans="2:20">
      <c r="B10" s="336"/>
      <c r="C10" s="291" t="s">
        <v>410</v>
      </c>
      <c r="D10" s="291">
        <v>93300</v>
      </c>
      <c r="E10" s="291">
        <v>216400</v>
      </c>
      <c r="F10" s="291">
        <v>74728</v>
      </c>
      <c r="G10" s="291"/>
      <c r="H10" s="291"/>
      <c r="I10" s="291"/>
      <c r="J10" s="291"/>
      <c r="K10" s="291"/>
      <c r="L10" s="291"/>
      <c r="M10" s="291"/>
      <c r="N10" s="291"/>
      <c r="O10" s="339"/>
    </row>
    <row r="11" spans="2:20">
      <c r="B11" s="336"/>
      <c r="C11" s="291"/>
      <c r="D11" s="291"/>
      <c r="E11" s="291"/>
      <c r="F11" s="291"/>
      <c r="G11" s="291"/>
      <c r="H11" s="291"/>
      <c r="I11" s="291"/>
      <c r="J11" s="291"/>
      <c r="K11" s="291"/>
      <c r="L11" s="291"/>
      <c r="M11" s="291"/>
      <c r="N11" s="291"/>
      <c r="O11" s="339"/>
    </row>
    <row r="12" spans="2:20">
      <c r="B12" s="336"/>
      <c r="C12" s="291"/>
      <c r="D12" s="291"/>
      <c r="E12" s="291"/>
      <c r="F12" s="291"/>
      <c r="G12" s="291"/>
      <c r="H12" s="291"/>
      <c r="I12" s="291"/>
      <c r="J12" s="291"/>
      <c r="K12" s="291"/>
      <c r="L12" s="291"/>
      <c r="M12" s="291"/>
      <c r="N12" s="291"/>
      <c r="O12" s="339"/>
    </row>
    <row r="13" spans="2:20">
      <c r="B13" s="336"/>
      <c r="C13" s="291"/>
      <c r="D13" s="291"/>
      <c r="E13" s="291"/>
      <c r="F13" s="291"/>
      <c r="G13" s="291"/>
      <c r="H13" s="291"/>
      <c r="I13" s="291"/>
      <c r="J13" s="291"/>
      <c r="K13" s="291"/>
      <c r="L13" s="291"/>
      <c r="M13" s="291"/>
      <c r="N13" s="291"/>
      <c r="O13" s="339"/>
    </row>
    <row r="14" spans="2:20" ht="13.5" thickBot="1">
      <c r="B14" s="347"/>
      <c r="C14" s="348"/>
      <c r="D14" s="348"/>
      <c r="E14" s="348"/>
      <c r="F14" s="348"/>
      <c r="G14" s="348"/>
      <c r="H14" s="348"/>
      <c r="I14" s="348"/>
      <c r="J14" s="348"/>
      <c r="K14" s="348"/>
      <c r="L14" s="348"/>
      <c r="M14" s="348"/>
      <c r="N14" s="348"/>
      <c r="O14" s="351"/>
    </row>
    <row r="15" spans="2:20">
      <c r="B15" s="333"/>
      <c r="C15" s="334"/>
      <c r="D15" s="334"/>
      <c r="E15" s="334"/>
      <c r="F15" s="334"/>
      <c r="G15" s="334"/>
      <c r="H15" s="334"/>
      <c r="I15" s="334"/>
      <c r="J15" s="334"/>
      <c r="K15" s="334"/>
      <c r="L15" s="334"/>
      <c r="M15" s="334"/>
      <c r="N15" s="334"/>
      <c r="O15" s="335"/>
      <c r="P15" s="333"/>
      <c r="Q15" s="334"/>
      <c r="R15" s="334"/>
      <c r="S15" s="334"/>
      <c r="T15" s="335"/>
    </row>
    <row r="16" spans="2:20">
      <c r="B16" s="336"/>
      <c r="C16" s="291"/>
      <c r="D16" s="291"/>
      <c r="E16" s="291"/>
      <c r="F16" s="291"/>
      <c r="G16" s="291"/>
      <c r="H16" s="291"/>
      <c r="I16" s="291"/>
      <c r="J16" s="291"/>
      <c r="K16" s="291"/>
      <c r="L16" s="291"/>
      <c r="M16" s="291"/>
      <c r="N16" s="291"/>
      <c r="O16" s="339"/>
      <c r="P16" s="336"/>
      <c r="Q16" s="291"/>
      <c r="R16" s="291"/>
      <c r="S16" s="291"/>
      <c r="T16" s="339"/>
    </row>
    <row r="17" spans="2:20" ht="15">
      <c r="B17" s="336"/>
      <c r="C17" s="291"/>
      <c r="D17" s="291"/>
      <c r="E17" s="291"/>
      <c r="F17" s="291"/>
      <c r="G17" s="384" t="s">
        <v>411</v>
      </c>
      <c r="H17" s="384"/>
      <c r="I17" s="384"/>
      <c r="J17" s="291"/>
      <c r="K17" s="291"/>
      <c r="L17" s="291"/>
      <c r="M17" s="291"/>
      <c r="N17" s="291"/>
      <c r="O17" s="339"/>
      <c r="P17" s="336"/>
      <c r="Q17" s="408" t="s">
        <v>412</v>
      </c>
      <c r="R17" s="291"/>
      <c r="S17" s="291"/>
      <c r="T17" s="339"/>
    </row>
    <row r="18" spans="2:20" ht="15">
      <c r="B18" s="336"/>
      <c r="C18" s="384" t="s">
        <v>413</v>
      </c>
      <c r="D18" s="291" t="s">
        <v>414</v>
      </c>
      <c r="E18" s="291"/>
      <c r="F18" s="291"/>
      <c r="G18" s="384" t="s">
        <v>404</v>
      </c>
      <c r="H18" s="384" t="s">
        <v>405</v>
      </c>
      <c r="I18" s="384" t="s">
        <v>406</v>
      </c>
      <c r="J18" s="291"/>
      <c r="K18" s="291"/>
      <c r="L18" s="384" t="s">
        <v>404</v>
      </c>
      <c r="M18" s="384" t="s">
        <v>405</v>
      </c>
      <c r="N18" s="384" t="s">
        <v>406</v>
      </c>
      <c r="O18" s="339"/>
      <c r="P18" s="336"/>
      <c r="Q18" s="384" t="s">
        <v>404</v>
      </c>
      <c r="R18" s="384" t="s">
        <v>405</v>
      </c>
      <c r="S18" s="384" t="s">
        <v>406</v>
      </c>
      <c r="T18" s="339"/>
    </row>
    <row r="19" spans="2:20" ht="15">
      <c r="B19" s="336"/>
      <c r="C19" s="384" t="s">
        <v>415</v>
      </c>
      <c r="D19" s="291" t="s">
        <v>416</v>
      </c>
      <c r="E19" s="291"/>
      <c r="F19" s="291"/>
      <c r="G19" s="291"/>
      <c r="H19" s="291"/>
      <c r="I19" s="291"/>
      <c r="J19" s="291"/>
      <c r="K19" s="291"/>
      <c r="L19" s="291"/>
      <c r="M19" s="291"/>
      <c r="N19" s="291"/>
      <c r="O19" s="339"/>
      <c r="P19" s="336"/>
      <c r="Q19" s="291"/>
      <c r="R19" s="291"/>
      <c r="S19" s="291"/>
      <c r="T19" s="339"/>
    </row>
    <row r="20" spans="2:20" ht="15">
      <c r="B20" s="336" t="s">
        <v>396</v>
      </c>
      <c r="C20" s="384">
        <v>0.1</v>
      </c>
      <c r="D20" s="291">
        <f>0.27/E35</f>
        <v>2.119309262166405E-2</v>
      </c>
      <c r="E20" s="291">
        <f>C20/D20</f>
        <v>4.7185185185185183</v>
      </c>
      <c r="F20" s="291"/>
      <c r="G20" s="337">
        <f>D20*$D$9</f>
        <v>232.276295133438</v>
      </c>
      <c r="H20" s="337">
        <f>D20*$E$9</f>
        <v>344.38775510204084</v>
      </c>
      <c r="I20" s="337">
        <f>D20*$F$9</f>
        <v>101.85400313971742</v>
      </c>
      <c r="J20" s="291"/>
      <c r="K20" s="291" t="s">
        <v>417</v>
      </c>
      <c r="L20" s="407">
        <f>G20</f>
        <v>232.276295133438</v>
      </c>
      <c r="M20" s="407">
        <f t="shared" ref="M20:N20" si="0">H20</f>
        <v>344.38775510204084</v>
      </c>
      <c r="N20" s="407">
        <f t="shared" si="0"/>
        <v>101.85400313971742</v>
      </c>
      <c r="O20" s="339"/>
      <c r="P20" s="336" t="s">
        <v>417</v>
      </c>
      <c r="Q20" s="337">
        <f>L20*2</f>
        <v>464.552590266876</v>
      </c>
      <c r="R20" s="337">
        <f t="shared" ref="R20:S26" si="1">M20*2</f>
        <v>688.77551020408168</v>
      </c>
      <c r="S20" s="337">
        <f t="shared" si="1"/>
        <v>203.70800627943484</v>
      </c>
      <c r="T20" s="339"/>
    </row>
    <row r="21" spans="2:20" ht="15">
      <c r="B21" s="336" t="s">
        <v>397</v>
      </c>
      <c r="C21" s="384">
        <v>0.2</v>
      </c>
      <c r="D21" s="291">
        <f>0.65/E35</f>
        <v>5.1020408163265307E-2</v>
      </c>
      <c r="E21" s="291">
        <f>C21/D21</f>
        <v>3.92</v>
      </c>
      <c r="F21" s="291"/>
      <c r="G21" s="337">
        <f t="shared" ref="G21:G26" si="2">D21*$D$9</f>
        <v>559.18367346938771</v>
      </c>
      <c r="H21" s="337">
        <f t="shared" ref="H21:H26" si="3">D21*$E$9</f>
        <v>829.08163265306121</v>
      </c>
      <c r="I21" s="337">
        <f t="shared" ref="I21:I25" si="4">D21*$F$9</f>
        <v>245.20408163265307</v>
      </c>
      <c r="J21" s="291"/>
      <c r="K21" s="291" t="s">
        <v>418</v>
      </c>
      <c r="L21" s="407">
        <f>G21-G20</f>
        <v>326.90737833594972</v>
      </c>
      <c r="M21" s="407">
        <f t="shared" ref="M21:N26" si="5">H21-H20</f>
        <v>484.69387755102036</v>
      </c>
      <c r="N21" s="407">
        <f t="shared" si="5"/>
        <v>143.35007849293567</v>
      </c>
      <c r="O21" s="339"/>
      <c r="P21" s="336" t="s">
        <v>418</v>
      </c>
      <c r="Q21" s="337">
        <f t="shared" ref="Q21:Q26" si="6">L21*2</f>
        <v>653.81475667189943</v>
      </c>
      <c r="R21" s="337">
        <f t="shared" si="1"/>
        <v>969.38775510204073</v>
      </c>
      <c r="S21" s="337">
        <f t="shared" si="1"/>
        <v>286.70015698587133</v>
      </c>
      <c r="T21" s="339"/>
    </row>
    <row r="22" spans="2:20" ht="15">
      <c r="B22" s="336" t="s">
        <v>398</v>
      </c>
      <c r="C22" s="384">
        <v>0.3</v>
      </c>
      <c r="D22" s="291">
        <f>1.38/E35</f>
        <v>0.10832025117739402</v>
      </c>
      <c r="E22" s="291">
        <f t="shared" ref="E22:E26" si="7">C22/D22</f>
        <v>2.7695652173913046</v>
      </c>
      <c r="F22" s="291"/>
      <c r="G22" s="337">
        <f t="shared" si="2"/>
        <v>1187.1899529042385</v>
      </c>
      <c r="H22" s="337">
        <f t="shared" si="3"/>
        <v>1760.2040816326528</v>
      </c>
      <c r="I22" s="337">
        <f t="shared" si="4"/>
        <v>520.58712715855563</v>
      </c>
      <c r="J22" s="291"/>
      <c r="K22" s="291" t="s">
        <v>419</v>
      </c>
      <c r="L22" s="407">
        <f t="shared" ref="L22:L25" si="8">G22-G21</f>
        <v>628.00627943485074</v>
      </c>
      <c r="M22" s="407">
        <f t="shared" si="5"/>
        <v>931.12244897959158</v>
      </c>
      <c r="N22" s="407">
        <f t="shared" si="5"/>
        <v>275.38304552590256</v>
      </c>
      <c r="O22" s="339"/>
      <c r="P22" s="336" t="s">
        <v>419</v>
      </c>
      <c r="Q22" s="337">
        <f t="shared" si="6"/>
        <v>1256.0125588697015</v>
      </c>
      <c r="R22" s="337">
        <f t="shared" si="1"/>
        <v>1862.2448979591832</v>
      </c>
      <c r="S22" s="337">
        <f t="shared" si="1"/>
        <v>550.76609105180512</v>
      </c>
      <c r="T22" s="339"/>
    </row>
    <row r="23" spans="2:20" ht="15">
      <c r="B23" s="336" t="s">
        <v>399</v>
      </c>
      <c r="C23" s="384">
        <v>0.4</v>
      </c>
      <c r="D23" s="291">
        <f>2.61/E35</f>
        <v>0.20486656200941913</v>
      </c>
      <c r="E23" s="291">
        <f t="shared" si="7"/>
        <v>1.9524904214559389</v>
      </c>
      <c r="F23" s="291"/>
      <c r="G23" s="337">
        <f t="shared" si="2"/>
        <v>2245.3375196232337</v>
      </c>
      <c r="H23" s="337">
        <f t="shared" si="3"/>
        <v>3329.0816326530608</v>
      </c>
      <c r="I23" s="337">
        <f t="shared" si="4"/>
        <v>984.58869701726837</v>
      </c>
      <c r="J23" s="291"/>
      <c r="K23" s="291" t="s">
        <v>420</v>
      </c>
      <c r="L23" s="407">
        <f t="shared" si="8"/>
        <v>1058.1475667189952</v>
      </c>
      <c r="M23" s="407">
        <f t="shared" si="5"/>
        <v>1568.877551020408</v>
      </c>
      <c r="N23" s="407">
        <f t="shared" si="5"/>
        <v>464.00156985871274</v>
      </c>
      <c r="O23" s="339"/>
      <c r="P23" s="336" t="s">
        <v>420</v>
      </c>
      <c r="Q23" s="337">
        <f t="shared" si="6"/>
        <v>2116.2951334379904</v>
      </c>
      <c r="R23" s="337">
        <f t="shared" si="1"/>
        <v>3137.7551020408159</v>
      </c>
      <c r="S23" s="337">
        <f t="shared" si="1"/>
        <v>928.00313971742548</v>
      </c>
      <c r="T23" s="339"/>
    </row>
    <row r="24" spans="2:20" ht="15">
      <c r="B24" s="336" t="s">
        <v>400</v>
      </c>
      <c r="C24" s="384">
        <v>0.5</v>
      </c>
      <c r="D24" s="291">
        <f>4.44/E35</f>
        <v>0.34850863422291994</v>
      </c>
      <c r="E24" s="291">
        <f t="shared" si="7"/>
        <v>1.4346846846846846</v>
      </c>
      <c r="F24" s="291"/>
      <c r="G24" s="337">
        <f t="shared" si="2"/>
        <v>3819.6546310832027</v>
      </c>
      <c r="H24" s="337">
        <f t="shared" si="3"/>
        <v>5663.2653061224491</v>
      </c>
      <c r="I24" s="337">
        <f t="shared" si="4"/>
        <v>1674.9324960753534</v>
      </c>
      <c r="J24" s="291"/>
      <c r="K24" s="291" t="s">
        <v>421</v>
      </c>
      <c r="L24" s="407">
        <f t="shared" si="8"/>
        <v>1574.3171114599691</v>
      </c>
      <c r="M24" s="407">
        <f t="shared" si="5"/>
        <v>2334.1836734693884</v>
      </c>
      <c r="N24" s="407">
        <f t="shared" si="5"/>
        <v>690.34379905808498</v>
      </c>
      <c r="O24" s="339"/>
      <c r="P24" s="336" t="s">
        <v>421</v>
      </c>
      <c r="Q24" s="337">
        <f t="shared" si="6"/>
        <v>3148.6342229199381</v>
      </c>
      <c r="R24" s="337">
        <f t="shared" si="1"/>
        <v>4668.3673469387768</v>
      </c>
      <c r="S24" s="337">
        <f t="shared" si="1"/>
        <v>1380.68759811617</v>
      </c>
      <c r="T24" s="339"/>
    </row>
    <row r="25" spans="2:20" ht="15">
      <c r="B25" s="336" t="s">
        <v>401</v>
      </c>
      <c r="C25" s="384">
        <v>0.6</v>
      </c>
      <c r="D25" s="291">
        <f>7.65/E35</f>
        <v>0.60047095761381475</v>
      </c>
      <c r="E25" s="291">
        <f t="shared" si="7"/>
        <v>0.99921568627450974</v>
      </c>
      <c r="F25" s="291"/>
      <c r="G25" s="337">
        <f t="shared" si="2"/>
        <v>6581.1616954474093</v>
      </c>
      <c r="H25" s="337">
        <f t="shared" si="3"/>
        <v>9757.6530612244896</v>
      </c>
      <c r="I25" s="337">
        <f t="shared" si="4"/>
        <v>2885.8634222919936</v>
      </c>
      <c r="J25" s="291"/>
      <c r="K25" s="291" t="s">
        <v>422</v>
      </c>
      <c r="L25" s="407">
        <f t="shared" si="8"/>
        <v>2761.5070643642066</v>
      </c>
      <c r="M25" s="407">
        <f t="shared" si="5"/>
        <v>4094.3877551020405</v>
      </c>
      <c r="N25" s="407">
        <f t="shared" si="5"/>
        <v>1210.9309262166403</v>
      </c>
      <c r="O25" s="339"/>
      <c r="P25" s="336" t="s">
        <v>422</v>
      </c>
      <c r="Q25" s="337">
        <f t="shared" si="6"/>
        <v>5523.0141287284132</v>
      </c>
      <c r="R25" s="337">
        <f t="shared" si="1"/>
        <v>8188.775510204081</v>
      </c>
      <c r="S25" s="337">
        <f t="shared" si="1"/>
        <v>2421.8618524332805</v>
      </c>
      <c r="T25" s="339"/>
    </row>
    <row r="26" spans="2:20" ht="15">
      <c r="B26" s="336" t="s">
        <v>402</v>
      </c>
      <c r="C26" s="385">
        <f>6.64/E32</f>
        <v>0.6484375</v>
      </c>
      <c r="D26" s="291">
        <v>1</v>
      </c>
      <c r="E26" s="291">
        <f t="shared" si="7"/>
        <v>0.6484375</v>
      </c>
      <c r="F26" s="291"/>
      <c r="G26" s="337">
        <f t="shared" si="2"/>
        <v>10960</v>
      </c>
      <c r="H26" s="337">
        <f t="shared" si="3"/>
        <v>16250</v>
      </c>
      <c r="I26" s="337">
        <f>D26*$F$9</f>
        <v>4806</v>
      </c>
      <c r="J26" s="291"/>
      <c r="K26" s="291" t="s">
        <v>423</v>
      </c>
      <c r="L26" s="407">
        <f>G26-G25</f>
        <v>4378.8383045525907</v>
      </c>
      <c r="M26" s="407">
        <f t="shared" si="5"/>
        <v>6492.3469387755104</v>
      </c>
      <c r="N26" s="407">
        <f t="shared" si="5"/>
        <v>1920.1365777080064</v>
      </c>
      <c r="O26" s="339"/>
      <c r="P26" s="336" t="s">
        <v>423</v>
      </c>
      <c r="Q26" s="337">
        <f t="shared" si="6"/>
        <v>8757.6766091051813</v>
      </c>
      <c r="R26" s="337">
        <f t="shared" si="1"/>
        <v>12984.693877551021</v>
      </c>
      <c r="S26" s="337">
        <f t="shared" si="1"/>
        <v>3840.2731554160127</v>
      </c>
      <c r="T26" s="339"/>
    </row>
    <row r="27" spans="2:20">
      <c r="B27" s="336"/>
      <c r="C27" s="291"/>
      <c r="D27" s="291"/>
      <c r="E27" s="291"/>
      <c r="F27" s="291"/>
      <c r="G27" s="291"/>
      <c r="H27" s="291"/>
      <c r="I27" s="291"/>
      <c r="J27" s="291"/>
      <c r="K27" s="291"/>
      <c r="L27" s="291"/>
      <c r="M27" s="291"/>
      <c r="N27" s="291"/>
      <c r="O27" s="339"/>
      <c r="P27" s="336"/>
      <c r="Q27" s="291"/>
      <c r="R27" s="291"/>
      <c r="S27" s="291"/>
      <c r="T27" s="339"/>
    </row>
    <row r="28" spans="2:20">
      <c r="B28" s="336"/>
      <c r="C28" s="291"/>
      <c r="D28" s="291"/>
      <c r="E28" s="291"/>
      <c r="F28" s="291"/>
      <c r="G28" s="291"/>
      <c r="H28" s="291"/>
      <c r="I28" s="291"/>
      <c r="J28" s="291"/>
      <c r="K28" s="291"/>
      <c r="L28" s="291"/>
      <c r="M28" s="291"/>
      <c r="N28" s="291"/>
      <c r="O28" s="339"/>
      <c r="P28" s="336"/>
      <c r="Q28" s="337">
        <f>SUM(Q20:Q27)</f>
        <v>21920</v>
      </c>
      <c r="R28" s="337">
        <f t="shared" ref="R28:S28" si="9">SUM(R20:R27)</f>
        <v>32500</v>
      </c>
      <c r="S28" s="337">
        <f t="shared" si="9"/>
        <v>9612</v>
      </c>
      <c r="T28" s="339"/>
    </row>
    <row r="29" spans="2:20">
      <c r="B29" s="336"/>
      <c r="C29" s="291"/>
      <c r="D29" s="291"/>
      <c r="E29" s="291"/>
      <c r="F29" s="291"/>
      <c r="G29" s="291"/>
      <c r="H29" s="291"/>
      <c r="I29" s="291"/>
      <c r="J29" s="291"/>
      <c r="K29" s="291"/>
      <c r="L29" s="291"/>
      <c r="M29" s="291"/>
      <c r="N29" s="291"/>
      <c r="O29" s="339"/>
      <c r="P29" s="336"/>
      <c r="Q29" s="291"/>
      <c r="R29" s="291"/>
      <c r="S29" s="291"/>
      <c r="T29" s="339"/>
    </row>
    <row r="30" spans="2:20">
      <c r="B30" s="336"/>
      <c r="C30" s="291"/>
      <c r="D30" s="291"/>
      <c r="E30" s="291"/>
      <c r="F30" s="291"/>
      <c r="G30" s="291"/>
      <c r="H30" s="291"/>
      <c r="I30" s="291"/>
      <c r="J30" s="291"/>
      <c r="K30" s="291"/>
      <c r="L30" s="291"/>
      <c r="M30" s="291"/>
      <c r="N30" s="291"/>
      <c r="O30" s="339"/>
      <c r="P30" s="336"/>
      <c r="Q30" s="291"/>
      <c r="R30" s="291"/>
      <c r="S30" s="291"/>
      <c r="T30" s="339"/>
    </row>
    <row r="31" spans="2:20">
      <c r="B31" s="336"/>
      <c r="C31" s="291"/>
      <c r="D31" s="291"/>
      <c r="E31" s="291" t="s">
        <v>424</v>
      </c>
      <c r="F31" s="291"/>
      <c r="G31" s="291"/>
      <c r="H31" s="291"/>
      <c r="I31" s="291"/>
      <c r="J31" s="291"/>
      <c r="K31" s="291"/>
      <c r="L31" s="291"/>
      <c r="M31" s="291"/>
      <c r="N31" s="291"/>
      <c r="O31" s="339"/>
      <c r="P31" s="336"/>
      <c r="Q31" s="291"/>
      <c r="R31" s="291"/>
      <c r="S31" s="291"/>
      <c r="T31" s="339"/>
    </row>
    <row r="32" spans="2:20">
      <c r="B32" s="336"/>
      <c r="C32" s="291" t="s">
        <v>425</v>
      </c>
      <c r="D32" s="291">
        <v>1</v>
      </c>
      <c r="E32" s="291">
        <v>10.24</v>
      </c>
      <c r="F32" s="291"/>
      <c r="G32" s="291"/>
      <c r="H32" s="291"/>
      <c r="I32" s="291"/>
      <c r="J32" s="291"/>
      <c r="K32" s="291"/>
      <c r="L32" s="291"/>
      <c r="M32" s="291"/>
      <c r="N32" s="291"/>
      <c r="O32" s="339"/>
      <c r="P32" s="336"/>
      <c r="Q32" s="291"/>
      <c r="R32" s="291"/>
      <c r="S32" s="291"/>
      <c r="T32" s="339"/>
    </row>
    <row r="33" spans="2:20">
      <c r="B33" s="336"/>
      <c r="C33" s="291"/>
      <c r="D33" s="291"/>
      <c r="E33" s="291"/>
      <c r="F33" s="291"/>
      <c r="G33" s="291"/>
      <c r="H33" s="291"/>
      <c r="I33" s="291"/>
      <c r="J33" s="291"/>
      <c r="K33" s="291"/>
      <c r="L33" s="291"/>
      <c r="M33" s="291"/>
      <c r="N33" s="291"/>
      <c r="O33" s="339"/>
      <c r="P33" s="336"/>
      <c r="Q33" s="291"/>
      <c r="R33" s="291"/>
      <c r="S33" s="291"/>
      <c r="T33" s="339"/>
    </row>
    <row r="34" spans="2:20">
      <c r="B34" s="336"/>
      <c r="C34" s="291"/>
      <c r="D34" s="291"/>
      <c r="E34" s="291"/>
      <c r="F34" s="291"/>
      <c r="G34" s="291"/>
      <c r="H34" s="291"/>
      <c r="I34" s="291"/>
      <c r="J34" s="291"/>
      <c r="K34" s="291"/>
      <c r="L34" s="291"/>
      <c r="M34" s="291"/>
      <c r="N34" s="291"/>
      <c r="O34" s="339"/>
      <c r="P34" s="336"/>
      <c r="Q34" s="291"/>
      <c r="R34" s="291"/>
      <c r="S34" s="291"/>
      <c r="T34" s="339"/>
    </row>
    <row r="35" spans="2:20">
      <c r="B35" s="336"/>
      <c r="C35" s="291" t="s">
        <v>426</v>
      </c>
      <c r="D35" s="291">
        <v>1</v>
      </c>
      <c r="E35" s="291">
        <v>12.74</v>
      </c>
      <c r="F35" s="291"/>
      <c r="G35" s="291"/>
      <c r="H35" s="291"/>
      <c r="I35" s="291"/>
      <c r="J35" s="291"/>
      <c r="K35" s="291"/>
      <c r="L35" s="291"/>
      <c r="M35" s="291"/>
      <c r="N35" s="291"/>
      <c r="O35" s="339"/>
      <c r="P35" s="336"/>
      <c r="Q35" s="291"/>
      <c r="R35" s="291"/>
      <c r="S35" s="291"/>
      <c r="T35" s="339"/>
    </row>
    <row r="36" spans="2:20">
      <c r="B36" s="336"/>
      <c r="C36" s="291"/>
      <c r="D36" s="291"/>
      <c r="E36" s="291"/>
      <c r="F36" s="291"/>
      <c r="G36" s="291"/>
      <c r="H36" s="291"/>
      <c r="I36" s="291"/>
      <c r="J36" s="291"/>
      <c r="K36" s="291"/>
      <c r="L36" s="291"/>
      <c r="M36" s="291"/>
      <c r="N36" s="291"/>
      <c r="O36" s="339"/>
      <c r="P36" s="336"/>
      <c r="Q36" s="291"/>
      <c r="R36" s="291"/>
      <c r="S36" s="291"/>
      <c r="T36" s="339"/>
    </row>
    <row r="37" spans="2:20" ht="13.5" thickBot="1">
      <c r="B37" s="347"/>
      <c r="C37" s="348"/>
      <c r="D37" s="348"/>
      <c r="E37" s="348"/>
      <c r="F37" s="348"/>
      <c r="G37" s="348"/>
      <c r="H37" s="348"/>
      <c r="I37" s="348"/>
      <c r="J37" s="348"/>
      <c r="K37" s="348"/>
      <c r="L37" s="348"/>
      <c r="M37" s="348"/>
      <c r="N37" s="348"/>
      <c r="O37" s="351"/>
      <c r="P37" s="347"/>
      <c r="Q37" s="348"/>
      <c r="R37" s="348"/>
      <c r="S37" s="348"/>
      <c r="T37" s="351"/>
    </row>
    <row r="95" spans="2:2">
      <c r="B95" s="313" t="s">
        <v>458</v>
      </c>
    </row>
  </sheetData>
  <hyperlinks>
    <hyperlink ref="B95" r:id="rId1" xr:uid="{F2C49F39-DF5D-425A-8973-EE7BE5BEAA33}"/>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B2:AL140"/>
  <sheetViews>
    <sheetView zoomScale="85" zoomScaleNormal="85" workbookViewId="0">
      <selection activeCell="C16" sqref="C16"/>
    </sheetView>
  </sheetViews>
  <sheetFormatPr defaultRowHeight="12.75"/>
  <cols>
    <col min="2" max="2" width="37" customWidth="1"/>
    <col min="7" max="7" width="11.5703125" bestFit="1" customWidth="1"/>
    <col min="8" max="8" width="9.28515625" bestFit="1" customWidth="1"/>
  </cols>
  <sheetData>
    <row r="2" spans="2:38" s="288" customFormat="1"/>
    <row r="3" spans="2:38" s="288" customFormat="1">
      <c r="B3" s="288" t="s">
        <v>258</v>
      </c>
    </row>
    <row r="4" spans="2:38" s="288" customFormat="1">
      <c r="B4" s="288" t="s">
        <v>28</v>
      </c>
      <c r="C4" s="311">
        <v>2005</v>
      </c>
      <c r="D4" s="311">
        <v>2006</v>
      </c>
      <c r="E4" s="311">
        <v>2007</v>
      </c>
      <c r="F4" s="311">
        <v>2008</v>
      </c>
      <c r="G4" s="311">
        <v>2009</v>
      </c>
      <c r="H4" s="311">
        <v>2010</v>
      </c>
      <c r="I4" s="311">
        <v>2011</v>
      </c>
      <c r="J4" s="311">
        <v>2012</v>
      </c>
      <c r="K4" s="311">
        <v>2013</v>
      </c>
      <c r="L4" s="311">
        <v>2014</v>
      </c>
      <c r="M4" s="311">
        <v>2015</v>
      </c>
      <c r="N4" s="311">
        <v>2016</v>
      </c>
      <c r="O4" s="311">
        <v>2017</v>
      </c>
      <c r="P4" s="311">
        <v>2018</v>
      </c>
      <c r="Q4" s="311">
        <v>2019</v>
      </c>
      <c r="R4" s="311">
        <v>2020</v>
      </c>
      <c r="S4" s="311">
        <v>2021</v>
      </c>
      <c r="T4" s="311">
        <v>2022</v>
      </c>
      <c r="U4" s="311">
        <v>2023</v>
      </c>
      <c r="V4" s="311">
        <v>2024</v>
      </c>
      <c r="W4" s="311">
        <v>2025</v>
      </c>
      <c r="X4" s="311">
        <v>2026</v>
      </c>
      <c r="Y4" s="311">
        <v>2027</v>
      </c>
      <c r="Z4" s="311">
        <v>2028</v>
      </c>
      <c r="AA4" s="311">
        <v>2029</v>
      </c>
      <c r="AB4" s="311">
        <v>2030</v>
      </c>
      <c r="AC4" s="311">
        <v>2031</v>
      </c>
      <c r="AD4" s="311">
        <v>2032</v>
      </c>
      <c r="AE4" s="311">
        <v>2033</v>
      </c>
      <c r="AF4" s="311">
        <v>2034</v>
      </c>
      <c r="AG4" s="311">
        <v>2035</v>
      </c>
      <c r="AH4" s="311">
        <v>2036</v>
      </c>
      <c r="AI4" s="311">
        <v>2037</v>
      </c>
      <c r="AJ4" s="311">
        <v>2038</v>
      </c>
      <c r="AK4" s="311">
        <v>2039</v>
      </c>
      <c r="AL4" s="311">
        <v>2040</v>
      </c>
    </row>
    <row r="5" spans="2:38" s="288" customFormat="1">
      <c r="B5" s="288" t="s">
        <v>258</v>
      </c>
      <c r="C5" s="312">
        <v>2.6999302911159928E-2</v>
      </c>
      <c r="D5" s="312">
        <v>2.0932190597496847E-2</v>
      </c>
      <c r="E5" s="312">
        <v>2.7308394344184528E-2</v>
      </c>
      <c r="F5" s="312">
        <v>4.7183034188339024E-2</v>
      </c>
      <c r="G5" s="312">
        <v>5.5671344398273703E-3</v>
      </c>
      <c r="H5" s="312">
        <v>3.3386955593266654E-2</v>
      </c>
      <c r="I5" s="312">
        <v>4.3050050735473633E-3</v>
      </c>
      <c r="J5" s="312">
        <v>2.4333268721895784E-2</v>
      </c>
      <c r="K5" s="312">
        <v>1.110279102849443E-2</v>
      </c>
      <c r="L5" s="312">
        <v>1.0093591958132864E-2</v>
      </c>
      <c r="M5" s="312">
        <v>1.1594570577679431E-2</v>
      </c>
      <c r="N5" s="312">
        <v>2.079342757653313E-3</v>
      </c>
      <c r="O5" s="312">
        <v>1.2122351134111087E-2</v>
      </c>
      <c r="P5" s="312">
        <v>1.5295751700999727E-2</v>
      </c>
      <c r="Q5" s="312">
        <v>1.2889371539031469E-2</v>
      </c>
      <c r="R5" s="312">
        <v>1.8112789753427228E-2</v>
      </c>
      <c r="S5" s="312">
        <v>1.1998990574253687E-2</v>
      </c>
      <c r="T5" s="312">
        <v>1.5371268809507566E-2</v>
      </c>
      <c r="U5" s="312">
        <v>1.838752975741742E-2</v>
      </c>
      <c r="V5" s="312">
        <v>1.8247617938478289E-2</v>
      </c>
      <c r="W5" s="312">
        <v>1.8328138647321968E-2</v>
      </c>
      <c r="X5" s="312">
        <v>1.701105801817504E-2</v>
      </c>
      <c r="Y5" s="312">
        <v>1.9557313576693103E-2</v>
      </c>
      <c r="Z5" s="312">
        <v>1.927666644726389E-2</v>
      </c>
      <c r="AA5" s="312">
        <v>1.9392860061805628E-2</v>
      </c>
      <c r="AB5" s="312">
        <v>1.8761623240999503E-2</v>
      </c>
      <c r="AC5" s="312">
        <v>1.9695450513876667E-2</v>
      </c>
      <c r="AD5" s="312">
        <v>1.934695216283755E-2</v>
      </c>
      <c r="AE5" s="312">
        <v>1.956009944157433E-2</v>
      </c>
      <c r="AF5" s="312">
        <v>1.9295514898514776E-2</v>
      </c>
      <c r="AG5" s="312">
        <v>1.9296967858729364E-2</v>
      </c>
      <c r="AH5" s="312">
        <v>1.9195996515670721E-2</v>
      </c>
      <c r="AI5" s="312">
        <v>1.9346599335927861E-2</v>
      </c>
      <c r="AJ5" s="312">
        <v>1.9066680819739057E-2</v>
      </c>
      <c r="AK5" s="312">
        <v>1.9222876155283064E-2</v>
      </c>
      <c r="AL5" s="312">
        <v>1.8746348718558847E-2</v>
      </c>
    </row>
    <row r="6" spans="2:38" s="288" customFormat="1">
      <c r="C6" s="275">
        <f t="shared" ref="C6:N6" si="0">(1-D5)*D6</f>
        <v>0.7958638077095902</v>
      </c>
      <c r="D6" s="275">
        <f t="shared" si="0"/>
        <v>0.81287914898895808</v>
      </c>
      <c r="E6" s="275">
        <f t="shared" si="0"/>
        <v>0.83570079587650248</v>
      </c>
      <c r="F6" s="275">
        <f t="shared" si="0"/>
        <v>0.87708429411162658</v>
      </c>
      <c r="G6" s="275">
        <f t="shared" si="0"/>
        <v>0.88199447593433811</v>
      </c>
      <c r="H6" s="275">
        <f t="shared" si="0"/>
        <v>0.91245869382578981</v>
      </c>
      <c r="I6" s="275">
        <f t="shared" si="0"/>
        <v>0.91640381690699257</v>
      </c>
      <c r="J6" s="275">
        <f t="shared" si="0"/>
        <v>0.93925906001378323</v>
      </c>
      <c r="K6" s="275">
        <f t="shared" si="0"/>
        <v>0.94980454135435566</v>
      </c>
      <c r="L6" s="275">
        <f t="shared" si="0"/>
        <v>0.95948923417231236</v>
      </c>
      <c r="M6" s="275">
        <f t="shared" si="0"/>
        <v>0.97074460096105664</v>
      </c>
      <c r="N6" s="275">
        <f t="shared" si="0"/>
        <v>0.97276731763786883</v>
      </c>
      <c r="O6" s="275">
        <f>(1-P5)*P6</f>
        <v>0.98470424829900027</v>
      </c>
      <c r="P6" s="275">
        <v>1</v>
      </c>
      <c r="Q6" s="275">
        <f>(1+Q5)*P6</f>
        <v>1.0128893715390315</v>
      </c>
      <c r="R6" s="275">
        <f>(1+R5)*Q6</f>
        <v>1.0312356237691991</v>
      </c>
      <c r="S6" s="275">
        <f t="shared" ref="S6:AL6" si="1">(1+S5)*R6</f>
        <v>1.0436094102986404</v>
      </c>
      <c r="T6" s="275">
        <f t="shared" si="1"/>
        <v>1.0596510110764725</v>
      </c>
      <c r="U6" s="275">
        <f t="shared" si="1"/>
        <v>1.0791353755751185</v>
      </c>
      <c r="V6" s="275">
        <f t="shared" si="1"/>
        <v>1.0988270256125094</v>
      </c>
      <c r="W6" s="275">
        <f t="shared" si="1"/>
        <v>1.11896647968736</v>
      </c>
      <c r="X6" s="275">
        <f t="shared" si="1"/>
        <v>1.1380012833937148</v>
      </c>
      <c r="Y6" s="275">
        <f t="shared" si="1"/>
        <v>1.1602575313437249</v>
      </c>
      <c r="Z6" s="275">
        <f t="shared" si="1"/>
        <v>1.1826234287683637</v>
      </c>
      <c r="AA6" s="275">
        <f t="shared" si="1"/>
        <v>1.2055578794282813</v>
      </c>
      <c r="AB6" s="275">
        <f t="shared" si="1"/>
        <v>1.228176102157333</v>
      </c>
      <c r="AC6" s="275">
        <f t="shared" si="1"/>
        <v>1.2523655837996988</v>
      </c>
      <c r="AD6" s="275">
        <f t="shared" si="1"/>
        <v>1.2765950408398556</v>
      </c>
      <c r="AE6" s="275">
        <f t="shared" si="1"/>
        <v>1.3015653667853038</v>
      </c>
      <c r="AF6" s="275">
        <f t="shared" si="1"/>
        <v>1.3266797407115005</v>
      </c>
      <c r="AG6" s="275">
        <f t="shared" si="1"/>
        <v>1.3522806370268377</v>
      </c>
      <c r="AH6" s="275">
        <f t="shared" si="1"/>
        <v>1.3782390114234138</v>
      </c>
      <c r="AI6" s="275">
        <f t="shared" si="1"/>
        <v>1.4049032493665679</v>
      </c>
      <c r="AJ6" s="275">
        <f t="shared" si="1"/>
        <v>1.4316900912048545</v>
      </c>
      <c r="AK6" s="275">
        <f t="shared" si="1"/>
        <v>1.4592112925208314</v>
      </c>
      <c r="AL6" s="275">
        <f t="shared" si="1"/>
        <v>1.486566176264486</v>
      </c>
    </row>
    <row r="7" spans="2:38" s="288" customFormat="1"/>
    <row r="8" spans="2:38" s="288" customFormat="1"/>
    <row r="9" spans="2:38" s="288" customFormat="1"/>
    <row r="10" spans="2:38" s="288" customFormat="1"/>
    <row r="11" spans="2:38" s="288" customFormat="1"/>
    <row r="12" spans="2:38" s="296" customFormat="1">
      <c r="C12" s="296" t="s">
        <v>257</v>
      </c>
    </row>
    <row r="14" spans="2:38">
      <c r="S14" s="281" t="s">
        <v>482</v>
      </c>
    </row>
    <row r="15" spans="2:38">
      <c r="B15" t="s">
        <v>251</v>
      </c>
      <c r="C15">
        <v>2020</v>
      </c>
      <c r="D15">
        <v>2025</v>
      </c>
      <c r="E15">
        <v>2030</v>
      </c>
      <c r="F15">
        <v>2035</v>
      </c>
      <c r="G15">
        <v>2040</v>
      </c>
      <c r="H15">
        <v>2045</v>
      </c>
      <c r="I15">
        <v>2050</v>
      </c>
    </row>
    <row r="16" spans="2:38">
      <c r="B16" t="s">
        <v>252</v>
      </c>
      <c r="C16" s="283">
        <v>0.61597791696790305</v>
      </c>
      <c r="D16" s="283">
        <v>0.6518148764405004</v>
      </c>
      <c r="E16" s="283">
        <v>0.68765183591309775</v>
      </c>
      <c r="F16" s="283">
        <v>0.69577940968760976</v>
      </c>
      <c r="G16" s="283">
        <v>0.70390698346212177</v>
      </c>
      <c r="H16" s="283">
        <v>0.71741055331328585</v>
      </c>
      <c r="I16" s="283">
        <v>0.73091412316444992</v>
      </c>
    </row>
    <row r="19" spans="2:9">
      <c r="B19" t="s">
        <v>253</v>
      </c>
      <c r="C19">
        <v>2020</v>
      </c>
      <c r="D19">
        <v>2025</v>
      </c>
      <c r="E19">
        <v>2030</v>
      </c>
      <c r="F19">
        <v>2035</v>
      </c>
      <c r="G19">
        <v>2040</v>
      </c>
      <c r="H19">
        <v>2045</v>
      </c>
      <c r="I19">
        <v>2050</v>
      </c>
    </row>
    <row r="20" spans="2:9">
      <c r="B20" t="s">
        <v>254</v>
      </c>
      <c r="C20">
        <v>17670</v>
      </c>
      <c r="D20">
        <v>17670</v>
      </c>
      <c r="E20">
        <v>10591</v>
      </c>
      <c r="F20">
        <v>10591</v>
      </c>
      <c r="G20">
        <v>10591</v>
      </c>
      <c r="H20">
        <v>10591</v>
      </c>
      <c r="I20">
        <v>10591</v>
      </c>
    </row>
    <row r="21" spans="2:9">
      <c r="B21" s="288" t="s">
        <v>255</v>
      </c>
      <c r="C21" s="275">
        <f>C20*7.45/10^6</f>
        <v>0.13164149999999999</v>
      </c>
      <c r="D21" s="275">
        <f t="shared" ref="D21:I21" si="2">D20*7.45/10^6</f>
        <v>0.13164149999999999</v>
      </c>
      <c r="E21" s="275">
        <f t="shared" si="2"/>
        <v>7.8902949999999999E-2</v>
      </c>
      <c r="F21" s="275">
        <f t="shared" si="2"/>
        <v>7.8902949999999999E-2</v>
      </c>
      <c r="G21" s="275">
        <f t="shared" si="2"/>
        <v>7.8902949999999999E-2</v>
      </c>
      <c r="H21" s="275">
        <f t="shared" si="2"/>
        <v>7.8902949999999999E-2</v>
      </c>
      <c r="I21" s="275">
        <f t="shared" si="2"/>
        <v>7.8902949999999999E-2</v>
      </c>
    </row>
    <row r="22" spans="2:9">
      <c r="B22" s="288" t="s">
        <v>256</v>
      </c>
      <c r="C22" s="282">
        <f>C21*1000</f>
        <v>131.64150000000001</v>
      </c>
      <c r="D22" s="282">
        <f t="shared" ref="D22:I22" si="3">D21*1000</f>
        <v>131.64150000000001</v>
      </c>
      <c r="E22" s="282">
        <f t="shared" si="3"/>
        <v>78.902950000000004</v>
      </c>
      <c r="F22" s="282">
        <f t="shared" si="3"/>
        <v>78.902950000000004</v>
      </c>
      <c r="G22" s="282">
        <f t="shared" si="3"/>
        <v>78.902950000000004</v>
      </c>
      <c r="H22" s="282">
        <f t="shared" si="3"/>
        <v>78.902950000000004</v>
      </c>
      <c r="I22" s="282">
        <f t="shared" si="3"/>
        <v>78.902950000000004</v>
      </c>
    </row>
    <row r="23" spans="2:9">
      <c r="B23" s="288" t="s">
        <v>256</v>
      </c>
      <c r="C23" s="282">
        <f>$K$6/$M$6*C22</f>
        <v>128.80184387007</v>
      </c>
      <c r="D23" s="282">
        <f t="shared" ref="D23:I23" si="4">$K$6/$M$6*D22</f>
        <v>128.80184387007</v>
      </c>
      <c r="E23" s="282">
        <f t="shared" si="4"/>
        <v>77.200924076282476</v>
      </c>
      <c r="F23" s="282">
        <f t="shared" si="4"/>
        <v>77.200924076282476</v>
      </c>
      <c r="G23" s="282">
        <f t="shared" si="4"/>
        <v>77.200924076282476</v>
      </c>
      <c r="H23" s="282">
        <f t="shared" si="4"/>
        <v>77.200924076282476</v>
      </c>
      <c r="I23" s="282">
        <f t="shared" si="4"/>
        <v>77.200924076282476</v>
      </c>
    </row>
    <row r="26" spans="2:9">
      <c r="C26" s="521" t="s">
        <v>480</v>
      </c>
      <c r="D26" s="35"/>
      <c r="E26" s="35"/>
    </row>
    <row r="31" spans="2:9" s="296" customFormat="1">
      <c r="C31" s="296" t="s">
        <v>259</v>
      </c>
    </row>
    <row r="34" spans="2:8">
      <c r="C34" s="313" t="s">
        <v>260</v>
      </c>
    </row>
    <row r="36" spans="2:8">
      <c r="C36" t="s">
        <v>261</v>
      </c>
    </row>
    <row r="37" spans="2:8">
      <c r="C37">
        <v>17</v>
      </c>
      <c r="D37">
        <v>19.100000000000001</v>
      </c>
      <c r="E37">
        <v>17</v>
      </c>
      <c r="F37">
        <v>19.100000000000001</v>
      </c>
    </row>
    <row r="38" spans="2:8">
      <c r="B38" t="s">
        <v>262</v>
      </c>
      <c r="C38">
        <f>AVERAGE(C37:F37)</f>
        <v>18.05</v>
      </c>
    </row>
    <row r="41" spans="2:8">
      <c r="B41" t="s">
        <v>263</v>
      </c>
      <c r="C41" s="288" t="s">
        <v>264</v>
      </c>
      <c r="D41" s="288"/>
      <c r="E41" s="288">
        <v>200</v>
      </c>
      <c r="F41" s="288">
        <v>200</v>
      </c>
      <c r="G41" s="288">
        <v>200</v>
      </c>
      <c r="H41" s="288">
        <v>200</v>
      </c>
    </row>
    <row r="42" spans="2:8">
      <c r="B42" t="s">
        <v>265</v>
      </c>
      <c r="C42" s="288" t="s">
        <v>264</v>
      </c>
      <c r="E42" s="314">
        <v>700</v>
      </c>
      <c r="F42" s="314">
        <v>700</v>
      </c>
      <c r="G42" s="314">
        <v>700</v>
      </c>
      <c r="H42" s="314">
        <v>700</v>
      </c>
    </row>
    <row r="44" spans="2:8">
      <c r="C44" t="s">
        <v>268</v>
      </c>
    </row>
    <row r="46" spans="2:8">
      <c r="D46" t="s">
        <v>269</v>
      </c>
      <c r="E46" s="315">
        <f>E41/E42</f>
        <v>0.2857142857142857</v>
      </c>
      <c r="F46" s="315">
        <f>F41/F42</f>
        <v>0.2857142857142857</v>
      </c>
      <c r="G46" s="315">
        <f>G41/G42</f>
        <v>0.2857142857142857</v>
      </c>
      <c r="H46" s="315">
        <f>H41/H42</f>
        <v>0.2857142857142857</v>
      </c>
    </row>
    <row r="47" spans="2:8">
      <c r="D47" s="281" t="s">
        <v>270</v>
      </c>
    </row>
    <row r="49" spans="3:12">
      <c r="D49" s="281" t="s">
        <v>271</v>
      </c>
    </row>
    <row r="50" spans="3:12">
      <c r="D50" s="281" t="s">
        <v>92</v>
      </c>
      <c r="E50">
        <f>E42*56</f>
        <v>39200</v>
      </c>
      <c r="F50" s="288">
        <f>F42*56</f>
        <v>39200</v>
      </c>
      <c r="G50" s="288">
        <f>G42*56</f>
        <v>39200</v>
      </c>
      <c r="H50" s="288">
        <f>H42*56</f>
        <v>39200</v>
      </c>
    </row>
    <row r="51" spans="3:12">
      <c r="D51" s="281" t="s">
        <v>272</v>
      </c>
    </row>
    <row r="52" spans="3:12">
      <c r="D52" s="281" t="s">
        <v>92</v>
      </c>
      <c r="E52" s="282">
        <f>E41*56+$C$38</f>
        <v>11218.05</v>
      </c>
      <c r="F52" s="282">
        <f>F41*56+$C$38</f>
        <v>11218.05</v>
      </c>
      <c r="G52" s="282">
        <f>G41*56+$C$38</f>
        <v>11218.05</v>
      </c>
      <c r="H52" s="282">
        <f>H41*56+$C$38</f>
        <v>11218.05</v>
      </c>
    </row>
    <row r="55" spans="3:12">
      <c r="D55" s="281" t="s">
        <v>273</v>
      </c>
      <c r="E55" s="315">
        <f>E52/E50</f>
        <v>0.28617474489795919</v>
      </c>
      <c r="F55" s="315">
        <f>F52/F50</f>
        <v>0.28617474489795919</v>
      </c>
      <c r="G55" s="315">
        <f>G52/G50</f>
        <v>0.28617474489795919</v>
      </c>
      <c r="H55" s="315">
        <f>H52/H50</f>
        <v>0.28617474489795919</v>
      </c>
      <c r="L55" t="s">
        <v>266</v>
      </c>
    </row>
    <row r="56" spans="3:12">
      <c r="L56" t="s">
        <v>267</v>
      </c>
    </row>
    <row r="58" spans="3:12">
      <c r="D58">
        <v>0</v>
      </c>
      <c r="E58" s="314">
        <v>200</v>
      </c>
      <c r="F58" s="314">
        <v>700</v>
      </c>
    </row>
    <row r="59" spans="3:12">
      <c r="D59">
        <v>1</v>
      </c>
      <c r="E59" s="288">
        <f>D59+(E58-D58)*(F59-D59)/(F58-D58)</f>
        <v>0.91428571428571426</v>
      </c>
      <c r="F59" s="288">
        <v>0.7</v>
      </c>
    </row>
    <row r="64" spans="3:12" s="296" customFormat="1">
      <c r="C64" s="296" t="s">
        <v>282</v>
      </c>
    </row>
    <row r="65" spans="2:24">
      <c r="P65" s="521" t="s">
        <v>481</v>
      </c>
      <c r="Q65" s="35"/>
      <c r="R65" s="35"/>
      <c r="S65" s="35"/>
      <c r="T65" s="35"/>
      <c r="U65" s="35"/>
      <c r="V65" s="35"/>
      <c r="W65" s="35"/>
      <c r="X65" s="35"/>
    </row>
    <row r="67" spans="2:24">
      <c r="C67">
        <v>1.5</v>
      </c>
      <c r="D67" s="281" t="s">
        <v>281</v>
      </c>
    </row>
    <row r="68" spans="2:24">
      <c r="B68" s="288" t="s">
        <v>283</v>
      </c>
      <c r="C68" s="288">
        <f>C67*7.45</f>
        <v>11.175000000000001</v>
      </c>
      <c r="D68" s="288" t="s">
        <v>284</v>
      </c>
    </row>
    <row r="70" spans="2:24">
      <c r="B70" s="288" t="s">
        <v>285</v>
      </c>
      <c r="C70" s="288">
        <f>O6/P6*C68</f>
        <v>11.004069974741329</v>
      </c>
      <c r="D70" s="288" t="s">
        <v>284</v>
      </c>
    </row>
    <row r="72" spans="2:24" s="288" customFormat="1"/>
    <row r="73" spans="2:24" s="288" customFormat="1"/>
    <row r="74" spans="2:24" s="288" customFormat="1">
      <c r="C74" s="521" t="s">
        <v>480</v>
      </c>
      <c r="D74" s="35"/>
      <c r="E74" s="35"/>
    </row>
    <row r="75" spans="2:24" s="288" customFormat="1"/>
    <row r="76" spans="2:24" s="288" customFormat="1"/>
    <row r="77" spans="2:24" s="288" customFormat="1"/>
    <row r="78" spans="2:24" s="288" customFormat="1"/>
    <row r="79" spans="2:24" s="288" customFormat="1"/>
    <row r="80" spans="2:24" s="288" customFormat="1"/>
    <row r="81" s="288" customFormat="1"/>
    <row r="82" s="288" customFormat="1"/>
    <row r="83" s="288" customFormat="1"/>
    <row r="84" s="288" customFormat="1"/>
    <row r="85" s="288" customFormat="1"/>
    <row r="86" s="288" customFormat="1"/>
    <row r="87" s="288" customFormat="1"/>
    <row r="88" s="288" customFormat="1"/>
    <row r="89" s="288" customFormat="1"/>
    <row r="90" s="288" customFormat="1"/>
    <row r="91" s="288" customFormat="1"/>
    <row r="92" s="288" customFormat="1"/>
    <row r="93" s="288" customFormat="1"/>
    <row r="94" s="288" customFormat="1"/>
    <row r="95" s="288" customFormat="1"/>
    <row r="96" s="288" customFormat="1"/>
    <row r="97" s="288" customFormat="1"/>
    <row r="98" s="288" customFormat="1"/>
    <row r="99" s="288" customFormat="1"/>
    <row r="100" s="288" customFormat="1"/>
    <row r="101" s="288" customFormat="1"/>
    <row r="102" s="288" customFormat="1"/>
    <row r="103" s="288" customFormat="1"/>
    <row r="104" s="288" customFormat="1"/>
    <row r="105" s="288" customFormat="1"/>
    <row r="106" s="288" customFormat="1"/>
    <row r="107" s="288" customFormat="1"/>
    <row r="108" s="288" customFormat="1"/>
    <row r="109" s="288" customFormat="1"/>
    <row r="110" s="288" customFormat="1"/>
    <row r="111" s="288" customFormat="1"/>
    <row r="112" s="288" customFormat="1"/>
    <row r="113" spans="3:4" s="288" customFormat="1"/>
    <row r="114" spans="3:4" s="288" customFormat="1"/>
    <row r="115" spans="3:4" s="288" customFormat="1"/>
    <row r="116" spans="3:4" s="288" customFormat="1"/>
    <row r="117" spans="3:4" s="288" customFormat="1"/>
    <row r="119" spans="3:4" s="296" customFormat="1">
      <c r="C119" s="296" t="s">
        <v>309</v>
      </c>
    </row>
    <row r="121" spans="3:4">
      <c r="C121">
        <v>25552</v>
      </c>
      <c r="D121" t="s">
        <v>310</v>
      </c>
    </row>
    <row r="122" spans="3:4">
      <c r="C122" s="314">
        <f>C121/4</f>
        <v>6388</v>
      </c>
      <c r="D122" s="288" t="s">
        <v>311</v>
      </c>
    </row>
    <row r="123" spans="3:4">
      <c r="C123" s="314">
        <f>C122/24</f>
        <v>266.16666666666669</v>
      </c>
      <c r="D123" s="288" t="s">
        <v>312</v>
      </c>
    </row>
    <row r="125" spans="3:4">
      <c r="C125" s="288" t="s">
        <v>313</v>
      </c>
      <c r="D125" s="288"/>
    </row>
    <row r="126" spans="3:4">
      <c r="C126" s="314">
        <f>C123*8760</f>
        <v>2331620</v>
      </c>
      <c r="D126" s="288" t="s">
        <v>314</v>
      </c>
    </row>
    <row r="128" spans="3:4">
      <c r="C128" s="323">
        <f>C126/10^6</f>
        <v>2.33162</v>
      </c>
      <c r="D128" s="288" t="s">
        <v>315</v>
      </c>
    </row>
    <row r="130" spans="3:8">
      <c r="C130" s="324">
        <v>1</v>
      </c>
      <c r="D130" s="288" t="s">
        <v>316</v>
      </c>
      <c r="E130" s="288"/>
      <c r="F130" s="288"/>
    </row>
    <row r="132" spans="3:8">
      <c r="C132" s="323">
        <f>C128*C130</f>
        <v>2.33162</v>
      </c>
      <c r="D132" s="288" t="s">
        <v>315</v>
      </c>
    </row>
    <row r="134" spans="3:8">
      <c r="C134" s="288" t="s">
        <v>317</v>
      </c>
    </row>
    <row r="136" spans="3:8">
      <c r="C136" s="288"/>
      <c r="D136" s="288" t="s">
        <v>124</v>
      </c>
      <c r="E136" s="288" t="s">
        <v>318</v>
      </c>
      <c r="F136" s="288" t="s">
        <v>319</v>
      </c>
      <c r="G136" s="288" t="s">
        <v>278</v>
      </c>
      <c r="H136" s="288" t="s">
        <v>308</v>
      </c>
    </row>
    <row r="137" spans="3:8">
      <c r="C137" s="288">
        <v>2015</v>
      </c>
      <c r="D137" s="283">
        <v>5.109977650337199</v>
      </c>
      <c r="E137" s="325">
        <f>CONVERT(D137,"MJ","GJ")</f>
        <v>5.1099776503371989E-3</v>
      </c>
      <c r="F137" s="278">
        <f>E137*10^6</f>
        <v>5109.9776503371986</v>
      </c>
      <c r="G137" s="278">
        <f>F137*$C$132</f>
        <v>11914.52608907922</v>
      </c>
      <c r="H137" s="278" t="e">
        <f>G137/TRA__Eroad_Infra!$T$5</f>
        <v>#DIV/0!</v>
      </c>
    </row>
    <row r="138" spans="3:8">
      <c r="C138" s="288">
        <v>2020</v>
      </c>
      <c r="D138" s="283">
        <v>4.6056069783784297</v>
      </c>
      <c r="E138" s="325">
        <f>CONVERT(D138,"MJ","GJ")</f>
        <v>4.6056069783784294E-3</v>
      </c>
      <c r="F138" s="278">
        <f>E138*10^6</f>
        <v>4605.6069783784296</v>
      </c>
      <c r="G138" s="278">
        <f>F138*$C$132</f>
        <v>10738.525342926714</v>
      </c>
      <c r="H138" s="278" t="e">
        <f>G138/TRA__Eroad_Infra!$T$5</f>
        <v>#DIV/0!</v>
      </c>
    </row>
    <row r="139" spans="3:8">
      <c r="C139" s="288">
        <v>2035</v>
      </c>
      <c r="D139" s="283">
        <v>4.1283931605379749</v>
      </c>
      <c r="E139" s="325">
        <f>CONVERT(D139,"MJ","GJ")</f>
        <v>4.1283931605379746E-3</v>
      </c>
      <c r="F139" s="278">
        <f>E139*10^6</f>
        <v>4128.3931605379748</v>
      </c>
      <c r="G139" s="278">
        <f>F139*$C$132</f>
        <v>9625.8440609735535</v>
      </c>
      <c r="H139" s="278" t="e">
        <f>G139/TRA__Eroad_Infra!$T$5</f>
        <v>#DIV/0!</v>
      </c>
    </row>
    <row r="140" spans="3:8">
      <c r="C140" s="288">
        <v>2050</v>
      </c>
      <c r="D140" s="283">
        <v>3.7147104254770293</v>
      </c>
      <c r="E140" s="325">
        <f>CONVERT(D140,"MJ","GJ")</f>
        <v>3.7147104254770295E-3</v>
      </c>
      <c r="F140" s="278">
        <f>E140*10^6</f>
        <v>3714.7104254770293</v>
      </c>
      <c r="G140" s="278">
        <f>F140*$C$132</f>
        <v>8661.2931222507505</v>
      </c>
      <c r="H140" s="278" t="e">
        <f>G140/TRA__Eroad_Infra!$T$5</f>
        <v>#DIV/0!</v>
      </c>
    </row>
  </sheetData>
  <hyperlinks>
    <hyperlink ref="C34" r:id="rId1" xr:uid="{00000000-0004-0000-0500-000000000000}"/>
  </hyperlinks>
  <pageMargins left="0.7" right="0.7" top="0.75" bottom="0.75" header="0.3" footer="0.3"/>
  <pageSetup paperSize="9" orientation="portrait" horizontalDpi="300" verticalDpi="30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Ark4">
    <tabColor rgb="FF002060"/>
  </sheetPr>
  <dimension ref="B1:S102"/>
  <sheetViews>
    <sheetView topLeftCell="A13"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2" width="10" style="40" customWidth="1"/>
    <col min="13" max="14" width="9" style="40" customWidth="1"/>
    <col min="15" max="15" width="37.85546875" style="40" customWidth="1"/>
    <col min="16" max="18" width="8.85546875" style="40"/>
    <col min="19" max="19" width="9.140625" style="40" customWidth="1"/>
    <col min="20" max="16384" width="8.85546875" style="40"/>
  </cols>
  <sheetData>
    <row r="1" spans="2:19" s="37" customFormat="1" ht="21">
      <c r="B1" s="37" t="s">
        <v>160</v>
      </c>
      <c r="Q1" s="37">
        <v>0</v>
      </c>
      <c r="R1" s="39">
        <v>0</v>
      </c>
      <c r="S1" s="38"/>
    </row>
    <row r="2" spans="2:19">
      <c r="R2" s="133">
        <f>R1</f>
        <v>0</v>
      </c>
      <c r="S2" s="133">
        <f>S1</f>
        <v>0</v>
      </c>
    </row>
    <row r="4" spans="2:19" ht="13.5" thickBot="1">
      <c r="B4" s="129" t="s">
        <v>65</v>
      </c>
    </row>
    <row r="5" spans="2:19">
      <c r="B5" s="132" t="s">
        <v>66</v>
      </c>
      <c r="C5" s="60"/>
      <c r="D5" s="60"/>
      <c r="E5" s="60"/>
      <c r="F5" s="60"/>
      <c r="G5" s="60"/>
      <c r="H5" s="60"/>
      <c r="I5" s="60"/>
      <c r="J5" s="60"/>
      <c r="K5" s="60"/>
      <c r="L5" s="60"/>
      <c r="M5" s="60"/>
      <c r="N5" s="58"/>
    </row>
    <row r="6" spans="2:19">
      <c r="B6" s="108"/>
      <c r="C6" s="52"/>
      <c r="D6" s="52"/>
      <c r="E6" s="52"/>
      <c r="F6" s="52"/>
      <c r="G6" s="52"/>
      <c r="H6" s="52"/>
      <c r="I6" s="52"/>
      <c r="J6" s="52"/>
      <c r="K6" s="52"/>
      <c r="L6" s="52"/>
      <c r="M6" s="52"/>
      <c r="N6" s="49"/>
    </row>
    <row r="7" spans="2:19">
      <c r="B7" s="108"/>
      <c r="C7" s="52"/>
      <c r="D7" s="52"/>
      <c r="E7" s="52"/>
      <c r="F7" s="52"/>
      <c r="G7" s="52"/>
      <c r="H7" s="52"/>
      <c r="I7" s="52"/>
      <c r="J7" s="52"/>
      <c r="K7" s="52"/>
      <c r="L7" s="52"/>
      <c r="M7" s="52"/>
      <c r="N7" s="49"/>
    </row>
    <row r="8" spans="2:19">
      <c r="B8" s="108"/>
      <c r="C8" s="52"/>
      <c r="D8" s="52"/>
      <c r="E8" s="52"/>
      <c r="F8" s="52"/>
      <c r="G8" s="52"/>
      <c r="H8" s="52"/>
      <c r="I8" s="52"/>
      <c r="J8" s="52"/>
      <c r="K8" s="52"/>
      <c r="L8" s="52"/>
      <c r="M8" s="52"/>
      <c r="N8" s="49"/>
    </row>
    <row r="9" spans="2:19">
      <c r="B9" s="131" t="s">
        <v>147</v>
      </c>
      <c r="C9" s="36" t="s">
        <v>146</v>
      </c>
      <c r="D9" s="52"/>
      <c r="E9" s="52"/>
      <c r="F9" s="52"/>
      <c r="G9" s="52"/>
      <c r="H9" s="52"/>
      <c r="I9" s="52"/>
      <c r="J9" s="52"/>
      <c r="K9" s="52"/>
      <c r="L9" s="52"/>
      <c r="M9" s="52"/>
      <c r="N9" s="49"/>
    </row>
    <row r="10" spans="2:19">
      <c r="B10" s="103"/>
      <c r="C10" s="52"/>
      <c r="D10" s="52"/>
      <c r="E10" s="52"/>
      <c r="F10" s="52"/>
      <c r="G10" s="52"/>
      <c r="H10" s="52"/>
      <c r="I10" s="52"/>
      <c r="J10" s="52"/>
      <c r="K10" s="52"/>
      <c r="L10" s="52"/>
      <c r="M10" s="52"/>
      <c r="N10" s="49"/>
    </row>
    <row r="11" spans="2:19">
      <c r="B11" s="130" t="s">
        <v>67</v>
      </c>
      <c r="C11" s="52"/>
      <c r="D11" s="52"/>
      <c r="E11" s="52"/>
      <c r="F11" s="52"/>
      <c r="G11" s="52"/>
      <c r="H11" s="52"/>
      <c r="I11" s="52"/>
      <c r="J11" s="52"/>
      <c r="K11" s="52"/>
      <c r="L11" s="52"/>
      <c r="M11" s="52"/>
      <c r="N11" s="49"/>
    </row>
    <row r="12" spans="2:19">
      <c r="B12" s="108"/>
      <c r="C12" s="52"/>
      <c r="D12" s="52"/>
      <c r="E12" s="52"/>
      <c r="F12" s="52"/>
      <c r="G12" s="52"/>
      <c r="H12" s="52"/>
      <c r="I12" s="52"/>
      <c r="J12" s="52"/>
      <c r="K12" s="52"/>
      <c r="L12" s="52"/>
      <c r="M12" s="52"/>
      <c r="N12" s="49"/>
    </row>
    <row r="13" spans="2:19">
      <c r="B13" s="108"/>
      <c r="C13" s="52"/>
      <c r="D13" s="52"/>
      <c r="E13" s="52"/>
      <c r="F13" s="52"/>
      <c r="G13" s="52"/>
      <c r="H13" s="52"/>
      <c r="I13" s="52"/>
      <c r="J13" s="52"/>
      <c r="K13" s="52"/>
      <c r="L13" s="52"/>
      <c r="M13" s="52"/>
      <c r="N13" s="49"/>
    </row>
    <row r="14" spans="2:19">
      <c r="B14" s="130" t="s">
        <v>68</v>
      </c>
      <c r="C14" s="52"/>
      <c r="D14" s="52"/>
      <c r="E14" s="52"/>
      <c r="F14" s="52"/>
      <c r="G14" s="52"/>
      <c r="H14" s="52"/>
      <c r="I14" s="52"/>
      <c r="J14" s="52"/>
      <c r="K14" s="52"/>
      <c r="L14" s="52"/>
      <c r="M14" s="52"/>
      <c r="N14" s="49"/>
    </row>
    <row r="15" spans="2:19">
      <c r="B15" s="103"/>
      <c r="C15" s="52"/>
      <c r="D15" s="52"/>
      <c r="E15" s="52"/>
      <c r="F15" s="52"/>
      <c r="G15" s="52"/>
      <c r="H15" s="52"/>
      <c r="I15" s="52"/>
      <c r="J15" s="52"/>
      <c r="K15" s="52"/>
      <c r="L15" s="52"/>
      <c r="M15" s="52"/>
      <c r="N15" s="49"/>
    </row>
    <row r="16" spans="2:19">
      <c r="B16" s="103"/>
      <c r="C16" s="52"/>
      <c r="D16" s="52"/>
      <c r="E16" s="52"/>
      <c r="F16" s="52"/>
      <c r="G16" s="52"/>
      <c r="H16" s="52"/>
      <c r="I16" s="52"/>
      <c r="J16" s="52"/>
      <c r="K16" s="52"/>
      <c r="L16" s="52"/>
      <c r="M16" s="52"/>
      <c r="N16" s="49"/>
    </row>
    <row r="17" spans="2:14" ht="13.5" thickBot="1">
      <c r="B17" s="48"/>
      <c r="C17" s="47"/>
      <c r="D17" s="47"/>
      <c r="E17" s="47"/>
      <c r="F17" s="47"/>
      <c r="G17" s="47"/>
      <c r="H17" s="47"/>
      <c r="I17" s="47"/>
      <c r="J17" s="47"/>
      <c r="K17" s="47"/>
      <c r="L17" s="47"/>
      <c r="M17" s="47"/>
      <c r="N17" s="65"/>
    </row>
    <row r="19" spans="2:14" ht="13.5" thickBot="1">
      <c r="B19" s="129" t="s">
        <v>69</v>
      </c>
      <c r="E19" s="128"/>
    </row>
    <row r="20" spans="2:14">
      <c r="B20" s="63"/>
      <c r="C20" s="85"/>
      <c r="D20" s="60"/>
      <c r="E20" s="60"/>
      <c r="F20" s="60"/>
      <c r="G20" s="60"/>
      <c r="H20" s="60"/>
      <c r="I20" s="60" t="s">
        <v>70</v>
      </c>
      <c r="J20" s="58" t="s">
        <v>71</v>
      </c>
    </row>
    <row r="21" spans="2:14">
      <c r="B21" s="84"/>
      <c r="C21" s="83" t="s">
        <v>72</v>
      </c>
      <c r="D21" s="81">
        <v>2015</v>
      </c>
      <c r="E21" s="81">
        <v>2020</v>
      </c>
      <c r="F21" s="81">
        <v>2035</v>
      </c>
      <c r="G21" s="81">
        <v>2050</v>
      </c>
      <c r="H21" s="81" t="s">
        <v>73</v>
      </c>
      <c r="I21" s="127"/>
      <c r="J21" s="79"/>
    </row>
    <row r="22" spans="2:14">
      <c r="B22" s="103" t="s">
        <v>74</v>
      </c>
      <c r="C22" s="93"/>
      <c r="D22" s="126"/>
      <c r="E22" s="126"/>
      <c r="F22" s="126"/>
      <c r="G22" s="126"/>
      <c r="H22" s="126"/>
      <c r="I22" s="52"/>
      <c r="J22" s="49"/>
    </row>
    <row r="23" spans="2:14">
      <c r="B23" s="120" t="s">
        <v>75</v>
      </c>
      <c r="C23" s="93" t="s">
        <v>106</v>
      </c>
      <c r="D23" s="125">
        <f>+D67/D25</f>
        <v>0.20889962750427868</v>
      </c>
      <c r="E23" s="125">
        <f>+E67/E25</f>
        <v>0.22912676056338027</v>
      </c>
      <c r="F23" s="125">
        <f>+F67/F25</f>
        <v>0.24609235668789806</v>
      </c>
      <c r="G23" s="125">
        <f>+G67/G25</f>
        <v>0.25489357638888882</v>
      </c>
      <c r="H23" s="122"/>
      <c r="I23" s="74" t="s">
        <v>215</v>
      </c>
      <c r="J23" s="116"/>
    </row>
    <row r="24" spans="2:14">
      <c r="B24" s="120" t="s">
        <v>76</v>
      </c>
      <c r="C24" s="93" t="s">
        <v>106</v>
      </c>
      <c r="D24" s="124">
        <f>D23</f>
        <v>0.20889962750427868</v>
      </c>
      <c r="E24" s="123">
        <f>E23</f>
        <v>0.22912676056338027</v>
      </c>
      <c r="F24" s="123">
        <f>F23</f>
        <v>0.24609235668789806</v>
      </c>
      <c r="G24" s="123">
        <f>G23</f>
        <v>0.25489357638888882</v>
      </c>
      <c r="H24" s="122"/>
      <c r="I24" s="74"/>
      <c r="J24" s="116"/>
    </row>
    <row r="25" spans="2:14">
      <c r="B25" s="120" t="s">
        <v>77</v>
      </c>
      <c r="C25" s="93" t="s">
        <v>78</v>
      </c>
      <c r="D25" s="121">
        <v>3.9731999999999998</v>
      </c>
      <c r="E25" s="165">
        <v>3.55</v>
      </c>
      <c r="F25" s="151">
        <v>3.14</v>
      </c>
      <c r="G25" s="151">
        <v>2.88</v>
      </c>
      <c r="H25" s="117"/>
      <c r="I25" s="74" t="s">
        <v>215</v>
      </c>
      <c r="J25" s="116"/>
    </row>
    <row r="26" spans="2:14">
      <c r="B26" s="120" t="s">
        <v>79</v>
      </c>
      <c r="C26" s="93" t="s">
        <v>78</v>
      </c>
      <c r="D26" s="119"/>
      <c r="E26" s="118"/>
      <c r="F26" s="118"/>
      <c r="G26" s="118"/>
      <c r="H26" s="117"/>
      <c r="I26" s="74"/>
      <c r="J26" s="116"/>
    </row>
    <row r="27" spans="2:14">
      <c r="B27" s="108" t="s">
        <v>80</v>
      </c>
      <c r="C27" s="93" t="s">
        <v>81</v>
      </c>
      <c r="D27" s="179">
        <v>16.3</v>
      </c>
      <c r="E27" s="178">
        <v>16.3</v>
      </c>
      <c r="F27" s="178">
        <v>16.3</v>
      </c>
      <c r="G27" s="178">
        <v>16.3</v>
      </c>
      <c r="H27" s="100"/>
      <c r="I27" s="50" t="s">
        <v>211</v>
      </c>
      <c r="J27" s="49"/>
    </row>
    <row r="28" spans="2:14">
      <c r="B28" s="108" t="s">
        <v>82</v>
      </c>
      <c r="C28" s="93" t="s">
        <v>83</v>
      </c>
      <c r="D28" s="177">
        <f>D73</f>
        <v>14.94</v>
      </c>
      <c r="E28" s="177">
        <f>E73</f>
        <v>14.6412</v>
      </c>
      <c r="F28" s="177">
        <f>F73</f>
        <v>13.909139999999997</v>
      </c>
      <c r="G28" s="177">
        <f>G73</f>
        <v>13.213682999999998</v>
      </c>
      <c r="H28" s="113"/>
      <c r="I28" s="74"/>
      <c r="J28" s="49"/>
    </row>
    <row r="29" spans="2:14">
      <c r="B29" s="53"/>
      <c r="C29" s="112"/>
      <c r="D29" s="73"/>
      <c r="E29" s="73"/>
      <c r="F29" s="73"/>
      <c r="G29" s="73"/>
      <c r="H29" s="73"/>
      <c r="I29" s="54"/>
      <c r="J29" s="49"/>
    </row>
    <row r="30" spans="2:14">
      <c r="B30" s="103" t="s">
        <v>84</v>
      </c>
      <c r="C30" s="93"/>
      <c r="D30" s="73"/>
      <c r="E30" s="73"/>
      <c r="F30" s="73"/>
      <c r="G30" s="73"/>
      <c r="H30" s="73"/>
      <c r="I30" s="54"/>
      <c r="J30" s="49"/>
    </row>
    <row r="31" spans="2:14">
      <c r="B31" s="108" t="s">
        <v>85</v>
      </c>
      <c r="C31" s="93" t="s">
        <v>15</v>
      </c>
      <c r="D31" s="111">
        <v>177740</v>
      </c>
      <c r="E31" s="111">
        <v>182293</v>
      </c>
      <c r="F31" s="111">
        <v>194485</v>
      </c>
      <c r="G31" s="111">
        <v>194650</v>
      </c>
      <c r="H31" s="110">
        <v>2015</v>
      </c>
      <c r="I31" s="54"/>
      <c r="J31" s="49"/>
    </row>
    <row r="32" spans="2:14">
      <c r="B32" s="53" t="s">
        <v>16</v>
      </c>
      <c r="C32" s="93" t="s">
        <v>17</v>
      </c>
      <c r="D32" s="111">
        <v>1421.7563347350567</v>
      </c>
      <c r="E32" s="111">
        <v>1479.1169153328115</v>
      </c>
      <c r="F32" s="111">
        <v>1636.8625257442075</v>
      </c>
      <c r="G32" s="111">
        <v>1724.1513828658547</v>
      </c>
      <c r="H32" s="110">
        <v>2015</v>
      </c>
      <c r="I32" s="54"/>
      <c r="J32" s="49"/>
    </row>
    <row r="33" spans="2:10">
      <c r="B33" s="104" t="s">
        <v>18</v>
      </c>
      <c r="C33" s="93" t="s">
        <v>17</v>
      </c>
      <c r="D33" s="111">
        <v>1084.4069371446953</v>
      </c>
      <c r="E33" s="111">
        <v>1134.8828361589731</v>
      </c>
      <c r="F33" s="111">
        <v>1274.5108634559567</v>
      </c>
      <c r="G33" s="111">
        <v>1342.7285804571695</v>
      </c>
      <c r="H33" s="110">
        <v>2015</v>
      </c>
      <c r="I33" s="54"/>
      <c r="J33" s="49"/>
    </row>
    <row r="34" spans="2:10">
      <c r="B34" s="104" t="s">
        <v>19</v>
      </c>
      <c r="C34" s="93" t="s">
        <v>17</v>
      </c>
      <c r="D34" s="111">
        <v>337.34939759036143</v>
      </c>
      <c r="E34" s="111">
        <v>344.23407917383827</v>
      </c>
      <c r="F34" s="111">
        <v>362.35166228825079</v>
      </c>
      <c r="G34" s="111">
        <v>381.42280240868507</v>
      </c>
      <c r="H34" s="110">
        <v>2015</v>
      </c>
      <c r="I34" s="54"/>
      <c r="J34" s="49"/>
    </row>
    <row r="35" spans="2:10">
      <c r="B35" s="104"/>
      <c r="C35" s="93"/>
      <c r="D35" s="111"/>
      <c r="E35" s="111"/>
      <c r="F35" s="111"/>
      <c r="G35" s="111"/>
      <c r="H35" s="110"/>
      <c r="I35" s="54"/>
      <c r="J35" s="49"/>
    </row>
    <row r="36" spans="2:10">
      <c r="B36" s="104" t="s">
        <v>86</v>
      </c>
      <c r="C36" s="93" t="s">
        <v>17</v>
      </c>
      <c r="D36" s="111">
        <v>0</v>
      </c>
      <c r="E36" s="111">
        <v>0</v>
      </c>
      <c r="F36" s="111">
        <v>0</v>
      </c>
      <c r="G36" s="111">
        <v>0</v>
      </c>
      <c r="H36" s="110">
        <v>2015</v>
      </c>
      <c r="I36" s="54"/>
      <c r="J36" s="49"/>
    </row>
    <row r="37" spans="2:10">
      <c r="B37" s="103"/>
      <c r="C37" s="93"/>
      <c r="D37" s="109"/>
      <c r="E37" s="73"/>
      <c r="F37" s="73"/>
      <c r="G37" s="73"/>
      <c r="H37" s="73"/>
      <c r="I37" s="54"/>
      <c r="J37" s="49"/>
    </row>
    <row r="38" spans="2:10">
      <c r="B38" s="108" t="s">
        <v>85</v>
      </c>
      <c r="C38" s="93" t="s">
        <v>15</v>
      </c>
      <c r="D38" s="176">
        <v>177740</v>
      </c>
      <c r="E38" s="175">
        <v>182293</v>
      </c>
      <c r="F38" s="175">
        <v>194485</v>
      </c>
      <c r="G38" s="175">
        <v>194650</v>
      </c>
      <c r="H38" s="105">
        <v>2015</v>
      </c>
      <c r="I38" s="74" t="s">
        <v>210</v>
      </c>
      <c r="J38" s="49"/>
    </row>
    <row r="39" spans="2:10">
      <c r="B39" s="53" t="s">
        <v>16</v>
      </c>
      <c r="C39" s="93" t="s">
        <v>17</v>
      </c>
      <c r="D39" s="101">
        <f>+SUM(D40:D43)</f>
        <v>1421.7563347350567</v>
      </c>
      <c r="E39" s="101">
        <f>+SUM(E40:E43)</f>
        <v>1479.1169153328115</v>
      </c>
      <c r="F39" s="101">
        <f>+SUM(F40:F43)</f>
        <v>1636.8625257442075</v>
      </c>
      <c r="G39" s="101">
        <f>+SUM(G40:G43)</f>
        <v>1724.1513828658547</v>
      </c>
      <c r="H39" s="105">
        <v>2015</v>
      </c>
      <c r="I39" s="74"/>
      <c r="J39" s="49"/>
    </row>
    <row r="40" spans="2:10">
      <c r="B40" s="104" t="s">
        <v>18</v>
      </c>
      <c r="C40" s="93" t="s">
        <v>17</v>
      </c>
      <c r="D40" s="101">
        <v>1084.4069371446953</v>
      </c>
      <c r="E40" s="101">
        <v>1134.8828361589731</v>
      </c>
      <c r="F40" s="101">
        <v>1274.5108634559567</v>
      </c>
      <c r="G40" s="101">
        <v>1342.7285804571695</v>
      </c>
      <c r="H40" s="105">
        <v>2015</v>
      </c>
      <c r="I40" s="74"/>
      <c r="J40" s="49"/>
    </row>
    <row r="41" spans="2:10">
      <c r="B41" s="104" t="s">
        <v>19</v>
      </c>
      <c r="C41" s="93" t="s">
        <v>17</v>
      </c>
      <c r="D41" s="106">
        <f>+D74</f>
        <v>337.34939759036143</v>
      </c>
      <c r="E41" s="106">
        <f>+E74</f>
        <v>344.23407917383827</v>
      </c>
      <c r="F41" s="106">
        <f>+F74</f>
        <v>362.35166228825079</v>
      </c>
      <c r="G41" s="106">
        <f>+G74</f>
        <v>381.42280240868507</v>
      </c>
      <c r="H41" s="105">
        <v>2015</v>
      </c>
      <c r="I41" s="74"/>
      <c r="J41" s="49"/>
    </row>
    <row r="42" spans="2:10">
      <c r="B42" s="104"/>
      <c r="C42" s="93"/>
      <c r="D42" s="73"/>
      <c r="E42" s="73"/>
      <c r="F42" s="73"/>
      <c r="G42" s="73"/>
      <c r="H42" s="105"/>
      <c r="I42" s="74"/>
      <c r="J42" s="49"/>
    </row>
    <row r="43" spans="2:10">
      <c r="B43" s="104" t="s">
        <v>86</v>
      </c>
      <c r="C43" s="93" t="s">
        <v>17</v>
      </c>
      <c r="D43" s="100">
        <v>0</v>
      </c>
      <c r="E43" s="100">
        <v>0</v>
      </c>
      <c r="F43" s="100">
        <v>0</v>
      </c>
      <c r="G43" s="100">
        <v>0</v>
      </c>
      <c r="H43" s="105">
        <v>2015</v>
      </c>
      <c r="I43" s="74"/>
      <c r="J43" s="49"/>
    </row>
    <row r="44" spans="2:10">
      <c r="B44" s="104"/>
      <c r="C44" s="93"/>
      <c r="D44" s="73"/>
      <c r="E44" s="97"/>
      <c r="F44" s="97"/>
      <c r="G44" s="97"/>
      <c r="H44" s="73"/>
      <c r="I44" s="74"/>
      <c r="J44" s="49"/>
    </row>
    <row r="45" spans="2:10">
      <c r="B45" s="103" t="s">
        <v>87</v>
      </c>
      <c r="C45" s="93"/>
      <c r="D45" s="73"/>
      <c r="E45" s="97"/>
      <c r="F45" s="97"/>
      <c r="G45" s="97"/>
      <c r="H45" s="102"/>
      <c r="I45" s="74"/>
      <c r="J45" s="49"/>
    </row>
    <row r="46" spans="2:10">
      <c r="B46" s="98" t="s">
        <v>30</v>
      </c>
      <c r="C46" s="93"/>
      <c r="D46" s="73"/>
      <c r="E46" s="97"/>
      <c r="F46" s="97"/>
      <c r="G46" s="97"/>
      <c r="H46" s="101"/>
      <c r="I46" s="74"/>
      <c r="J46" s="49"/>
    </row>
    <row r="47" spans="2:10">
      <c r="B47" s="53" t="s">
        <v>20</v>
      </c>
      <c r="C47" s="93" t="s">
        <v>107</v>
      </c>
      <c r="D47" s="96"/>
      <c r="E47" s="96"/>
      <c r="F47" s="96"/>
      <c r="G47" s="96"/>
      <c r="H47" s="101"/>
      <c r="I47" s="74"/>
      <c r="J47" s="94" t="s">
        <v>88</v>
      </c>
    </row>
    <row r="48" spans="2:10">
      <c r="B48" s="53" t="s">
        <v>21</v>
      </c>
      <c r="C48" s="93" t="s">
        <v>107</v>
      </c>
      <c r="D48" s="99">
        <f t="shared" ref="D48:G52" si="0">D83/D$25</f>
        <v>8.0539615423336364E-3</v>
      </c>
      <c r="E48" s="99">
        <f t="shared" si="0"/>
        <v>9.014084507042254E-3</v>
      </c>
      <c r="F48" s="99">
        <f t="shared" si="0"/>
        <v>1.019108280254777E-2</v>
      </c>
      <c r="G48" s="99">
        <f t="shared" si="0"/>
        <v>1.1111111111111112E-2</v>
      </c>
      <c r="H48" s="95"/>
      <c r="I48" s="74"/>
      <c r="J48" s="49"/>
    </row>
    <row r="49" spans="2:10">
      <c r="B49" s="53" t="s">
        <v>22</v>
      </c>
      <c r="C49" s="93" t="s">
        <v>107</v>
      </c>
      <c r="D49" s="99">
        <f t="shared" si="0"/>
        <v>0</v>
      </c>
      <c r="E49" s="99">
        <f t="shared" si="0"/>
        <v>0</v>
      </c>
      <c r="F49" s="99">
        <f t="shared" si="0"/>
        <v>0</v>
      </c>
      <c r="G49" s="99">
        <f t="shared" si="0"/>
        <v>0</v>
      </c>
      <c r="H49" s="73"/>
      <c r="I49" s="74"/>
      <c r="J49" s="49"/>
    </row>
    <row r="50" spans="2:10">
      <c r="B50" s="53" t="s">
        <v>23</v>
      </c>
      <c r="C50" s="93" t="s">
        <v>107</v>
      </c>
      <c r="D50" s="99">
        <f t="shared" si="0"/>
        <v>0</v>
      </c>
      <c r="E50" s="99">
        <f t="shared" si="0"/>
        <v>0</v>
      </c>
      <c r="F50" s="99">
        <f t="shared" si="0"/>
        <v>0</v>
      </c>
      <c r="G50" s="99">
        <f t="shared" si="0"/>
        <v>0</v>
      </c>
      <c r="H50" s="100"/>
      <c r="I50" s="74"/>
      <c r="J50" s="49"/>
    </row>
    <row r="51" spans="2:10">
      <c r="B51" s="53" t="s">
        <v>89</v>
      </c>
      <c r="C51" s="93" t="s">
        <v>107</v>
      </c>
      <c r="D51" s="99">
        <f t="shared" si="0"/>
        <v>1.5101177891875567E-2</v>
      </c>
      <c r="E51" s="99">
        <f t="shared" si="0"/>
        <v>1.6901408450704227E-2</v>
      </c>
      <c r="F51" s="99">
        <f t="shared" si="0"/>
        <v>1.9108280254777069E-2</v>
      </c>
      <c r="G51" s="99">
        <f t="shared" si="0"/>
        <v>2.0833333333333332E-2</v>
      </c>
      <c r="H51" s="73"/>
      <c r="I51" s="74"/>
      <c r="J51" s="49"/>
    </row>
    <row r="52" spans="2:10">
      <c r="B52" s="53" t="s">
        <v>24</v>
      </c>
      <c r="C52" s="93" t="s">
        <v>107</v>
      </c>
      <c r="D52" s="99">
        <f t="shared" si="0"/>
        <v>1.2584314909896306E-3</v>
      </c>
      <c r="E52" s="99">
        <f t="shared" si="0"/>
        <v>1.4084507042253522E-3</v>
      </c>
      <c r="F52" s="99">
        <f t="shared" si="0"/>
        <v>1.592356687898089E-3</v>
      </c>
      <c r="G52" s="99">
        <f t="shared" si="0"/>
        <v>1.7361111111111112E-3</v>
      </c>
      <c r="H52" s="73"/>
      <c r="I52" s="74"/>
      <c r="J52" s="49"/>
    </row>
    <row r="53" spans="2:10">
      <c r="B53" s="53"/>
      <c r="C53" s="93"/>
      <c r="D53" s="97"/>
      <c r="E53" s="52"/>
      <c r="F53" s="52"/>
      <c r="G53" s="52"/>
      <c r="H53" s="73"/>
      <c r="I53" s="74"/>
      <c r="J53" s="49"/>
    </row>
    <row r="54" spans="2:10">
      <c r="B54" s="98" t="s">
        <v>31</v>
      </c>
      <c r="C54" s="93"/>
      <c r="D54" s="73"/>
      <c r="E54" s="97"/>
      <c r="F54" s="97"/>
      <c r="G54" s="97"/>
      <c r="H54" s="95"/>
      <c r="I54" s="74"/>
      <c r="J54" s="49"/>
    </row>
    <row r="55" spans="2:10">
      <c r="B55" s="53" t="s">
        <v>20</v>
      </c>
      <c r="C55" s="93" t="s">
        <v>107</v>
      </c>
      <c r="D55" s="96"/>
      <c r="E55" s="96"/>
      <c r="F55" s="96"/>
      <c r="G55" s="96"/>
      <c r="H55" s="95"/>
      <c r="I55" s="74"/>
      <c r="J55" s="94" t="s">
        <v>88</v>
      </c>
    </row>
    <row r="56" spans="2:10">
      <c r="B56" s="53" t="s">
        <v>21</v>
      </c>
      <c r="C56" s="93" t="s">
        <v>107</v>
      </c>
      <c r="D56" s="92">
        <f t="shared" ref="D56:G60" si="1">D48</f>
        <v>8.0539615423336364E-3</v>
      </c>
      <c r="E56" s="92">
        <f t="shared" si="1"/>
        <v>9.014084507042254E-3</v>
      </c>
      <c r="F56" s="92">
        <f t="shared" si="1"/>
        <v>1.019108280254777E-2</v>
      </c>
      <c r="G56" s="92">
        <f t="shared" si="1"/>
        <v>1.1111111111111112E-2</v>
      </c>
      <c r="H56" s="91"/>
      <c r="I56" s="74"/>
      <c r="J56" s="49"/>
    </row>
    <row r="57" spans="2:10">
      <c r="B57" s="53" t="s">
        <v>22</v>
      </c>
      <c r="C57" s="93" t="s">
        <v>107</v>
      </c>
      <c r="D57" s="92">
        <f t="shared" si="1"/>
        <v>0</v>
      </c>
      <c r="E57" s="92">
        <f t="shared" si="1"/>
        <v>0</v>
      </c>
      <c r="F57" s="92">
        <f t="shared" si="1"/>
        <v>0</v>
      </c>
      <c r="G57" s="92">
        <f t="shared" si="1"/>
        <v>0</v>
      </c>
      <c r="H57" s="91"/>
      <c r="I57" s="74"/>
      <c r="J57" s="49"/>
    </row>
    <row r="58" spans="2:10">
      <c r="B58" s="53" t="s">
        <v>23</v>
      </c>
      <c r="C58" s="93" t="s">
        <v>107</v>
      </c>
      <c r="D58" s="92">
        <f t="shared" si="1"/>
        <v>0</v>
      </c>
      <c r="E58" s="92">
        <f t="shared" si="1"/>
        <v>0</v>
      </c>
      <c r="F58" s="92">
        <f t="shared" si="1"/>
        <v>0</v>
      </c>
      <c r="G58" s="92">
        <f t="shared" si="1"/>
        <v>0</v>
      </c>
      <c r="H58" s="91"/>
      <c r="I58" s="74"/>
      <c r="J58" s="49"/>
    </row>
    <row r="59" spans="2:10">
      <c r="B59" s="53" t="s">
        <v>89</v>
      </c>
      <c r="C59" s="93" t="s">
        <v>107</v>
      </c>
      <c r="D59" s="92">
        <f t="shared" si="1"/>
        <v>1.5101177891875567E-2</v>
      </c>
      <c r="E59" s="92">
        <f t="shared" si="1"/>
        <v>1.6901408450704227E-2</v>
      </c>
      <c r="F59" s="92">
        <f t="shared" si="1"/>
        <v>1.9108280254777069E-2</v>
      </c>
      <c r="G59" s="92">
        <f t="shared" si="1"/>
        <v>2.0833333333333332E-2</v>
      </c>
      <c r="H59" s="91"/>
      <c r="I59" s="74"/>
      <c r="J59" s="49"/>
    </row>
    <row r="60" spans="2:10">
      <c r="B60" s="53" t="s">
        <v>24</v>
      </c>
      <c r="C60" s="93" t="s">
        <v>107</v>
      </c>
      <c r="D60" s="92">
        <f t="shared" si="1"/>
        <v>1.2584314909896306E-3</v>
      </c>
      <c r="E60" s="92">
        <f t="shared" si="1"/>
        <v>1.4084507042253522E-3</v>
      </c>
      <c r="F60" s="92">
        <f t="shared" si="1"/>
        <v>1.592356687898089E-3</v>
      </c>
      <c r="G60" s="92">
        <f t="shared" si="1"/>
        <v>1.7361111111111112E-3</v>
      </c>
      <c r="H60" s="91"/>
      <c r="I60" s="74"/>
      <c r="J60" s="49"/>
    </row>
    <row r="61" spans="2:10" ht="13.5" thickBot="1">
      <c r="B61" s="90"/>
      <c r="C61" s="89"/>
      <c r="D61" s="88"/>
      <c r="E61" s="47"/>
      <c r="F61" s="47"/>
      <c r="G61" s="47"/>
      <c r="H61" s="87"/>
      <c r="I61" s="86"/>
      <c r="J61" s="65"/>
    </row>
    <row r="62" spans="2:10">
      <c r="I62" s="44"/>
    </row>
    <row r="63" spans="2:10">
      <c r="I63" s="44"/>
    </row>
    <row r="64" spans="2:10" ht="16.5" thickBot="1">
      <c r="B64" s="64" t="s">
        <v>90</v>
      </c>
      <c r="I64" s="44"/>
    </row>
    <row r="65" spans="2:10">
      <c r="B65" s="63"/>
      <c r="C65" s="85"/>
      <c r="D65" s="60"/>
      <c r="E65" s="60"/>
      <c r="F65" s="60"/>
      <c r="G65" s="60"/>
      <c r="H65" s="60"/>
      <c r="I65" s="59" t="s">
        <v>70</v>
      </c>
      <c r="J65" s="58" t="s">
        <v>71</v>
      </c>
    </row>
    <row r="66" spans="2:10">
      <c r="B66" s="84"/>
      <c r="C66" s="83" t="s">
        <v>72</v>
      </c>
      <c r="D66" s="82">
        <v>2015</v>
      </c>
      <c r="E66" s="81">
        <v>2020</v>
      </c>
      <c r="F66" s="81">
        <v>2035</v>
      </c>
      <c r="G66" s="81">
        <v>2050</v>
      </c>
      <c r="H66" s="81"/>
      <c r="I66" s="80"/>
      <c r="J66" s="79"/>
    </row>
    <row r="67" spans="2:10">
      <c r="B67" s="53" t="s">
        <v>25</v>
      </c>
      <c r="C67" s="70" t="s">
        <v>108</v>
      </c>
      <c r="D67" s="135">
        <f>D68*D69/D70</f>
        <v>0.83</v>
      </c>
      <c r="E67" s="135">
        <f>D67*(1-E71)</f>
        <v>0.8133999999999999</v>
      </c>
      <c r="F67" s="135">
        <f>E67*(1-F71)</f>
        <v>0.77272999999999992</v>
      </c>
      <c r="G67" s="135">
        <f>F67*(1-G71)</f>
        <v>0.73409349999999984</v>
      </c>
      <c r="H67" s="75"/>
      <c r="I67" s="54"/>
      <c r="J67" s="49"/>
    </row>
    <row r="68" spans="2:10">
      <c r="B68" s="53" t="s">
        <v>109</v>
      </c>
      <c r="C68" s="70" t="s">
        <v>108</v>
      </c>
      <c r="D68" s="78">
        <v>0.83</v>
      </c>
      <c r="E68" s="78"/>
      <c r="F68" s="78"/>
      <c r="G68" s="78"/>
      <c r="H68" s="77"/>
      <c r="I68" s="74" t="s">
        <v>215</v>
      </c>
      <c r="J68" s="49"/>
    </row>
    <row r="69" spans="2:10">
      <c r="B69" s="53" t="s">
        <v>159</v>
      </c>
      <c r="C69" s="70" t="s">
        <v>92</v>
      </c>
      <c r="D69" s="78">
        <v>1975</v>
      </c>
      <c r="E69" s="78"/>
      <c r="F69" s="78"/>
      <c r="G69" s="78"/>
      <c r="H69" s="78"/>
      <c r="I69" s="54"/>
      <c r="J69" s="49"/>
    </row>
    <row r="70" spans="2:10">
      <c r="B70" s="53" t="s">
        <v>110</v>
      </c>
      <c r="C70" s="70" t="s">
        <v>92</v>
      </c>
      <c r="D70" s="78">
        <v>1975</v>
      </c>
      <c r="E70" s="78"/>
      <c r="F70" s="78"/>
      <c r="G70" s="78"/>
      <c r="H70" s="78"/>
      <c r="I70" s="74" t="s">
        <v>215</v>
      </c>
      <c r="J70" s="49"/>
    </row>
    <row r="71" spans="2:10">
      <c r="B71" s="53" t="s">
        <v>93</v>
      </c>
      <c r="C71" s="70" t="s">
        <v>26</v>
      </c>
      <c r="D71" s="78"/>
      <c r="E71" s="78">
        <v>0.02</v>
      </c>
      <c r="F71" s="78">
        <v>0.05</v>
      </c>
      <c r="G71" s="78">
        <v>0.05</v>
      </c>
      <c r="H71" s="78"/>
      <c r="I71" s="74"/>
      <c r="J71" s="49"/>
    </row>
    <row r="72" spans="2:10">
      <c r="B72" s="53" t="s">
        <v>94</v>
      </c>
      <c r="C72" s="70" t="s">
        <v>95</v>
      </c>
      <c r="D72" s="73">
        <v>18000</v>
      </c>
      <c r="E72" s="73">
        <v>18000</v>
      </c>
      <c r="F72" s="73">
        <v>18000</v>
      </c>
      <c r="G72" s="73">
        <v>18000</v>
      </c>
      <c r="H72" s="73"/>
      <c r="I72" s="54"/>
      <c r="J72" s="49"/>
    </row>
    <row r="73" spans="2:10">
      <c r="B73" s="53" t="s">
        <v>82</v>
      </c>
      <c r="C73" s="70" t="s">
        <v>83</v>
      </c>
      <c r="D73" s="174">
        <f>+D67*D72/1000</f>
        <v>14.94</v>
      </c>
      <c r="E73" s="174">
        <f>+E67*E72/1000</f>
        <v>14.6412</v>
      </c>
      <c r="F73" s="174">
        <f>+F67*F72/1000</f>
        <v>13.909139999999997</v>
      </c>
      <c r="G73" s="174">
        <f>+G67*G72/1000</f>
        <v>13.213682999999998</v>
      </c>
      <c r="H73" s="52"/>
      <c r="I73" s="54"/>
      <c r="J73" s="49" t="s">
        <v>96</v>
      </c>
    </row>
    <row r="74" spans="2:10">
      <c r="B74" s="53" t="s">
        <v>97</v>
      </c>
      <c r="C74" s="70" t="s">
        <v>17</v>
      </c>
      <c r="D74" s="72">
        <f>D75*1000/D67</f>
        <v>337.34939759036143</v>
      </c>
      <c r="E74" s="72">
        <f>E75*1000/E67</f>
        <v>344.23407917383827</v>
      </c>
      <c r="F74" s="72">
        <f>F75*1000/F67</f>
        <v>362.35166228825079</v>
      </c>
      <c r="G74" s="72">
        <f>G75*1000/G67</f>
        <v>381.42280240868507</v>
      </c>
      <c r="H74" s="72"/>
      <c r="I74" s="54"/>
      <c r="J74" s="49" t="s">
        <v>111</v>
      </c>
    </row>
    <row r="75" spans="2:10">
      <c r="B75" s="53" t="s">
        <v>97</v>
      </c>
      <c r="C75" s="70" t="s">
        <v>35</v>
      </c>
      <c r="D75" s="173">
        <v>0.28000000000000003</v>
      </c>
      <c r="E75" s="173">
        <v>0.28000000000000003</v>
      </c>
      <c r="F75" s="173">
        <v>0.28000000000000003</v>
      </c>
      <c r="G75" s="173">
        <v>0.28000000000000003</v>
      </c>
      <c r="H75" s="67"/>
      <c r="I75" s="50" t="s">
        <v>212</v>
      </c>
      <c r="J75" s="49"/>
    </row>
    <row r="76" spans="2:10">
      <c r="B76" s="53"/>
      <c r="C76" s="70"/>
      <c r="D76" s="69"/>
      <c r="E76" s="68"/>
      <c r="F76" s="172"/>
      <c r="G76" s="172"/>
      <c r="H76" s="67"/>
      <c r="I76" s="50"/>
      <c r="J76" s="49"/>
    </row>
    <row r="77" spans="2:10" ht="13.5" thickBot="1">
      <c r="B77" s="48"/>
      <c r="C77" s="66"/>
      <c r="D77" s="47"/>
      <c r="E77" s="47"/>
      <c r="F77" s="47"/>
      <c r="G77" s="47"/>
      <c r="H77" s="47"/>
      <c r="I77" s="46"/>
      <c r="J77" s="65"/>
    </row>
    <row r="78" spans="2:10">
      <c r="I78" s="44"/>
    </row>
    <row r="79" spans="2:10" ht="16.5" thickBot="1">
      <c r="B79" s="64" t="s">
        <v>99</v>
      </c>
      <c r="I79" s="44"/>
    </row>
    <row r="80" spans="2:10">
      <c r="B80" s="63"/>
      <c r="C80" s="60"/>
      <c r="D80" s="62"/>
      <c r="E80" s="62"/>
      <c r="F80" s="62"/>
      <c r="G80" s="61"/>
      <c r="H80" s="60"/>
      <c r="I80" s="59"/>
      <c r="J80" s="58"/>
    </row>
    <row r="81" spans="2:10">
      <c r="B81" s="53"/>
      <c r="C81" s="52"/>
      <c r="D81" s="52"/>
      <c r="E81" s="52"/>
      <c r="F81" s="52"/>
      <c r="G81" s="52"/>
      <c r="H81" s="52"/>
      <c r="I81" s="54"/>
      <c r="J81" s="49"/>
    </row>
    <row r="82" spans="2:10">
      <c r="B82" s="53" t="s">
        <v>20</v>
      </c>
      <c r="C82" s="52" t="s">
        <v>27</v>
      </c>
      <c r="D82" s="57"/>
      <c r="E82" s="56"/>
      <c r="F82" s="56"/>
      <c r="G82" s="56"/>
      <c r="H82" s="55"/>
      <c r="I82" s="54"/>
      <c r="J82" s="49" t="s">
        <v>100</v>
      </c>
    </row>
    <row r="83" spans="2:10">
      <c r="B83" s="53" t="s">
        <v>21</v>
      </c>
      <c r="C83" s="52" t="s">
        <v>27</v>
      </c>
      <c r="D83" s="51">
        <v>3.2000000000000001E-2</v>
      </c>
      <c r="E83" s="51">
        <v>3.2000000000000001E-2</v>
      </c>
      <c r="F83" s="51">
        <v>3.2000000000000001E-2</v>
      </c>
      <c r="G83" s="51">
        <v>3.2000000000000001E-2</v>
      </c>
      <c r="H83" s="51"/>
      <c r="I83" s="50" t="s">
        <v>213</v>
      </c>
      <c r="J83" s="49" t="s">
        <v>101</v>
      </c>
    </row>
    <row r="84" spans="2:10">
      <c r="B84" s="53" t="s">
        <v>22</v>
      </c>
      <c r="C84" s="52" t="s">
        <v>27</v>
      </c>
      <c r="D84" s="51"/>
      <c r="E84" s="51"/>
      <c r="F84" s="51"/>
      <c r="G84" s="51"/>
      <c r="H84" s="51"/>
      <c r="I84" s="50" t="s">
        <v>213</v>
      </c>
      <c r="J84" s="49" t="s">
        <v>102</v>
      </c>
    </row>
    <row r="85" spans="2:10">
      <c r="B85" s="53" t="s">
        <v>23</v>
      </c>
      <c r="C85" s="52" t="s">
        <v>27</v>
      </c>
      <c r="D85" s="51"/>
      <c r="E85" s="51"/>
      <c r="F85" s="51"/>
      <c r="G85" s="51"/>
      <c r="H85" s="51"/>
      <c r="I85" s="50" t="s">
        <v>213</v>
      </c>
      <c r="J85" s="49" t="s">
        <v>103</v>
      </c>
    </row>
    <row r="86" spans="2:10">
      <c r="B86" s="53" t="s">
        <v>89</v>
      </c>
      <c r="C86" s="52" t="s">
        <v>27</v>
      </c>
      <c r="D86" s="51">
        <v>0.06</v>
      </c>
      <c r="E86" s="51">
        <v>0.06</v>
      </c>
      <c r="F86" s="51">
        <v>0.06</v>
      </c>
      <c r="G86" s="51">
        <v>0.06</v>
      </c>
      <c r="H86" s="51"/>
      <c r="I86" s="50" t="s">
        <v>213</v>
      </c>
      <c r="J86" s="49"/>
    </row>
    <row r="87" spans="2:10">
      <c r="B87" s="53" t="s">
        <v>24</v>
      </c>
      <c r="C87" s="52" t="s">
        <v>27</v>
      </c>
      <c r="D87" s="51">
        <v>5.0000000000000001E-3</v>
      </c>
      <c r="E87" s="51">
        <v>5.0000000000000001E-3</v>
      </c>
      <c r="F87" s="51">
        <v>5.0000000000000001E-3</v>
      </c>
      <c r="G87" s="51">
        <v>5.0000000000000001E-3</v>
      </c>
      <c r="H87" s="51"/>
      <c r="I87" s="50" t="s">
        <v>213</v>
      </c>
      <c r="J87" s="49"/>
    </row>
    <row r="88" spans="2:10" ht="13.5" thickBot="1">
      <c r="B88" s="48"/>
      <c r="C88" s="47"/>
      <c r="D88" s="47"/>
      <c r="E88" s="47"/>
      <c r="F88" s="47"/>
      <c r="G88" s="47"/>
      <c r="H88" s="47"/>
      <c r="I88" s="46"/>
      <c r="J88" s="45"/>
    </row>
    <row r="89" spans="2:10">
      <c r="F89" s="43"/>
      <c r="G89" s="43"/>
      <c r="I89" s="44"/>
    </row>
    <row r="90" spans="2:10">
      <c r="F90" s="43"/>
      <c r="G90" s="43"/>
      <c r="H90" s="43"/>
    </row>
    <row r="91" spans="2:10">
      <c r="F91" s="43"/>
      <c r="G91" s="43"/>
      <c r="H91" s="43"/>
    </row>
    <row r="92" spans="2:10">
      <c r="F92" s="43"/>
      <c r="G92" s="43"/>
      <c r="H92" s="43"/>
      <c r="I92" s="41"/>
    </row>
    <row r="93" spans="2:10">
      <c r="F93" s="43"/>
      <c r="G93" s="43"/>
      <c r="H93" s="43"/>
    </row>
    <row r="94" spans="2:10">
      <c r="F94" s="43"/>
      <c r="G94" s="43"/>
      <c r="H94" s="43"/>
    </row>
    <row r="95" spans="2:10">
      <c r="D95" s="42"/>
      <c r="I95" s="41"/>
    </row>
    <row r="98" spans="9:9">
      <c r="I98" s="41"/>
    </row>
    <row r="101" spans="9:9">
      <c r="I101" s="41"/>
    </row>
    <row r="102" spans="9:9">
      <c r="I102" s="41"/>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'C:\Users\B003920\Desktop\[Kopi af alternativ_drivmiddelmodel_3.0_2.xlsm]Sheet1'!#REF!</xm:f>
          </x14:formula1>
          <xm:sqref>C9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6">
    <tabColor rgb="FF002060"/>
  </sheetPr>
  <dimension ref="B1:S102"/>
  <sheetViews>
    <sheetView topLeftCell="A19"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2" width="10" style="40" customWidth="1"/>
    <col min="13" max="14" width="9" style="40" customWidth="1"/>
    <col min="15" max="15" width="37.85546875" style="40" customWidth="1"/>
    <col min="16" max="18" width="8.85546875" style="40"/>
    <col min="19" max="19" width="9.140625" style="40" customWidth="1"/>
    <col min="20" max="16384" width="8.85546875" style="40"/>
  </cols>
  <sheetData>
    <row r="1" spans="2:19" s="37" customFormat="1" ht="21">
      <c r="B1" s="37" t="s">
        <v>32</v>
      </c>
      <c r="Q1" s="37">
        <v>0</v>
      </c>
      <c r="R1" s="39">
        <v>0</v>
      </c>
      <c r="S1" s="38"/>
    </row>
    <row r="2" spans="2:19">
      <c r="R2" s="133">
        <f>R1</f>
        <v>0</v>
      </c>
      <c r="S2" s="133">
        <f>S1</f>
        <v>0</v>
      </c>
    </row>
    <row r="4" spans="2:19" ht="13.5" thickBot="1">
      <c r="B4" s="129" t="s">
        <v>65</v>
      </c>
    </row>
    <row r="5" spans="2:19">
      <c r="B5" s="132" t="s">
        <v>66</v>
      </c>
      <c r="C5" s="60"/>
      <c r="D5" s="60"/>
      <c r="E5" s="60"/>
      <c r="F5" s="60"/>
      <c r="G5" s="60"/>
      <c r="H5" s="60"/>
      <c r="I5" s="60"/>
      <c r="J5" s="60"/>
      <c r="K5" s="60"/>
      <c r="L5" s="60"/>
      <c r="M5" s="60"/>
      <c r="N5" s="58"/>
    </row>
    <row r="6" spans="2:19">
      <c r="B6" s="108" t="s">
        <v>167</v>
      </c>
      <c r="C6" s="52"/>
      <c r="D6" s="52"/>
      <c r="E6" s="52"/>
      <c r="F6" s="52"/>
      <c r="G6" s="52"/>
      <c r="H6" s="52"/>
      <c r="I6" s="52"/>
      <c r="J6" s="52"/>
      <c r="K6" s="52"/>
      <c r="L6" s="52"/>
      <c r="M6" s="52"/>
      <c r="N6" s="49"/>
    </row>
    <row r="7" spans="2:19">
      <c r="B7" s="108" t="s">
        <v>166</v>
      </c>
      <c r="C7" s="52"/>
      <c r="D7" s="52"/>
      <c r="E7" s="52"/>
      <c r="F7" s="52"/>
      <c r="G7" s="52"/>
      <c r="H7" s="52"/>
      <c r="I7" s="52"/>
      <c r="J7" s="52"/>
      <c r="K7" s="52"/>
      <c r="L7" s="52"/>
      <c r="M7" s="52"/>
      <c r="N7" s="49"/>
    </row>
    <row r="8" spans="2:19">
      <c r="B8" s="108"/>
      <c r="C8" s="52"/>
      <c r="D8" s="52"/>
      <c r="E8" s="52"/>
      <c r="F8" s="52"/>
      <c r="G8" s="52"/>
      <c r="H8" s="52"/>
      <c r="I8" s="52"/>
      <c r="J8" s="52"/>
      <c r="K8" s="52"/>
      <c r="L8" s="52"/>
      <c r="M8" s="52"/>
      <c r="N8" s="49"/>
    </row>
    <row r="9" spans="2:19">
      <c r="B9" s="131" t="s">
        <v>147</v>
      </c>
      <c r="C9" s="36" t="s">
        <v>146</v>
      </c>
      <c r="D9" s="52"/>
      <c r="E9" s="52"/>
      <c r="F9" s="52"/>
      <c r="G9" s="52"/>
      <c r="H9" s="52"/>
      <c r="I9" s="52"/>
      <c r="J9" s="52"/>
      <c r="K9" s="52"/>
      <c r="L9" s="52"/>
      <c r="M9" s="52"/>
      <c r="N9" s="49"/>
    </row>
    <row r="10" spans="2:19">
      <c r="B10" s="103"/>
      <c r="C10" s="52"/>
      <c r="D10" s="52"/>
      <c r="E10" s="52"/>
      <c r="F10" s="52"/>
      <c r="G10" s="52"/>
      <c r="H10" s="52"/>
      <c r="I10" s="52"/>
      <c r="J10" s="52"/>
      <c r="K10" s="52"/>
      <c r="L10" s="52"/>
      <c r="M10" s="52"/>
      <c r="N10" s="49"/>
    </row>
    <row r="11" spans="2:19">
      <c r="B11" s="130" t="s">
        <v>67</v>
      </c>
      <c r="C11" s="52"/>
      <c r="D11" s="52"/>
      <c r="E11" s="52"/>
      <c r="F11" s="52"/>
      <c r="G11" s="52"/>
      <c r="H11" s="52"/>
      <c r="I11" s="52"/>
      <c r="J11" s="52"/>
      <c r="K11" s="52"/>
      <c r="L11" s="52"/>
      <c r="M11" s="52"/>
      <c r="N11" s="49"/>
    </row>
    <row r="12" spans="2:19">
      <c r="B12" s="108" t="s">
        <v>165</v>
      </c>
      <c r="C12" s="52"/>
      <c r="D12" s="52"/>
      <c r="E12" s="52"/>
      <c r="F12" s="52"/>
      <c r="G12" s="52"/>
      <c r="H12" s="52"/>
      <c r="I12" s="52"/>
      <c r="J12" s="52"/>
      <c r="K12" s="52"/>
      <c r="L12" s="52"/>
      <c r="M12" s="52"/>
      <c r="N12" s="49"/>
    </row>
    <row r="13" spans="2:19">
      <c r="B13" s="108"/>
      <c r="C13" s="52"/>
      <c r="D13" s="52"/>
      <c r="E13" s="52"/>
      <c r="F13" s="52"/>
      <c r="G13" s="52"/>
      <c r="H13" s="52"/>
      <c r="I13" s="52"/>
      <c r="J13" s="52"/>
      <c r="K13" s="52"/>
      <c r="L13" s="52"/>
      <c r="M13" s="52"/>
      <c r="N13" s="49"/>
    </row>
    <row r="14" spans="2:19">
      <c r="B14" s="130" t="s">
        <v>68</v>
      </c>
      <c r="C14" s="52"/>
      <c r="D14" s="52"/>
      <c r="E14" s="52"/>
      <c r="F14" s="52"/>
      <c r="G14" s="52"/>
      <c r="H14" s="52"/>
      <c r="I14" s="52"/>
      <c r="J14" s="52"/>
      <c r="K14" s="52"/>
      <c r="L14" s="52"/>
      <c r="M14" s="52"/>
      <c r="N14" s="49"/>
    </row>
    <row r="15" spans="2:19">
      <c r="B15" s="108" t="s">
        <v>164</v>
      </c>
      <c r="C15" s="52"/>
      <c r="D15" s="52"/>
      <c r="E15" s="52"/>
      <c r="F15" s="52"/>
      <c r="G15" s="52"/>
      <c r="H15" s="52"/>
      <c r="I15" s="52"/>
      <c r="J15" s="52"/>
      <c r="K15" s="52"/>
      <c r="L15" s="52"/>
      <c r="M15" s="52"/>
      <c r="N15" s="49"/>
    </row>
    <row r="16" spans="2:19">
      <c r="B16" s="108" t="s">
        <v>163</v>
      </c>
      <c r="C16" s="52"/>
      <c r="D16" s="52"/>
      <c r="E16" s="52"/>
      <c r="F16" s="52"/>
      <c r="G16" s="52"/>
      <c r="H16" s="52"/>
      <c r="I16" s="52"/>
      <c r="J16" s="52"/>
      <c r="K16" s="52"/>
      <c r="L16" s="52"/>
      <c r="M16" s="52"/>
      <c r="N16" s="49"/>
    </row>
    <row r="17" spans="2:14" ht="13.5" thickBot="1">
      <c r="B17" s="48"/>
      <c r="C17" s="47"/>
      <c r="D17" s="47"/>
      <c r="E17" s="47"/>
      <c r="F17" s="47"/>
      <c r="G17" s="47"/>
      <c r="H17" s="47"/>
      <c r="I17" s="47"/>
      <c r="J17" s="47"/>
      <c r="K17" s="47"/>
      <c r="L17" s="47"/>
      <c r="M17" s="47"/>
      <c r="N17" s="65"/>
    </row>
    <row r="19" spans="2:14" ht="13.5" thickBot="1">
      <c r="B19" s="129" t="s">
        <v>69</v>
      </c>
      <c r="E19" s="128"/>
    </row>
    <row r="20" spans="2:14">
      <c r="B20" s="63"/>
      <c r="C20" s="85"/>
      <c r="D20" s="60"/>
      <c r="E20" s="60"/>
      <c r="F20" s="60"/>
      <c r="G20" s="60"/>
      <c r="H20" s="60"/>
      <c r="I20" s="60" t="s">
        <v>70</v>
      </c>
      <c r="J20" s="58" t="s">
        <v>71</v>
      </c>
    </row>
    <row r="21" spans="2:14">
      <c r="B21" s="84"/>
      <c r="C21" s="83" t="s">
        <v>72</v>
      </c>
      <c r="D21" s="81">
        <v>2015</v>
      </c>
      <c r="E21" s="81">
        <v>2020</v>
      </c>
      <c r="F21" s="81">
        <v>2035</v>
      </c>
      <c r="G21" s="81">
        <v>2050</v>
      </c>
      <c r="H21" s="81" t="s">
        <v>73</v>
      </c>
      <c r="I21" s="127"/>
      <c r="J21" s="79"/>
    </row>
    <row r="22" spans="2:14">
      <c r="B22" s="103" t="s">
        <v>74</v>
      </c>
      <c r="C22" s="93"/>
      <c r="D22" s="126"/>
      <c r="E22" s="126"/>
      <c r="F22" s="126"/>
      <c r="G22" s="126"/>
      <c r="H22" s="126"/>
      <c r="I22" s="52"/>
      <c r="J22" s="49"/>
    </row>
    <row r="23" spans="2:14">
      <c r="B23" s="120" t="s">
        <v>75</v>
      </c>
      <c r="C23" s="93" t="s">
        <v>106</v>
      </c>
      <c r="D23" s="125">
        <f>D67/D25</f>
        <v>0.26659814344907329</v>
      </c>
      <c r="E23" s="125">
        <f>E67/E25</f>
        <v>0.27204013377926417</v>
      </c>
      <c r="F23" s="125">
        <f>F67/F25</f>
        <v>0.29159622641509431</v>
      </c>
      <c r="G23" s="125">
        <f>G67/G25</f>
        <v>0.30209609053497932</v>
      </c>
      <c r="H23" s="122">
        <f>'EU varebil diesel'!H3</f>
        <v>0</v>
      </c>
      <c r="I23" s="74" t="s">
        <v>215</v>
      </c>
      <c r="J23" s="116"/>
    </row>
    <row r="24" spans="2:14">
      <c r="B24" s="120" t="s">
        <v>76</v>
      </c>
      <c r="C24" s="93" t="s">
        <v>106</v>
      </c>
      <c r="D24" s="124">
        <f>D23</f>
        <v>0.26659814344907329</v>
      </c>
      <c r="E24" s="123">
        <f>E23</f>
        <v>0.27204013377926417</v>
      </c>
      <c r="F24" s="123">
        <f>F23</f>
        <v>0.29159622641509431</v>
      </c>
      <c r="G24" s="123">
        <f>G23</f>
        <v>0.30209609053497932</v>
      </c>
      <c r="H24" s="122"/>
      <c r="I24" s="74"/>
      <c r="J24" s="116"/>
    </row>
    <row r="25" spans="2:14">
      <c r="B25" s="120" t="s">
        <v>77</v>
      </c>
      <c r="C25" s="93" t="s">
        <v>78</v>
      </c>
      <c r="D25" s="185">
        <v>3.1133000000000002</v>
      </c>
      <c r="E25" s="184">
        <v>2.99</v>
      </c>
      <c r="F25" s="183">
        <v>2.65</v>
      </c>
      <c r="G25" s="183">
        <v>2.4300000000000002</v>
      </c>
      <c r="H25" s="117"/>
      <c r="I25" s="74" t="s">
        <v>215</v>
      </c>
      <c r="J25" s="116"/>
    </row>
    <row r="26" spans="2:14">
      <c r="B26" s="120" t="s">
        <v>79</v>
      </c>
      <c r="C26" s="93" t="s">
        <v>78</v>
      </c>
      <c r="D26" s="138"/>
      <c r="E26" s="137"/>
      <c r="F26" s="137"/>
      <c r="G26" s="137"/>
      <c r="H26" s="117"/>
      <c r="I26" s="74"/>
      <c r="J26" s="116"/>
    </row>
    <row r="27" spans="2:14">
      <c r="B27" s="108" t="s">
        <v>80</v>
      </c>
      <c r="C27" s="93" t="s">
        <v>81</v>
      </c>
      <c r="D27" s="115">
        <v>16.3</v>
      </c>
      <c r="E27" s="100">
        <v>16.3</v>
      </c>
      <c r="F27" s="100">
        <v>16.3</v>
      </c>
      <c r="G27" s="100">
        <v>16.3</v>
      </c>
      <c r="H27" s="100"/>
      <c r="I27" s="50" t="s">
        <v>211</v>
      </c>
      <c r="J27" s="49"/>
    </row>
    <row r="28" spans="2:14">
      <c r="B28" s="108" t="s">
        <v>82</v>
      </c>
      <c r="C28" s="93" t="s">
        <v>83</v>
      </c>
      <c r="D28" s="113">
        <f>+D73</f>
        <v>14.94</v>
      </c>
      <c r="E28" s="113">
        <f>+E73</f>
        <v>14.6412</v>
      </c>
      <c r="F28" s="113">
        <f>+F73</f>
        <v>13.909139999999997</v>
      </c>
      <c r="G28" s="113">
        <f>+G73</f>
        <v>13.213682999999998</v>
      </c>
      <c r="H28" s="113"/>
      <c r="I28" s="74"/>
      <c r="J28" s="49"/>
    </row>
    <row r="29" spans="2:14">
      <c r="B29" s="53"/>
      <c r="C29" s="112"/>
      <c r="D29" s="73"/>
      <c r="E29" s="73"/>
      <c r="F29" s="73"/>
      <c r="G29" s="73"/>
      <c r="H29" s="73"/>
      <c r="I29" s="54"/>
      <c r="J29" s="49"/>
    </row>
    <row r="30" spans="2:14">
      <c r="B30" s="103" t="s">
        <v>84</v>
      </c>
      <c r="C30" s="93"/>
      <c r="D30" s="73"/>
      <c r="E30" s="73"/>
      <c r="F30" s="73"/>
      <c r="G30" s="73"/>
      <c r="H30" s="73"/>
      <c r="I30" s="54"/>
      <c r="J30" s="49"/>
    </row>
    <row r="31" spans="2:14">
      <c r="B31" s="108" t="s">
        <v>85</v>
      </c>
      <c r="C31" s="93" t="s">
        <v>15</v>
      </c>
      <c r="D31" s="111">
        <v>182255</v>
      </c>
      <c r="E31" s="111">
        <v>184137</v>
      </c>
      <c r="F31" s="111">
        <v>191307</v>
      </c>
      <c r="G31" s="111">
        <v>191433</v>
      </c>
      <c r="H31" s="110">
        <v>2015</v>
      </c>
      <c r="I31" s="54"/>
      <c r="J31" s="49"/>
    </row>
    <row r="32" spans="2:14">
      <c r="B32" s="53" t="s">
        <v>16</v>
      </c>
      <c r="C32" s="93" t="s">
        <v>17</v>
      </c>
      <c r="D32" s="111">
        <v>1449.3027357770748</v>
      </c>
      <c r="E32" s="111">
        <v>1490.5969170326962</v>
      </c>
      <c r="F32" s="111">
        <v>1616.0362639550565</v>
      </c>
      <c r="G32" s="111">
        <v>1701.9599734472533</v>
      </c>
      <c r="H32" s="110">
        <v>2015</v>
      </c>
      <c r="I32" s="54"/>
      <c r="J32" s="49"/>
    </row>
    <row r="33" spans="2:10">
      <c r="B33" s="104" t="s">
        <v>18</v>
      </c>
      <c r="C33" s="93" t="s">
        <v>17</v>
      </c>
      <c r="D33" s="111">
        <v>1111.9533381867134</v>
      </c>
      <c r="E33" s="111">
        <v>1146.362837858858</v>
      </c>
      <c r="F33" s="111">
        <v>1253.6846016668057</v>
      </c>
      <c r="G33" s="111">
        <v>1320.5371710385682</v>
      </c>
      <c r="H33" s="110">
        <v>2015</v>
      </c>
      <c r="I33" s="54"/>
      <c r="J33" s="49"/>
    </row>
    <row r="34" spans="2:10">
      <c r="B34" s="104" t="s">
        <v>19</v>
      </c>
      <c r="C34" s="93" t="s">
        <v>17</v>
      </c>
      <c r="D34" s="111">
        <v>337.34939759036143</v>
      </c>
      <c r="E34" s="111">
        <v>344.23407917383827</v>
      </c>
      <c r="F34" s="111">
        <v>362.35166228825079</v>
      </c>
      <c r="G34" s="111">
        <v>381.42280240868507</v>
      </c>
      <c r="H34" s="110">
        <v>2015</v>
      </c>
      <c r="I34" s="54"/>
      <c r="J34" s="49"/>
    </row>
    <row r="35" spans="2:10">
      <c r="B35" s="104"/>
      <c r="C35" s="93"/>
      <c r="D35" s="111"/>
      <c r="E35" s="111"/>
      <c r="F35" s="111"/>
      <c r="G35" s="111"/>
      <c r="H35" s="110"/>
      <c r="I35" s="54"/>
      <c r="J35" s="49"/>
    </row>
    <row r="36" spans="2:10">
      <c r="B36" s="104" t="s">
        <v>86</v>
      </c>
      <c r="C36" s="93" t="s">
        <v>17</v>
      </c>
      <c r="D36" s="111">
        <v>0</v>
      </c>
      <c r="E36" s="111">
        <v>0</v>
      </c>
      <c r="F36" s="111">
        <v>0</v>
      </c>
      <c r="G36" s="111">
        <v>0</v>
      </c>
      <c r="H36" s="110">
        <v>2015</v>
      </c>
      <c r="I36" s="54"/>
      <c r="J36" s="49"/>
    </row>
    <row r="37" spans="2:10">
      <c r="B37" s="103"/>
      <c r="C37" s="93"/>
      <c r="D37" s="109"/>
      <c r="E37" s="73"/>
      <c r="F37" s="73"/>
      <c r="G37" s="73"/>
      <c r="H37" s="73"/>
      <c r="I37" s="54"/>
      <c r="J37" s="49"/>
    </row>
    <row r="38" spans="2:10">
      <c r="B38" s="108" t="s">
        <v>85</v>
      </c>
      <c r="C38" s="93" t="s">
        <v>15</v>
      </c>
      <c r="D38" s="102">
        <v>182255</v>
      </c>
      <c r="E38" s="102">
        <v>184137</v>
      </c>
      <c r="F38" s="102">
        <v>191307</v>
      </c>
      <c r="G38" s="102">
        <v>191433</v>
      </c>
      <c r="H38" s="105">
        <v>2015</v>
      </c>
      <c r="I38" s="74" t="s">
        <v>215</v>
      </c>
      <c r="J38" s="49"/>
    </row>
    <row r="39" spans="2:10">
      <c r="B39" s="53" t="s">
        <v>16</v>
      </c>
      <c r="C39" s="93" t="s">
        <v>17</v>
      </c>
      <c r="D39" s="101">
        <f>+SUM(D40:D43)</f>
        <v>1449.3027357770748</v>
      </c>
      <c r="E39" s="101">
        <f>+SUM(E40:E43)</f>
        <v>1490.5969170326962</v>
      </c>
      <c r="F39" s="101">
        <f>+SUM(F40:F43)</f>
        <v>1616.0362639550565</v>
      </c>
      <c r="G39" s="101">
        <f>+SUM(G40:G43)</f>
        <v>1701.9599734472533</v>
      </c>
      <c r="H39" s="105">
        <v>2015</v>
      </c>
      <c r="I39" s="74"/>
      <c r="J39" s="49"/>
    </row>
    <row r="40" spans="2:10">
      <c r="B40" s="104" t="s">
        <v>18</v>
      </c>
      <c r="C40" s="93" t="s">
        <v>17</v>
      </c>
      <c r="D40" s="101">
        <v>1111.9533381867134</v>
      </c>
      <c r="E40" s="101">
        <v>1146.362837858858</v>
      </c>
      <c r="F40" s="101">
        <v>1253.6846016668057</v>
      </c>
      <c r="G40" s="101">
        <v>1320.5371710385682</v>
      </c>
      <c r="H40" s="105">
        <v>2015</v>
      </c>
      <c r="I40" s="74"/>
      <c r="J40" s="49"/>
    </row>
    <row r="41" spans="2:10">
      <c r="B41" s="104" t="s">
        <v>19</v>
      </c>
      <c r="C41" s="93" t="s">
        <v>17</v>
      </c>
      <c r="D41" s="106">
        <f>+D74</f>
        <v>337.34939759036143</v>
      </c>
      <c r="E41" s="106">
        <f>+E74</f>
        <v>344.23407917383827</v>
      </c>
      <c r="F41" s="106">
        <f>+F74</f>
        <v>362.35166228825079</v>
      </c>
      <c r="G41" s="106">
        <f>+G74</f>
        <v>381.42280240868507</v>
      </c>
      <c r="H41" s="105">
        <v>2015</v>
      </c>
      <c r="I41" s="74"/>
      <c r="J41" s="49"/>
    </row>
    <row r="42" spans="2:10">
      <c r="B42" s="104"/>
      <c r="C42" s="93"/>
      <c r="D42" s="73"/>
      <c r="E42" s="73"/>
      <c r="F42" s="73"/>
      <c r="G42" s="73"/>
      <c r="H42" s="105"/>
      <c r="I42" s="74"/>
      <c r="J42" s="49"/>
    </row>
    <row r="43" spans="2:10">
      <c r="B43" s="104" t="s">
        <v>86</v>
      </c>
      <c r="C43" s="93" t="s">
        <v>17</v>
      </c>
      <c r="D43" s="100">
        <v>0</v>
      </c>
      <c r="E43" s="100">
        <v>0</v>
      </c>
      <c r="F43" s="100">
        <v>0</v>
      </c>
      <c r="G43" s="100">
        <v>0</v>
      </c>
      <c r="H43" s="105">
        <v>2015</v>
      </c>
      <c r="I43" s="74"/>
      <c r="J43" s="49"/>
    </row>
    <row r="44" spans="2:10">
      <c r="B44" s="104"/>
      <c r="C44" s="93"/>
      <c r="D44" s="73"/>
      <c r="E44" s="97"/>
      <c r="F44" s="97"/>
      <c r="G44" s="97"/>
      <c r="H44" s="73"/>
      <c r="I44" s="74"/>
      <c r="J44" s="49"/>
    </row>
    <row r="45" spans="2:10">
      <c r="B45" s="103" t="s">
        <v>87</v>
      </c>
      <c r="C45" s="93"/>
      <c r="D45" s="73"/>
      <c r="E45" s="97"/>
      <c r="F45" s="97"/>
      <c r="G45" s="97"/>
      <c r="H45" s="102"/>
      <c r="I45" s="74"/>
      <c r="J45" s="49"/>
    </row>
    <row r="46" spans="2:10">
      <c r="B46" s="98" t="s">
        <v>30</v>
      </c>
      <c r="C46" s="93"/>
      <c r="D46" s="73"/>
      <c r="E46" s="97"/>
      <c r="F46" s="97"/>
      <c r="G46" s="97"/>
      <c r="H46" s="101"/>
      <c r="I46" s="74"/>
      <c r="J46" s="49"/>
    </row>
    <row r="47" spans="2:10">
      <c r="B47" s="53" t="s">
        <v>20</v>
      </c>
      <c r="C47" s="93" t="s">
        <v>107</v>
      </c>
      <c r="D47" s="96"/>
      <c r="E47" s="96"/>
      <c r="F47" s="96"/>
      <c r="G47" s="96"/>
      <c r="H47" s="101"/>
      <c r="I47" s="74"/>
      <c r="J47" s="94" t="s">
        <v>88</v>
      </c>
    </row>
    <row r="48" spans="2:10">
      <c r="B48" s="53" t="s">
        <v>21</v>
      </c>
      <c r="C48" s="93" t="s">
        <v>107</v>
      </c>
      <c r="D48" s="99">
        <f t="shared" ref="D48:G52" si="0">D83/D$25</f>
        <v>1.6060129123438151E-2</v>
      </c>
      <c r="E48" s="99">
        <f t="shared" si="0"/>
        <v>3.0100334448160532E-2</v>
      </c>
      <c r="F48" s="99">
        <f t="shared" si="0"/>
        <v>3.3962264150943396E-2</v>
      </c>
      <c r="G48" s="99">
        <f t="shared" si="0"/>
        <v>3.7037037037037035E-2</v>
      </c>
      <c r="H48" s="95"/>
      <c r="I48" s="74"/>
      <c r="J48" s="49"/>
    </row>
    <row r="49" spans="2:10">
      <c r="B49" s="53" t="s">
        <v>22</v>
      </c>
      <c r="C49" s="93" t="s">
        <v>107</v>
      </c>
      <c r="D49" s="99">
        <f t="shared" si="0"/>
        <v>0</v>
      </c>
      <c r="E49" s="99">
        <f t="shared" si="0"/>
        <v>0</v>
      </c>
      <c r="F49" s="99">
        <f t="shared" si="0"/>
        <v>0</v>
      </c>
      <c r="G49" s="99">
        <f t="shared" si="0"/>
        <v>0</v>
      </c>
      <c r="H49" s="73"/>
      <c r="I49" s="74"/>
      <c r="J49" s="49"/>
    </row>
    <row r="50" spans="2:10">
      <c r="B50" s="53" t="s">
        <v>23</v>
      </c>
      <c r="C50" s="93" t="s">
        <v>107</v>
      </c>
      <c r="D50" s="99">
        <f t="shared" si="0"/>
        <v>0</v>
      </c>
      <c r="E50" s="99">
        <f t="shared" si="0"/>
        <v>0</v>
      </c>
      <c r="F50" s="99">
        <f t="shared" si="0"/>
        <v>0</v>
      </c>
      <c r="G50" s="99">
        <f t="shared" si="0"/>
        <v>0</v>
      </c>
      <c r="H50" s="100"/>
      <c r="I50" s="74"/>
      <c r="J50" s="49"/>
    </row>
    <row r="51" spans="2:10">
      <c r="B51" s="53" t="s">
        <v>89</v>
      </c>
      <c r="C51" s="93" t="s">
        <v>107</v>
      </c>
      <c r="D51" s="99">
        <f t="shared" si="0"/>
        <v>5.7816464844377344E-2</v>
      </c>
      <c r="E51" s="99">
        <f t="shared" si="0"/>
        <v>2.6755852842809364E-2</v>
      </c>
      <c r="F51" s="99">
        <f t="shared" si="0"/>
        <v>3.0188679245283019E-2</v>
      </c>
      <c r="G51" s="99">
        <f t="shared" si="0"/>
        <v>3.2921810699588473E-2</v>
      </c>
      <c r="H51" s="73"/>
      <c r="I51" s="74"/>
      <c r="J51" s="49"/>
    </row>
    <row r="52" spans="2:10">
      <c r="B52" s="53" t="s">
        <v>24</v>
      </c>
      <c r="C52" s="93" t="s">
        <v>107</v>
      </c>
      <c r="D52" s="99">
        <f t="shared" si="0"/>
        <v>1.6060129123438153E-3</v>
      </c>
      <c r="E52" s="99">
        <f t="shared" si="0"/>
        <v>1.6722408026755853E-3</v>
      </c>
      <c r="F52" s="99">
        <f t="shared" si="0"/>
        <v>1.8867924528301887E-3</v>
      </c>
      <c r="G52" s="99">
        <f t="shared" si="0"/>
        <v>2.0576131687242796E-3</v>
      </c>
      <c r="H52" s="73"/>
      <c r="I52" s="74"/>
      <c r="J52" s="49"/>
    </row>
    <row r="53" spans="2:10">
      <c r="B53" s="53"/>
      <c r="C53" s="93"/>
      <c r="D53" s="97"/>
      <c r="E53" s="52"/>
      <c r="F53" s="52"/>
      <c r="G53" s="52"/>
      <c r="H53" s="73"/>
      <c r="I53" s="74"/>
      <c r="J53" s="49"/>
    </row>
    <row r="54" spans="2:10">
      <c r="B54" s="98" t="s">
        <v>31</v>
      </c>
      <c r="C54" s="93"/>
      <c r="D54" s="73"/>
      <c r="E54" s="97"/>
      <c r="F54" s="97"/>
      <c r="G54" s="97"/>
      <c r="H54" s="95"/>
      <c r="I54" s="74"/>
      <c r="J54" s="49"/>
    </row>
    <row r="55" spans="2:10">
      <c r="B55" s="53" t="s">
        <v>20</v>
      </c>
      <c r="C55" s="93" t="s">
        <v>107</v>
      </c>
      <c r="D55" s="96"/>
      <c r="E55" s="96"/>
      <c r="F55" s="96"/>
      <c r="G55" s="96"/>
      <c r="H55" s="95"/>
      <c r="I55" s="74"/>
      <c r="J55" s="94" t="s">
        <v>88</v>
      </c>
    </row>
    <row r="56" spans="2:10">
      <c r="B56" s="53" t="s">
        <v>21</v>
      </c>
      <c r="C56" s="93" t="s">
        <v>107</v>
      </c>
      <c r="D56" s="92">
        <f t="shared" ref="D56:G60" si="1">D48</f>
        <v>1.6060129123438151E-2</v>
      </c>
      <c r="E56" s="92">
        <f t="shared" si="1"/>
        <v>3.0100334448160532E-2</v>
      </c>
      <c r="F56" s="92">
        <f t="shared" si="1"/>
        <v>3.3962264150943396E-2</v>
      </c>
      <c r="G56" s="92">
        <f t="shared" si="1"/>
        <v>3.7037037037037035E-2</v>
      </c>
      <c r="H56" s="91"/>
      <c r="I56" s="74"/>
      <c r="J56" s="49"/>
    </row>
    <row r="57" spans="2:10">
      <c r="B57" s="53" t="s">
        <v>22</v>
      </c>
      <c r="C57" s="93" t="s">
        <v>107</v>
      </c>
      <c r="D57" s="92">
        <f t="shared" si="1"/>
        <v>0</v>
      </c>
      <c r="E57" s="92">
        <f t="shared" si="1"/>
        <v>0</v>
      </c>
      <c r="F57" s="92">
        <f t="shared" si="1"/>
        <v>0</v>
      </c>
      <c r="G57" s="92">
        <f t="shared" si="1"/>
        <v>0</v>
      </c>
      <c r="H57" s="91"/>
      <c r="I57" s="74"/>
      <c r="J57" s="49"/>
    </row>
    <row r="58" spans="2:10">
      <c r="B58" s="53" t="s">
        <v>23</v>
      </c>
      <c r="C58" s="93" t="s">
        <v>107</v>
      </c>
      <c r="D58" s="92">
        <f t="shared" si="1"/>
        <v>0</v>
      </c>
      <c r="E58" s="92">
        <f t="shared" si="1"/>
        <v>0</v>
      </c>
      <c r="F58" s="92">
        <f t="shared" si="1"/>
        <v>0</v>
      </c>
      <c r="G58" s="92">
        <f t="shared" si="1"/>
        <v>0</v>
      </c>
      <c r="H58" s="91"/>
      <c r="I58" s="74"/>
      <c r="J58" s="49"/>
    </row>
    <row r="59" spans="2:10">
      <c r="B59" s="53" t="s">
        <v>89</v>
      </c>
      <c r="C59" s="93" t="s">
        <v>107</v>
      </c>
      <c r="D59" s="92">
        <f t="shared" si="1"/>
        <v>5.7816464844377344E-2</v>
      </c>
      <c r="E59" s="92">
        <f t="shared" si="1"/>
        <v>2.6755852842809364E-2</v>
      </c>
      <c r="F59" s="92">
        <f t="shared" si="1"/>
        <v>3.0188679245283019E-2</v>
      </c>
      <c r="G59" s="92">
        <f t="shared" si="1"/>
        <v>3.2921810699588473E-2</v>
      </c>
      <c r="H59" s="91"/>
      <c r="I59" s="74"/>
      <c r="J59" s="49"/>
    </row>
    <row r="60" spans="2:10">
      <c r="B60" s="53" t="s">
        <v>24</v>
      </c>
      <c r="C60" s="93" t="s">
        <v>107</v>
      </c>
      <c r="D60" s="92">
        <f t="shared" si="1"/>
        <v>1.6060129123438153E-3</v>
      </c>
      <c r="E60" s="92">
        <f t="shared" si="1"/>
        <v>1.6722408026755853E-3</v>
      </c>
      <c r="F60" s="92">
        <f t="shared" si="1"/>
        <v>1.8867924528301887E-3</v>
      </c>
      <c r="G60" s="92">
        <f t="shared" si="1"/>
        <v>2.0576131687242796E-3</v>
      </c>
      <c r="H60" s="91"/>
      <c r="I60" s="74"/>
      <c r="J60" s="49"/>
    </row>
    <row r="61" spans="2:10" ht="13.5" thickBot="1">
      <c r="B61" s="90"/>
      <c r="C61" s="89"/>
      <c r="D61" s="88"/>
      <c r="E61" s="47"/>
      <c r="F61" s="47"/>
      <c r="G61" s="47"/>
      <c r="H61" s="87"/>
      <c r="I61" s="86"/>
      <c r="J61" s="65"/>
    </row>
    <row r="62" spans="2:10">
      <c r="I62" s="44"/>
    </row>
    <row r="63" spans="2:10">
      <c r="I63" s="44"/>
    </row>
    <row r="64" spans="2:10" ht="16.5" thickBot="1">
      <c r="B64" s="64" t="s">
        <v>90</v>
      </c>
      <c r="I64" s="44"/>
    </row>
    <row r="65" spans="2:10">
      <c r="B65" s="63"/>
      <c r="C65" s="85"/>
      <c r="D65" s="60"/>
      <c r="E65" s="60"/>
      <c r="F65" s="60"/>
      <c r="G65" s="60"/>
      <c r="H65" s="60"/>
      <c r="I65" s="59" t="s">
        <v>70</v>
      </c>
      <c r="J65" s="58" t="s">
        <v>71</v>
      </c>
    </row>
    <row r="66" spans="2:10">
      <c r="B66" s="84"/>
      <c r="C66" s="83" t="s">
        <v>72</v>
      </c>
      <c r="D66" s="82">
        <v>2015</v>
      </c>
      <c r="E66" s="81">
        <v>2020</v>
      </c>
      <c r="F66" s="81">
        <v>2035</v>
      </c>
      <c r="G66" s="81">
        <v>2050</v>
      </c>
      <c r="H66" s="81"/>
      <c r="I66" s="80"/>
      <c r="J66" s="79"/>
    </row>
    <row r="67" spans="2:10">
      <c r="B67" s="53" t="s">
        <v>25</v>
      </c>
      <c r="C67" s="70" t="s">
        <v>108</v>
      </c>
      <c r="D67" s="135">
        <f>'EU Varebil benzin'!D67</f>
        <v>0.83</v>
      </c>
      <c r="E67" s="135">
        <f>'EU Varebil benzin'!E67</f>
        <v>0.8133999999999999</v>
      </c>
      <c r="F67" s="135">
        <f>'EU Varebil benzin'!F67</f>
        <v>0.77272999999999992</v>
      </c>
      <c r="G67" s="135">
        <f>'EU Varebil benzin'!G67</f>
        <v>0.73409349999999984</v>
      </c>
      <c r="H67" s="75"/>
      <c r="I67" s="54"/>
      <c r="J67" s="49" t="s">
        <v>161</v>
      </c>
    </row>
    <row r="68" spans="2:10">
      <c r="B68" s="53" t="s">
        <v>109</v>
      </c>
      <c r="C68" s="70" t="s">
        <v>108</v>
      </c>
      <c r="D68" s="78">
        <v>0.83</v>
      </c>
      <c r="E68" s="78"/>
      <c r="F68" s="78"/>
      <c r="G68" s="78"/>
      <c r="H68" s="77"/>
      <c r="I68" s="74"/>
      <c r="J68" s="49"/>
    </row>
    <row r="69" spans="2:10">
      <c r="B69" s="53" t="s">
        <v>162</v>
      </c>
      <c r="C69" s="70" t="s">
        <v>92</v>
      </c>
      <c r="D69" s="78">
        <v>1975</v>
      </c>
      <c r="E69" s="77"/>
      <c r="F69" s="77"/>
      <c r="G69" s="77"/>
      <c r="H69" s="76"/>
      <c r="I69" s="74" t="s">
        <v>215</v>
      </c>
      <c r="J69" s="49"/>
    </row>
    <row r="70" spans="2:10">
      <c r="B70" s="53" t="s">
        <v>110</v>
      </c>
      <c r="C70" s="70" t="s">
        <v>92</v>
      </c>
      <c r="D70" s="78">
        <v>1975</v>
      </c>
      <c r="E70" s="76"/>
      <c r="F70" s="76"/>
      <c r="G70" s="76"/>
      <c r="H70" s="75"/>
      <c r="I70" s="54"/>
      <c r="J70" s="49"/>
    </row>
    <row r="71" spans="2:10">
      <c r="B71" s="53" t="s">
        <v>93</v>
      </c>
      <c r="C71" s="70" t="s">
        <v>26</v>
      </c>
      <c r="D71" s="134"/>
      <c r="E71" s="78">
        <v>0.02</v>
      </c>
      <c r="F71" s="78">
        <v>0.05</v>
      </c>
      <c r="G71" s="78">
        <v>0.05</v>
      </c>
      <c r="H71" s="75"/>
      <c r="I71" s="74" t="s">
        <v>215</v>
      </c>
      <c r="J71" s="49"/>
    </row>
    <row r="72" spans="2:10">
      <c r="B72" s="53" t="s">
        <v>94</v>
      </c>
      <c r="C72" s="70" t="s">
        <v>95</v>
      </c>
      <c r="D72" s="73">
        <v>18000</v>
      </c>
      <c r="E72" s="73">
        <v>18000</v>
      </c>
      <c r="F72" s="73">
        <v>18000</v>
      </c>
      <c r="G72" s="73">
        <v>18000</v>
      </c>
      <c r="H72" s="73"/>
      <c r="I72" s="54"/>
      <c r="J72" s="49"/>
    </row>
    <row r="73" spans="2:10">
      <c r="B73" s="53" t="s">
        <v>82</v>
      </c>
      <c r="C73" s="70" t="s">
        <v>83</v>
      </c>
      <c r="D73" s="52">
        <f>+D67*D72/1000</f>
        <v>14.94</v>
      </c>
      <c r="E73" s="52">
        <f>+E67*E72/1000</f>
        <v>14.6412</v>
      </c>
      <c r="F73" s="52">
        <f>+F67*F72/1000</f>
        <v>13.909139999999997</v>
      </c>
      <c r="G73" s="52">
        <f>+G67*G72/1000</f>
        <v>13.213682999999998</v>
      </c>
      <c r="H73" s="52"/>
      <c r="I73" s="54"/>
      <c r="J73" s="49" t="s">
        <v>96</v>
      </c>
    </row>
    <row r="74" spans="2:10">
      <c r="B74" s="53" t="s">
        <v>97</v>
      </c>
      <c r="C74" s="70" t="s">
        <v>17</v>
      </c>
      <c r="D74" s="72">
        <f>D75*1000/D67</f>
        <v>337.34939759036143</v>
      </c>
      <c r="E74" s="72">
        <f>E75*1000/E67</f>
        <v>344.23407917383827</v>
      </c>
      <c r="F74" s="72">
        <f>F75*1000/F67</f>
        <v>362.35166228825079</v>
      </c>
      <c r="G74" s="72">
        <f>G75*1000/G67</f>
        <v>381.42280240868507</v>
      </c>
      <c r="H74" s="72"/>
      <c r="I74" s="54" t="s">
        <v>215</v>
      </c>
      <c r="J74" s="49"/>
    </row>
    <row r="75" spans="2:10">
      <c r="B75" s="53" t="s">
        <v>97</v>
      </c>
      <c r="C75" s="70" t="s">
        <v>35</v>
      </c>
      <c r="D75" s="71">
        <v>0.28000000000000003</v>
      </c>
      <c r="E75" s="67">
        <v>0.28000000000000003</v>
      </c>
      <c r="F75" s="67">
        <v>0.28000000000000003</v>
      </c>
      <c r="G75" s="67">
        <v>0.28000000000000003</v>
      </c>
      <c r="H75" s="67"/>
      <c r="I75" s="74" t="s">
        <v>215</v>
      </c>
      <c r="J75" s="49"/>
    </row>
    <row r="76" spans="2:10">
      <c r="B76" s="53" t="s">
        <v>98</v>
      </c>
      <c r="C76" s="70" t="s">
        <v>26</v>
      </c>
      <c r="D76" s="69"/>
      <c r="E76" s="68">
        <v>0.215</v>
      </c>
      <c r="F76" s="172">
        <v>0.3</v>
      </c>
      <c r="G76" s="172">
        <v>0.3</v>
      </c>
      <c r="H76" s="67"/>
      <c r="I76" s="50"/>
      <c r="J76" s="49"/>
    </row>
    <row r="77" spans="2:10" ht="13.5" thickBot="1">
      <c r="B77" s="48"/>
      <c r="C77" s="66"/>
      <c r="D77" s="47"/>
      <c r="E77" s="47"/>
      <c r="F77" s="47"/>
      <c r="G77" s="47"/>
      <c r="H77" s="47"/>
      <c r="I77" s="46"/>
      <c r="J77" s="65"/>
    </row>
    <row r="78" spans="2:10">
      <c r="I78" s="44"/>
    </row>
    <row r="79" spans="2:10" ht="16.5" thickBot="1">
      <c r="B79" s="64" t="s">
        <v>99</v>
      </c>
      <c r="I79" s="44"/>
    </row>
    <row r="80" spans="2:10">
      <c r="B80" s="63"/>
      <c r="C80" s="60"/>
      <c r="D80" s="62"/>
      <c r="E80" s="62"/>
      <c r="F80" s="62"/>
      <c r="G80" s="61"/>
      <c r="H80" s="60"/>
      <c r="I80" s="59"/>
      <c r="J80" s="58"/>
    </row>
    <row r="81" spans="2:10">
      <c r="B81" s="53"/>
      <c r="C81" s="52"/>
      <c r="D81" s="52"/>
      <c r="E81" s="52"/>
      <c r="F81" s="52"/>
      <c r="G81" s="52"/>
      <c r="H81" s="52"/>
      <c r="I81" s="54"/>
      <c r="J81" s="49"/>
    </row>
    <row r="82" spans="2:10">
      <c r="B82" s="53" t="s">
        <v>20</v>
      </c>
      <c r="C82" s="52" t="s">
        <v>27</v>
      </c>
      <c r="D82" s="57"/>
      <c r="E82" s="56"/>
      <c r="F82" s="56"/>
      <c r="G82" s="56"/>
      <c r="H82" s="55"/>
      <c r="I82" s="54"/>
      <c r="J82" s="49"/>
    </row>
    <row r="83" spans="2:10">
      <c r="B83" s="53" t="s">
        <v>21</v>
      </c>
      <c r="C83" s="52" t="s">
        <v>27</v>
      </c>
      <c r="D83" s="51">
        <v>0.05</v>
      </c>
      <c r="E83" s="51">
        <v>0.09</v>
      </c>
      <c r="F83" s="51">
        <v>0.09</v>
      </c>
      <c r="G83" s="51">
        <v>0.09</v>
      </c>
      <c r="H83" s="51"/>
      <c r="I83" s="74" t="s">
        <v>215</v>
      </c>
      <c r="J83" s="49"/>
    </row>
    <row r="84" spans="2:10">
      <c r="B84" s="53" t="s">
        <v>22</v>
      </c>
      <c r="C84" s="52" t="s">
        <v>27</v>
      </c>
      <c r="D84" s="51"/>
      <c r="E84" s="51"/>
      <c r="F84" s="51"/>
      <c r="G84" s="51"/>
      <c r="H84" s="51"/>
      <c r="I84" s="50"/>
      <c r="J84" s="49" t="s">
        <v>102</v>
      </c>
    </row>
    <row r="85" spans="2:10">
      <c r="B85" s="53" t="s">
        <v>23</v>
      </c>
      <c r="C85" s="52" t="s">
        <v>27</v>
      </c>
      <c r="D85" s="51"/>
      <c r="E85" s="51"/>
      <c r="F85" s="51"/>
      <c r="G85" s="51"/>
      <c r="H85" s="51"/>
      <c r="I85" s="50"/>
      <c r="J85" s="49"/>
    </row>
    <row r="86" spans="2:10">
      <c r="B86" s="53" t="s">
        <v>89</v>
      </c>
      <c r="C86" s="52" t="s">
        <v>27</v>
      </c>
      <c r="D86" s="51">
        <v>0.18</v>
      </c>
      <c r="E86" s="51">
        <v>0.08</v>
      </c>
      <c r="F86" s="51">
        <v>0.08</v>
      </c>
      <c r="G86" s="51">
        <v>0.08</v>
      </c>
      <c r="H86" s="51"/>
      <c r="I86" s="74" t="s">
        <v>215</v>
      </c>
      <c r="J86" s="49"/>
    </row>
    <row r="87" spans="2:10">
      <c r="B87" s="53" t="s">
        <v>24</v>
      </c>
      <c r="C87" s="52" t="s">
        <v>27</v>
      </c>
      <c r="D87" s="51">
        <v>5.0000000000000001E-3</v>
      </c>
      <c r="E87" s="51">
        <v>5.0000000000000001E-3</v>
      </c>
      <c r="F87" s="51">
        <v>5.0000000000000001E-3</v>
      </c>
      <c r="G87" s="51">
        <v>5.0000000000000001E-3</v>
      </c>
      <c r="H87" s="51"/>
      <c r="I87" s="74" t="s">
        <v>215</v>
      </c>
      <c r="J87" s="49"/>
    </row>
    <row r="88" spans="2:10" ht="13.5" thickBot="1">
      <c r="B88" s="48"/>
      <c r="C88" s="47"/>
      <c r="D88" s="47"/>
      <c r="E88" s="47"/>
      <c r="F88" s="47"/>
      <c r="G88" s="47"/>
      <c r="H88" s="47"/>
      <c r="I88" s="46"/>
      <c r="J88" s="45"/>
    </row>
    <row r="89" spans="2:10">
      <c r="F89" s="43"/>
      <c r="G89" s="43"/>
      <c r="I89" s="44"/>
    </row>
    <row r="90" spans="2:10">
      <c r="F90" s="43"/>
      <c r="G90" s="43"/>
      <c r="H90" s="43"/>
    </row>
    <row r="91" spans="2:10">
      <c r="F91" s="43"/>
      <c r="G91" s="43"/>
      <c r="H91" s="43"/>
    </row>
    <row r="92" spans="2:10">
      <c r="F92" s="43"/>
      <c r="G92" s="43"/>
      <c r="H92" s="43"/>
      <c r="I92" s="41"/>
    </row>
    <row r="93" spans="2:10">
      <c r="F93" s="43"/>
      <c r="G93" s="43"/>
      <c r="H93" s="43"/>
    </row>
    <row r="94" spans="2:10">
      <c r="F94" s="43"/>
      <c r="G94" s="43"/>
      <c r="H94" s="43"/>
    </row>
    <row r="95" spans="2:10">
      <c r="D95" s="42"/>
      <c r="I95" s="41"/>
    </row>
    <row r="98" spans="9:9">
      <c r="I98" s="41"/>
    </row>
    <row r="101" spans="9:9">
      <c r="I101" s="41"/>
    </row>
    <row r="102" spans="9:9">
      <c r="I102" s="41"/>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700-000000000000}">
          <x14:formula1>
            <xm:f>'C:\Users\B003920\Desktop\[Kopi af alternativ_drivmiddelmodel_3.0_2.xlsm]Sheet1'!#REF!</xm:f>
          </x14:formula1>
          <xm:sqref>C9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5">
    <tabColor rgb="FF002060"/>
  </sheetPr>
  <dimension ref="B1:S102"/>
  <sheetViews>
    <sheetView topLeftCell="B13"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2" width="10" style="40" customWidth="1"/>
    <col min="13" max="14" width="9" style="40" customWidth="1"/>
    <col min="15" max="15" width="37.85546875" style="40" customWidth="1"/>
    <col min="16" max="18" width="8.85546875" style="40"/>
    <col min="19" max="19" width="9.140625" style="40" customWidth="1"/>
    <col min="20" max="16384" width="8.85546875" style="40"/>
  </cols>
  <sheetData>
    <row r="1" spans="2:19" s="37" customFormat="1" ht="21">
      <c r="B1" s="37" t="s">
        <v>32</v>
      </c>
      <c r="Q1" s="37">
        <v>0</v>
      </c>
      <c r="R1" s="39">
        <v>0</v>
      </c>
      <c r="S1" s="38"/>
    </row>
    <row r="2" spans="2:19">
      <c r="R2" s="133">
        <f>R1</f>
        <v>0</v>
      </c>
      <c r="S2" s="133">
        <f>S1</f>
        <v>0</v>
      </c>
    </row>
    <row r="4" spans="2:19" ht="13.5" thickBot="1">
      <c r="B4" s="129" t="s">
        <v>65</v>
      </c>
    </row>
    <row r="5" spans="2:19">
      <c r="B5" s="132" t="s">
        <v>66</v>
      </c>
      <c r="C5" s="60"/>
      <c r="D5" s="60"/>
      <c r="E5" s="60"/>
      <c r="F5" s="60"/>
      <c r="G5" s="60"/>
      <c r="H5" s="60"/>
      <c r="I5" s="60"/>
      <c r="J5" s="60"/>
      <c r="K5" s="60"/>
      <c r="L5" s="60"/>
      <c r="M5" s="60"/>
      <c r="N5" s="58"/>
    </row>
    <row r="6" spans="2:19">
      <c r="B6" s="108" t="s">
        <v>104</v>
      </c>
      <c r="C6" s="52"/>
      <c r="D6" s="52"/>
      <c r="E6" s="52"/>
      <c r="F6" s="52"/>
      <c r="G6" s="52"/>
      <c r="H6" s="52"/>
      <c r="I6" s="52"/>
      <c r="J6" s="52"/>
      <c r="K6" s="52"/>
      <c r="L6" s="52"/>
      <c r="M6" s="52"/>
      <c r="N6" s="49"/>
    </row>
    <row r="7" spans="2:19">
      <c r="B7" s="108" t="s">
        <v>105</v>
      </c>
      <c r="C7" s="52"/>
      <c r="D7" s="52"/>
      <c r="E7" s="52"/>
      <c r="F7" s="52"/>
      <c r="G7" s="52"/>
      <c r="H7" s="52"/>
      <c r="I7" s="52"/>
      <c r="J7" s="52"/>
      <c r="K7" s="52"/>
      <c r="L7" s="52"/>
      <c r="M7" s="52"/>
      <c r="N7" s="49"/>
    </row>
    <row r="8" spans="2:19">
      <c r="B8" s="108"/>
      <c r="C8" s="52"/>
      <c r="D8" s="52"/>
      <c r="E8" s="52"/>
      <c r="F8" s="52"/>
      <c r="G8" s="52"/>
      <c r="H8" s="52"/>
      <c r="I8" s="52"/>
      <c r="J8" s="52"/>
      <c r="K8" s="52"/>
      <c r="L8" s="52"/>
      <c r="M8" s="52"/>
      <c r="N8" s="49"/>
    </row>
    <row r="9" spans="2:19">
      <c r="B9" s="131" t="s">
        <v>147</v>
      </c>
      <c r="C9" s="36" t="s">
        <v>146</v>
      </c>
      <c r="D9" s="52"/>
      <c r="E9" s="52"/>
      <c r="F9" s="52"/>
      <c r="G9" s="52"/>
      <c r="H9" s="52"/>
      <c r="I9" s="52"/>
      <c r="J9" s="52"/>
      <c r="K9" s="52"/>
      <c r="L9" s="52"/>
      <c r="M9" s="52"/>
      <c r="N9" s="49"/>
    </row>
    <row r="10" spans="2:19">
      <c r="B10" s="103"/>
      <c r="C10" s="52"/>
      <c r="D10" s="52"/>
      <c r="E10" s="52"/>
      <c r="F10" s="52"/>
      <c r="G10" s="52"/>
      <c r="H10" s="52"/>
      <c r="I10" s="52"/>
      <c r="J10" s="52"/>
      <c r="K10" s="52"/>
      <c r="L10" s="52"/>
      <c r="M10" s="52"/>
      <c r="N10" s="49"/>
    </row>
    <row r="11" spans="2:19">
      <c r="B11" s="130" t="s">
        <v>67</v>
      </c>
      <c r="C11" s="52"/>
      <c r="D11" s="52"/>
      <c r="E11" s="52"/>
      <c r="F11" s="52"/>
      <c r="G11" s="52"/>
      <c r="H11" s="52"/>
      <c r="I11" s="52"/>
      <c r="J11" s="52"/>
      <c r="K11" s="52"/>
      <c r="L11" s="52"/>
      <c r="M11" s="52"/>
      <c r="N11" s="49"/>
    </row>
    <row r="12" spans="2:19">
      <c r="B12" s="108"/>
      <c r="C12" s="52"/>
      <c r="D12" s="52"/>
      <c r="E12" s="52"/>
      <c r="F12" s="52"/>
      <c r="G12" s="52"/>
      <c r="H12" s="52"/>
      <c r="I12" s="52"/>
      <c r="J12" s="52"/>
      <c r="K12" s="52"/>
      <c r="L12" s="52"/>
      <c r="M12" s="52"/>
      <c r="N12" s="49"/>
    </row>
    <row r="13" spans="2:19">
      <c r="B13" s="108"/>
      <c r="C13" s="52"/>
      <c r="D13" s="52"/>
      <c r="E13" s="52"/>
      <c r="F13" s="52"/>
      <c r="G13" s="52"/>
      <c r="H13" s="52"/>
      <c r="I13" s="52"/>
      <c r="J13" s="52"/>
      <c r="K13" s="52"/>
      <c r="L13" s="52"/>
      <c r="M13" s="52"/>
      <c r="N13" s="49"/>
    </row>
    <row r="14" spans="2:19">
      <c r="B14" s="130" t="s">
        <v>68</v>
      </c>
      <c r="C14" s="52"/>
      <c r="D14" s="52"/>
      <c r="E14" s="52"/>
      <c r="F14" s="52"/>
      <c r="G14" s="52"/>
      <c r="H14" s="52"/>
      <c r="I14" s="52"/>
      <c r="J14" s="52"/>
      <c r="K14" s="52"/>
      <c r="L14" s="52"/>
      <c r="M14" s="52"/>
      <c r="N14" s="49"/>
    </row>
    <row r="15" spans="2:19">
      <c r="B15" s="103"/>
      <c r="C15" s="52"/>
      <c r="D15" s="52"/>
      <c r="E15" s="52"/>
      <c r="F15" s="52"/>
      <c r="G15" s="52"/>
      <c r="H15" s="52"/>
      <c r="I15" s="52"/>
      <c r="J15" s="52"/>
      <c r="K15" s="52"/>
      <c r="L15" s="52"/>
      <c r="M15" s="52"/>
      <c r="N15" s="49"/>
    </row>
    <row r="16" spans="2:19">
      <c r="B16" s="103"/>
      <c r="C16" s="52"/>
      <c r="D16" s="52"/>
      <c r="E16" s="52"/>
      <c r="F16" s="52"/>
      <c r="G16" s="52"/>
      <c r="H16" s="52"/>
      <c r="I16" s="52"/>
      <c r="J16" s="52"/>
      <c r="K16" s="52"/>
      <c r="L16" s="52"/>
      <c r="M16" s="52"/>
      <c r="N16" s="49"/>
    </row>
    <row r="17" spans="2:14" ht="13.5" thickBot="1">
      <c r="B17" s="48"/>
      <c r="C17" s="47"/>
      <c r="D17" s="47"/>
      <c r="E17" s="47"/>
      <c r="F17" s="47"/>
      <c r="G17" s="47"/>
      <c r="H17" s="47"/>
      <c r="I17" s="47"/>
      <c r="J17" s="47"/>
      <c r="K17" s="47"/>
      <c r="L17" s="47"/>
      <c r="M17" s="47"/>
      <c r="N17" s="65"/>
    </row>
    <row r="19" spans="2:14" ht="13.5" thickBot="1">
      <c r="B19" s="129" t="s">
        <v>69</v>
      </c>
      <c r="E19" s="128"/>
    </row>
    <row r="20" spans="2:14">
      <c r="B20" s="63"/>
      <c r="C20" s="85"/>
      <c r="D20" s="60"/>
      <c r="E20" s="60"/>
      <c r="F20" s="60"/>
      <c r="G20" s="60"/>
      <c r="H20" s="60"/>
      <c r="I20" s="60" t="s">
        <v>70</v>
      </c>
      <c r="J20" s="58" t="s">
        <v>71</v>
      </c>
    </row>
    <row r="21" spans="2:14">
      <c r="B21" s="84"/>
      <c r="C21" s="83" t="s">
        <v>72</v>
      </c>
      <c r="D21" s="81">
        <v>2015</v>
      </c>
      <c r="E21" s="81">
        <v>2020</v>
      </c>
      <c r="F21" s="81">
        <v>2035</v>
      </c>
      <c r="G21" s="81">
        <v>2050</v>
      </c>
      <c r="H21" s="81" t="s">
        <v>73</v>
      </c>
      <c r="I21" s="127"/>
      <c r="J21" s="79"/>
    </row>
    <row r="22" spans="2:14">
      <c r="B22" s="103" t="s">
        <v>74</v>
      </c>
      <c r="C22" s="93"/>
      <c r="D22" s="126"/>
      <c r="E22" s="126"/>
      <c r="F22" s="126"/>
      <c r="G22" s="126"/>
      <c r="H22" s="126"/>
      <c r="I22" s="52"/>
      <c r="J22" s="49"/>
    </row>
    <row r="23" spans="2:14">
      <c r="B23" s="120" t="s">
        <v>75</v>
      </c>
      <c r="C23" s="93" t="s">
        <v>106</v>
      </c>
      <c r="D23" s="125">
        <f>D67/D25</f>
        <v>0.2151652624756967</v>
      </c>
      <c r="E23" s="125">
        <f>E67/E25</f>
        <v>0.23645348837209298</v>
      </c>
      <c r="F23" s="125">
        <f>F67/F25</f>
        <v>0.2533540983606557</v>
      </c>
      <c r="G23" s="125">
        <f>G67/G25</f>
        <v>0.26217624999999994</v>
      </c>
      <c r="H23" s="122"/>
      <c r="I23" s="74" t="s">
        <v>215</v>
      </c>
      <c r="J23" s="116"/>
    </row>
    <row r="24" spans="2:14">
      <c r="B24" s="120" t="s">
        <v>76</v>
      </c>
      <c r="C24" s="93" t="s">
        <v>106</v>
      </c>
      <c r="D24" s="124">
        <f>D23</f>
        <v>0.2151652624756967</v>
      </c>
      <c r="E24" s="123">
        <f>E23</f>
        <v>0.23645348837209298</v>
      </c>
      <c r="F24" s="123">
        <f>F23</f>
        <v>0.2533540983606557</v>
      </c>
      <c r="G24" s="123">
        <f>G23</f>
        <v>0.26217624999999994</v>
      </c>
      <c r="H24" s="122"/>
      <c r="I24" s="74"/>
      <c r="J24" s="116"/>
    </row>
    <row r="25" spans="2:14">
      <c r="B25" s="120" t="s">
        <v>77</v>
      </c>
      <c r="C25" s="93" t="s">
        <v>78</v>
      </c>
      <c r="D25" s="185">
        <v>3.8574999999999999</v>
      </c>
      <c r="E25" s="184">
        <v>3.44</v>
      </c>
      <c r="F25" s="183">
        <v>3.05</v>
      </c>
      <c r="G25" s="183">
        <v>2.8</v>
      </c>
      <c r="H25" s="117"/>
      <c r="I25" s="74" t="s">
        <v>215</v>
      </c>
      <c r="J25" s="116"/>
    </row>
    <row r="26" spans="2:14">
      <c r="B26" s="120" t="s">
        <v>79</v>
      </c>
      <c r="C26" s="93" t="s">
        <v>78</v>
      </c>
      <c r="D26" s="138"/>
      <c r="E26" s="137"/>
      <c r="F26" s="137"/>
      <c r="G26" s="137"/>
      <c r="H26" s="117"/>
      <c r="I26" s="74"/>
      <c r="J26" s="116"/>
    </row>
    <row r="27" spans="2:14">
      <c r="B27" s="108" t="s">
        <v>80</v>
      </c>
      <c r="C27" s="93" t="s">
        <v>81</v>
      </c>
      <c r="D27" s="182">
        <v>16.3</v>
      </c>
      <c r="E27" s="125">
        <v>16.3</v>
      </c>
      <c r="F27" s="125">
        <v>16.3</v>
      </c>
      <c r="G27" s="125">
        <v>16.3</v>
      </c>
      <c r="H27" s="100"/>
      <c r="I27" s="50" t="s">
        <v>211</v>
      </c>
      <c r="J27" s="49"/>
    </row>
    <row r="28" spans="2:14">
      <c r="B28" s="108" t="s">
        <v>82</v>
      </c>
      <c r="C28" s="93" t="s">
        <v>83</v>
      </c>
      <c r="D28" s="181">
        <f>+D73</f>
        <v>14.94</v>
      </c>
      <c r="E28" s="181">
        <f>+E73</f>
        <v>14.6412</v>
      </c>
      <c r="F28" s="181">
        <f>+F73</f>
        <v>13.909139999999997</v>
      </c>
      <c r="G28" s="181">
        <f>+G73</f>
        <v>13.213682999999998</v>
      </c>
      <c r="H28" s="113"/>
      <c r="I28" s="74"/>
      <c r="J28" s="49"/>
    </row>
    <row r="29" spans="2:14">
      <c r="B29" s="53"/>
      <c r="C29" s="112"/>
      <c r="D29" s="73"/>
      <c r="E29" s="73"/>
      <c r="F29" s="73"/>
      <c r="G29" s="73"/>
      <c r="H29" s="73"/>
      <c r="I29" s="54"/>
      <c r="J29" s="49"/>
    </row>
    <row r="30" spans="2:14">
      <c r="B30" s="103" t="s">
        <v>84</v>
      </c>
      <c r="C30" s="93"/>
      <c r="D30" s="73"/>
      <c r="E30" s="73"/>
      <c r="F30" s="73"/>
      <c r="G30" s="73"/>
      <c r="H30" s="73"/>
      <c r="I30" s="54"/>
      <c r="J30" s="49"/>
    </row>
    <row r="31" spans="2:14">
      <c r="B31" s="108" t="s">
        <v>85</v>
      </c>
      <c r="C31" s="93" t="s">
        <v>15</v>
      </c>
      <c r="D31" s="111">
        <v>211980</v>
      </c>
      <c r="E31" s="111">
        <v>216118</v>
      </c>
      <c r="F31" s="111">
        <v>224351</v>
      </c>
      <c r="G31" s="111">
        <v>224457</v>
      </c>
      <c r="H31" s="110">
        <v>2015</v>
      </c>
      <c r="I31" s="54"/>
      <c r="J31" s="49"/>
    </row>
    <row r="32" spans="2:14">
      <c r="B32" s="53" t="s">
        <v>16</v>
      </c>
      <c r="C32" s="93" t="s">
        <v>17</v>
      </c>
      <c r="D32" s="111">
        <v>1630.657502327238</v>
      </c>
      <c r="E32" s="111">
        <v>1689.6977491173079</v>
      </c>
      <c r="F32" s="111">
        <v>1832.5822030868078</v>
      </c>
      <c r="G32" s="111">
        <v>1929.7651038917313</v>
      </c>
      <c r="H32" s="110">
        <v>2015</v>
      </c>
      <c r="I32" s="54"/>
      <c r="J32" s="49"/>
    </row>
    <row r="33" spans="2:10">
      <c r="B33" s="104" t="s">
        <v>18</v>
      </c>
      <c r="C33" s="93" t="s">
        <v>17</v>
      </c>
      <c r="D33" s="111">
        <v>1293.3081047368767</v>
      </c>
      <c r="E33" s="111">
        <v>1345.4636699434698</v>
      </c>
      <c r="F33" s="111">
        <v>1470.2305407985571</v>
      </c>
      <c r="G33" s="111">
        <v>1548.3423014830462</v>
      </c>
      <c r="H33" s="110">
        <v>2015</v>
      </c>
      <c r="I33" s="54"/>
      <c r="J33" s="49"/>
    </row>
    <row r="34" spans="2:10">
      <c r="B34" s="104" t="s">
        <v>19</v>
      </c>
      <c r="C34" s="93" t="s">
        <v>17</v>
      </c>
      <c r="D34" s="111">
        <v>337.34939759036143</v>
      </c>
      <c r="E34" s="111">
        <v>344.23407917383827</v>
      </c>
      <c r="F34" s="111">
        <v>362.35166228825079</v>
      </c>
      <c r="G34" s="111">
        <v>381.42280240868507</v>
      </c>
      <c r="H34" s="110">
        <v>2015</v>
      </c>
      <c r="I34" s="54"/>
      <c r="J34" s="49"/>
    </row>
    <row r="35" spans="2:10">
      <c r="B35" s="104"/>
      <c r="C35" s="93"/>
      <c r="D35" s="111"/>
      <c r="E35" s="111"/>
      <c r="F35" s="111"/>
      <c r="G35" s="111"/>
      <c r="H35" s="110"/>
      <c r="I35" s="54"/>
      <c r="J35" s="49"/>
    </row>
    <row r="36" spans="2:10">
      <c r="B36" s="104" t="s">
        <v>86</v>
      </c>
      <c r="C36" s="93" t="s">
        <v>17</v>
      </c>
      <c r="D36" s="111">
        <v>0</v>
      </c>
      <c r="E36" s="111">
        <v>0</v>
      </c>
      <c r="F36" s="111">
        <v>0</v>
      </c>
      <c r="G36" s="111">
        <v>0</v>
      </c>
      <c r="H36" s="110">
        <v>2015</v>
      </c>
      <c r="I36" s="54"/>
      <c r="J36" s="49"/>
    </row>
    <row r="37" spans="2:10">
      <c r="B37" s="103"/>
      <c r="C37" s="93"/>
      <c r="D37" s="109"/>
      <c r="E37" s="73"/>
      <c r="F37" s="73"/>
      <c r="G37" s="73"/>
      <c r="H37" s="73"/>
      <c r="I37" s="54"/>
      <c r="J37" s="49"/>
    </row>
    <row r="38" spans="2:10">
      <c r="B38" s="108" t="s">
        <v>85</v>
      </c>
      <c r="C38" s="93" t="s">
        <v>15</v>
      </c>
      <c r="D38" s="102">
        <v>211980</v>
      </c>
      <c r="E38" s="102">
        <v>216118</v>
      </c>
      <c r="F38" s="102">
        <v>224351</v>
      </c>
      <c r="G38" s="102">
        <v>224457</v>
      </c>
      <c r="H38" s="105">
        <v>2015</v>
      </c>
      <c r="I38" s="74" t="s">
        <v>210</v>
      </c>
      <c r="J38" s="49"/>
    </row>
    <row r="39" spans="2:10">
      <c r="B39" s="53" t="s">
        <v>16</v>
      </c>
      <c r="C39" s="93" t="s">
        <v>17</v>
      </c>
      <c r="D39" s="101">
        <f>+SUM(D40:D43)</f>
        <v>1630.657502327238</v>
      </c>
      <c r="E39" s="101">
        <f>+SUM(E40:E43)</f>
        <v>1689.6977491173079</v>
      </c>
      <c r="F39" s="101">
        <f>+SUM(F40:F43)</f>
        <v>1832.5822030868078</v>
      </c>
      <c r="G39" s="101">
        <f>+SUM(G40:G43)</f>
        <v>1929.7651038917313</v>
      </c>
      <c r="H39" s="105">
        <v>2015</v>
      </c>
      <c r="I39" s="74"/>
      <c r="J39" s="49"/>
    </row>
    <row r="40" spans="2:10">
      <c r="B40" s="104" t="s">
        <v>18</v>
      </c>
      <c r="C40" s="93" t="s">
        <v>17</v>
      </c>
      <c r="D40" s="101">
        <v>1293.3081047368767</v>
      </c>
      <c r="E40" s="101">
        <v>1345.4636699434698</v>
      </c>
      <c r="F40" s="101">
        <v>1470.2305407985571</v>
      </c>
      <c r="G40" s="101">
        <v>1548.3423014830462</v>
      </c>
      <c r="H40" s="105">
        <v>2015</v>
      </c>
      <c r="I40" s="74"/>
      <c r="J40" s="180"/>
    </row>
    <row r="41" spans="2:10">
      <c r="B41" s="104" t="s">
        <v>19</v>
      </c>
      <c r="C41" s="93" t="s">
        <v>17</v>
      </c>
      <c r="D41" s="106">
        <f>+D74</f>
        <v>337.34939759036143</v>
      </c>
      <c r="E41" s="106">
        <f>+E74</f>
        <v>344.23407917383827</v>
      </c>
      <c r="F41" s="106">
        <f>+F74</f>
        <v>362.35166228825079</v>
      </c>
      <c r="G41" s="106">
        <f>+G74</f>
        <v>381.42280240868507</v>
      </c>
      <c r="H41" s="105">
        <v>2015</v>
      </c>
      <c r="I41" s="74"/>
      <c r="J41" s="49"/>
    </row>
    <row r="42" spans="2:10">
      <c r="B42" s="104"/>
      <c r="C42" s="93"/>
      <c r="D42" s="73"/>
      <c r="E42" s="73"/>
      <c r="F42" s="73"/>
      <c r="G42" s="73"/>
      <c r="H42" s="105"/>
      <c r="I42" s="74"/>
      <c r="J42" s="49"/>
    </row>
    <row r="43" spans="2:10">
      <c r="B43" s="104" t="s">
        <v>86</v>
      </c>
      <c r="C43" s="93" t="s">
        <v>17</v>
      </c>
      <c r="D43" s="100">
        <v>0</v>
      </c>
      <c r="E43" s="100">
        <v>0</v>
      </c>
      <c r="F43" s="100">
        <v>0</v>
      </c>
      <c r="G43" s="100">
        <v>0</v>
      </c>
      <c r="H43" s="105">
        <v>2015</v>
      </c>
      <c r="I43" s="74"/>
      <c r="J43" s="49"/>
    </row>
    <row r="44" spans="2:10">
      <c r="B44" s="104"/>
      <c r="C44" s="93"/>
      <c r="D44" s="73"/>
      <c r="E44" s="97"/>
      <c r="F44" s="97"/>
      <c r="G44" s="97"/>
      <c r="H44" s="73"/>
      <c r="I44" s="74"/>
      <c r="J44" s="49"/>
    </row>
    <row r="45" spans="2:10">
      <c r="B45" s="103" t="s">
        <v>87</v>
      </c>
      <c r="C45" s="93"/>
      <c r="D45" s="73"/>
      <c r="E45" s="97"/>
      <c r="F45" s="97"/>
      <c r="G45" s="97"/>
      <c r="H45" s="102"/>
      <c r="I45" s="74"/>
      <c r="J45" s="49"/>
    </row>
    <row r="46" spans="2:10">
      <c r="B46" s="98" t="s">
        <v>30</v>
      </c>
      <c r="C46" s="93"/>
      <c r="D46" s="73"/>
      <c r="E46" s="97"/>
      <c r="F46" s="97"/>
      <c r="G46" s="97"/>
      <c r="H46" s="101"/>
      <c r="I46" s="74"/>
      <c r="J46" s="49"/>
    </row>
    <row r="47" spans="2:10">
      <c r="B47" s="53" t="s">
        <v>20</v>
      </c>
      <c r="C47" s="93" t="s">
        <v>107</v>
      </c>
      <c r="D47" s="96"/>
      <c r="E47" s="96"/>
      <c r="F47" s="96"/>
      <c r="G47" s="96"/>
      <c r="H47" s="101"/>
      <c r="I47" s="74"/>
      <c r="J47" s="94" t="s">
        <v>88</v>
      </c>
    </row>
    <row r="48" spans="2:10">
      <c r="B48" s="53" t="s">
        <v>21</v>
      </c>
      <c r="C48" s="93" t="s">
        <v>107</v>
      </c>
      <c r="D48" s="99">
        <f t="shared" ref="D48:G52" si="0">D83/D$25</f>
        <v>2.2216461438755671E-2</v>
      </c>
      <c r="E48" s="99">
        <f t="shared" si="0"/>
        <v>2.4912790697674419E-2</v>
      </c>
      <c r="F48" s="99">
        <f t="shared" si="0"/>
        <v>2.8098360655737706E-2</v>
      </c>
      <c r="G48" s="99">
        <f t="shared" si="0"/>
        <v>3.0607142857142857E-2</v>
      </c>
      <c r="H48" s="95"/>
      <c r="I48" s="74"/>
      <c r="J48" s="49"/>
    </row>
    <row r="49" spans="2:10">
      <c r="B49" s="53" t="s">
        <v>22</v>
      </c>
      <c r="C49" s="93" t="s">
        <v>107</v>
      </c>
      <c r="D49" s="99">
        <f t="shared" si="0"/>
        <v>0</v>
      </c>
      <c r="E49" s="99">
        <f t="shared" si="0"/>
        <v>0</v>
      </c>
      <c r="F49" s="99">
        <f t="shared" si="0"/>
        <v>0</v>
      </c>
      <c r="G49" s="99">
        <f t="shared" si="0"/>
        <v>0</v>
      </c>
      <c r="H49" s="73"/>
      <c r="I49" s="74"/>
      <c r="J49" s="49"/>
    </row>
    <row r="50" spans="2:10">
      <c r="B50" s="53" t="s">
        <v>23</v>
      </c>
      <c r="C50" s="93" t="s">
        <v>107</v>
      </c>
      <c r="D50" s="99">
        <f t="shared" si="0"/>
        <v>0</v>
      </c>
      <c r="E50" s="99">
        <f t="shared" si="0"/>
        <v>0</v>
      </c>
      <c r="F50" s="99">
        <f t="shared" si="0"/>
        <v>0</v>
      </c>
      <c r="G50" s="99">
        <f t="shared" si="0"/>
        <v>0</v>
      </c>
      <c r="H50" s="100"/>
      <c r="I50" s="74"/>
      <c r="J50" s="49"/>
    </row>
    <row r="51" spans="2:10">
      <c r="B51" s="53" t="s">
        <v>89</v>
      </c>
      <c r="C51" s="93" t="s">
        <v>107</v>
      </c>
      <c r="D51" s="99">
        <f t="shared" si="0"/>
        <v>1.5554115359688918E-2</v>
      </c>
      <c r="E51" s="99">
        <f t="shared" si="0"/>
        <v>1.7441860465116279E-2</v>
      </c>
      <c r="F51" s="99">
        <f t="shared" si="0"/>
        <v>1.9672131147540985E-2</v>
      </c>
      <c r="G51" s="99">
        <f t="shared" si="0"/>
        <v>2.1428571428571429E-2</v>
      </c>
      <c r="H51" s="73"/>
      <c r="I51" s="74"/>
      <c r="J51" s="49"/>
    </row>
    <row r="52" spans="2:10">
      <c r="B52" s="53" t="s">
        <v>24</v>
      </c>
      <c r="C52" s="93" t="s">
        <v>107</v>
      </c>
      <c r="D52" s="99">
        <f t="shared" si="0"/>
        <v>1.2961762799740765E-3</v>
      </c>
      <c r="E52" s="99">
        <f t="shared" si="0"/>
        <v>1.4534883720930232E-3</v>
      </c>
      <c r="F52" s="99">
        <f t="shared" si="0"/>
        <v>1.6393442622950822E-3</v>
      </c>
      <c r="G52" s="99">
        <f t="shared" si="0"/>
        <v>1.7857142857142859E-3</v>
      </c>
      <c r="H52" s="73"/>
      <c r="I52" s="74"/>
      <c r="J52" s="49"/>
    </row>
    <row r="53" spans="2:10">
      <c r="B53" s="53"/>
      <c r="C53" s="93"/>
      <c r="D53" s="97"/>
      <c r="E53" s="52"/>
      <c r="F53" s="52"/>
      <c r="G53" s="52"/>
      <c r="H53" s="73"/>
      <c r="I53" s="74"/>
      <c r="J53" s="49"/>
    </row>
    <row r="54" spans="2:10">
      <c r="B54" s="98" t="s">
        <v>31</v>
      </c>
      <c r="C54" s="93"/>
      <c r="D54" s="73"/>
      <c r="E54" s="97"/>
      <c r="F54" s="97"/>
      <c r="G54" s="97"/>
      <c r="H54" s="95"/>
      <c r="I54" s="74"/>
      <c r="J54" s="49"/>
    </row>
    <row r="55" spans="2:10">
      <c r="B55" s="53" t="s">
        <v>20</v>
      </c>
      <c r="C55" s="93" t="s">
        <v>107</v>
      </c>
      <c r="D55" s="96"/>
      <c r="E55" s="96"/>
      <c r="F55" s="96"/>
      <c r="G55" s="96"/>
      <c r="H55" s="95"/>
      <c r="I55" s="74"/>
      <c r="J55" s="94" t="s">
        <v>88</v>
      </c>
    </row>
    <row r="56" spans="2:10">
      <c r="B56" s="53" t="s">
        <v>21</v>
      </c>
      <c r="C56" s="93" t="s">
        <v>107</v>
      </c>
      <c r="D56" s="92">
        <f t="shared" ref="D56:G60" si="1">D48</f>
        <v>2.2216461438755671E-2</v>
      </c>
      <c r="E56" s="92">
        <f t="shared" si="1"/>
        <v>2.4912790697674419E-2</v>
      </c>
      <c r="F56" s="92">
        <f t="shared" si="1"/>
        <v>2.8098360655737706E-2</v>
      </c>
      <c r="G56" s="92">
        <f t="shared" si="1"/>
        <v>3.0607142857142857E-2</v>
      </c>
      <c r="H56" s="91"/>
      <c r="I56" s="74"/>
      <c r="J56" s="49"/>
    </row>
    <row r="57" spans="2:10">
      <c r="B57" s="53" t="s">
        <v>22</v>
      </c>
      <c r="C57" s="93" t="s">
        <v>107</v>
      </c>
      <c r="D57" s="92">
        <f t="shared" si="1"/>
        <v>0</v>
      </c>
      <c r="E57" s="92">
        <f t="shared" si="1"/>
        <v>0</v>
      </c>
      <c r="F57" s="92">
        <f t="shared" si="1"/>
        <v>0</v>
      </c>
      <c r="G57" s="92">
        <f t="shared" si="1"/>
        <v>0</v>
      </c>
      <c r="H57" s="91"/>
      <c r="I57" s="74"/>
      <c r="J57" s="49"/>
    </row>
    <row r="58" spans="2:10">
      <c r="B58" s="53" t="s">
        <v>23</v>
      </c>
      <c r="C58" s="93" t="s">
        <v>107</v>
      </c>
      <c r="D58" s="92">
        <f t="shared" si="1"/>
        <v>0</v>
      </c>
      <c r="E58" s="92">
        <f t="shared" si="1"/>
        <v>0</v>
      </c>
      <c r="F58" s="92">
        <f t="shared" si="1"/>
        <v>0</v>
      </c>
      <c r="G58" s="92">
        <f t="shared" si="1"/>
        <v>0</v>
      </c>
      <c r="H58" s="91"/>
      <c r="I58" s="74"/>
      <c r="J58" s="49"/>
    </row>
    <row r="59" spans="2:10">
      <c r="B59" s="53" t="s">
        <v>89</v>
      </c>
      <c r="C59" s="93" t="s">
        <v>107</v>
      </c>
      <c r="D59" s="92">
        <f t="shared" si="1"/>
        <v>1.5554115359688918E-2</v>
      </c>
      <c r="E59" s="92">
        <f t="shared" si="1"/>
        <v>1.7441860465116279E-2</v>
      </c>
      <c r="F59" s="92">
        <f t="shared" si="1"/>
        <v>1.9672131147540985E-2</v>
      </c>
      <c r="G59" s="92">
        <f t="shared" si="1"/>
        <v>2.1428571428571429E-2</v>
      </c>
      <c r="H59" s="91"/>
      <c r="I59" s="74"/>
      <c r="J59" s="49"/>
    </row>
    <row r="60" spans="2:10">
      <c r="B60" s="53" t="s">
        <v>24</v>
      </c>
      <c r="C60" s="93" t="s">
        <v>107</v>
      </c>
      <c r="D60" s="92">
        <f t="shared" si="1"/>
        <v>1.2961762799740765E-3</v>
      </c>
      <c r="E60" s="92">
        <f t="shared" si="1"/>
        <v>1.4534883720930232E-3</v>
      </c>
      <c r="F60" s="92">
        <f t="shared" si="1"/>
        <v>1.6393442622950822E-3</v>
      </c>
      <c r="G60" s="92">
        <f t="shared" si="1"/>
        <v>1.7857142857142859E-3</v>
      </c>
      <c r="H60" s="91"/>
      <c r="I60" s="74"/>
      <c r="J60" s="49"/>
    </row>
    <row r="61" spans="2:10" ht="13.5" thickBot="1">
      <c r="B61" s="90"/>
      <c r="C61" s="89"/>
      <c r="D61" s="88"/>
      <c r="E61" s="47"/>
      <c r="F61" s="47"/>
      <c r="G61" s="47"/>
      <c r="H61" s="87"/>
      <c r="I61" s="86"/>
      <c r="J61" s="65"/>
    </row>
    <row r="62" spans="2:10">
      <c r="I62" s="44"/>
    </row>
    <row r="63" spans="2:10">
      <c r="I63" s="44"/>
    </row>
    <row r="64" spans="2:10" ht="16.5" thickBot="1">
      <c r="B64" s="64" t="s">
        <v>90</v>
      </c>
      <c r="I64" s="44"/>
    </row>
    <row r="65" spans="2:10">
      <c r="B65" s="63"/>
      <c r="C65" s="85"/>
      <c r="D65" s="60"/>
      <c r="E65" s="60"/>
      <c r="F65" s="60"/>
      <c r="G65" s="60"/>
      <c r="H65" s="60"/>
      <c r="I65" s="59" t="s">
        <v>70</v>
      </c>
      <c r="J65" s="58" t="s">
        <v>71</v>
      </c>
    </row>
    <row r="66" spans="2:10">
      <c r="B66" s="84"/>
      <c r="C66" s="83" t="s">
        <v>72</v>
      </c>
      <c r="D66" s="82">
        <v>2015</v>
      </c>
      <c r="E66" s="81">
        <v>2020</v>
      </c>
      <c r="F66" s="81">
        <v>2035</v>
      </c>
      <c r="G66" s="81">
        <v>2050</v>
      </c>
      <c r="H66" s="81"/>
      <c r="I66" s="80"/>
      <c r="J66" s="79"/>
    </row>
    <row r="67" spans="2:10">
      <c r="B67" s="53" t="s">
        <v>25</v>
      </c>
      <c r="C67" s="70" t="s">
        <v>108</v>
      </c>
      <c r="D67" s="135">
        <f>'EU Varebil benzin'!D67</f>
        <v>0.83</v>
      </c>
      <c r="E67" s="135">
        <f>'EU Varebil benzin'!E67</f>
        <v>0.8133999999999999</v>
      </c>
      <c r="F67" s="135">
        <f>'EU Varebil benzin'!F67</f>
        <v>0.77272999999999992</v>
      </c>
      <c r="G67" s="135">
        <f>'EU Varebil benzin'!G67</f>
        <v>0.73409349999999984</v>
      </c>
      <c r="H67" s="75"/>
      <c r="I67" s="54"/>
      <c r="J67" s="49" t="s">
        <v>161</v>
      </c>
    </row>
    <row r="68" spans="2:10">
      <c r="B68" s="53" t="s">
        <v>109</v>
      </c>
      <c r="C68" s="70" t="s">
        <v>108</v>
      </c>
      <c r="D68" s="78">
        <f>'EU varebil diesel'!D67</f>
        <v>0.83</v>
      </c>
      <c r="E68" s="78"/>
      <c r="F68" s="78"/>
      <c r="G68" s="78"/>
      <c r="H68" s="77"/>
      <c r="I68" s="74" t="s">
        <v>215</v>
      </c>
      <c r="J68" s="49"/>
    </row>
    <row r="69" spans="2:10">
      <c r="B69" s="53" t="s">
        <v>91</v>
      </c>
      <c r="C69" s="70" t="s">
        <v>92</v>
      </c>
      <c r="D69" s="78">
        <v>1975</v>
      </c>
      <c r="E69" s="77"/>
      <c r="F69" s="77"/>
      <c r="G69" s="77"/>
      <c r="H69" s="76"/>
      <c r="I69" s="54"/>
      <c r="J69" s="49"/>
    </row>
    <row r="70" spans="2:10">
      <c r="B70" s="53" t="s">
        <v>110</v>
      </c>
      <c r="C70" s="70" t="s">
        <v>92</v>
      </c>
      <c r="D70" s="78">
        <v>1975</v>
      </c>
      <c r="E70" s="76"/>
      <c r="F70" s="76"/>
      <c r="G70" s="76"/>
      <c r="H70" s="75"/>
      <c r="I70" s="74" t="s">
        <v>215</v>
      </c>
      <c r="J70" s="49"/>
    </row>
    <row r="71" spans="2:10">
      <c r="B71" s="53" t="s">
        <v>93</v>
      </c>
      <c r="C71" s="70" t="s">
        <v>26</v>
      </c>
      <c r="D71" s="134"/>
      <c r="E71" s="78">
        <v>0.02</v>
      </c>
      <c r="F71" s="78">
        <v>0.05</v>
      </c>
      <c r="G71" s="78">
        <v>0.05</v>
      </c>
      <c r="H71" s="75"/>
      <c r="I71" s="74"/>
      <c r="J71" s="49"/>
    </row>
    <row r="72" spans="2:10">
      <c r="B72" s="53" t="s">
        <v>94</v>
      </c>
      <c r="C72" s="70" t="s">
        <v>95</v>
      </c>
      <c r="D72" s="73">
        <v>18000</v>
      </c>
      <c r="E72" s="73">
        <v>18000</v>
      </c>
      <c r="F72" s="73">
        <v>18000</v>
      </c>
      <c r="G72" s="73">
        <v>18000</v>
      </c>
      <c r="H72" s="73"/>
      <c r="I72" s="54"/>
      <c r="J72" s="49"/>
    </row>
    <row r="73" spans="2:10">
      <c r="B73" s="53" t="s">
        <v>82</v>
      </c>
      <c r="C73" s="70" t="s">
        <v>83</v>
      </c>
      <c r="D73" s="52">
        <f>+D67*D72/1000</f>
        <v>14.94</v>
      </c>
      <c r="E73" s="52">
        <f>+E67*E72/1000</f>
        <v>14.6412</v>
      </c>
      <c r="F73" s="52">
        <f>+F67*F72/1000</f>
        <v>13.909139999999997</v>
      </c>
      <c r="G73" s="52">
        <f>+G67*G72/1000</f>
        <v>13.213682999999998</v>
      </c>
      <c r="H73" s="52"/>
      <c r="I73" s="54"/>
      <c r="J73" s="49" t="s">
        <v>96</v>
      </c>
    </row>
    <row r="74" spans="2:10">
      <c r="B74" s="53" t="s">
        <v>97</v>
      </c>
      <c r="C74" s="70" t="s">
        <v>17</v>
      </c>
      <c r="D74" s="72">
        <f>D75*1000/D67</f>
        <v>337.34939759036143</v>
      </c>
      <c r="E74" s="72">
        <f>E75*1000/E67</f>
        <v>344.23407917383827</v>
      </c>
      <c r="F74" s="72">
        <f>F75*1000/F67</f>
        <v>362.35166228825079</v>
      </c>
      <c r="G74" s="72">
        <f>G75*1000/G67</f>
        <v>381.42280240868507</v>
      </c>
      <c r="H74" s="72"/>
      <c r="I74" s="54"/>
      <c r="J74" s="49" t="s">
        <v>111</v>
      </c>
    </row>
    <row r="75" spans="2:10">
      <c r="B75" s="53" t="s">
        <v>97</v>
      </c>
      <c r="C75" s="70" t="s">
        <v>35</v>
      </c>
      <c r="D75" s="71">
        <f>'EU varebil diesel'!D75</f>
        <v>0.28000000000000003</v>
      </c>
      <c r="E75" s="71">
        <f>'EU varebil diesel'!E75</f>
        <v>0.28000000000000003</v>
      </c>
      <c r="F75" s="71">
        <f>'EU varebil diesel'!F75</f>
        <v>0.28000000000000003</v>
      </c>
      <c r="G75" s="71">
        <f>'EU varebil diesel'!G75</f>
        <v>0.28000000000000003</v>
      </c>
      <c r="H75" s="67"/>
      <c r="I75" s="50" t="s">
        <v>212</v>
      </c>
      <c r="J75" s="49"/>
    </row>
    <row r="76" spans="2:10">
      <c r="B76" s="53" t="s">
        <v>98</v>
      </c>
      <c r="C76" s="70" t="s">
        <v>26</v>
      </c>
      <c r="D76" s="69"/>
      <c r="E76" s="68">
        <v>0.215</v>
      </c>
      <c r="F76" s="172">
        <v>0.3</v>
      </c>
      <c r="G76" s="172">
        <v>0.3</v>
      </c>
      <c r="H76" s="67"/>
      <c r="I76" s="50" t="s">
        <v>213</v>
      </c>
      <c r="J76" s="49"/>
    </row>
    <row r="77" spans="2:10" ht="13.5" thickBot="1">
      <c r="B77" s="48"/>
      <c r="C77" s="66"/>
      <c r="D77" s="47"/>
      <c r="E77" s="47"/>
      <c r="F77" s="47"/>
      <c r="G77" s="47"/>
      <c r="H77" s="47"/>
      <c r="I77" s="46"/>
      <c r="J77" s="65"/>
    </row>
    <row r="78" spans="2:10">
      <c r="I78" s="44"/>
    </row>
    <row r="79" spans="2:10" ht="16.5" thickBot="1">
      <c r="B79" s="64" t="s">
        <v>99</v>
      </c>
      <c r="I79" s="44"/>
    </row>
    <row r="80" spans="2:10">
      <c r="B80" s="63"/>
      <c r="C80" s="60"/>
      <c r="D80" s="62"/>
      <c r="E80" s="62"/>
      <c r="F80" s="62"/>
      <c r="G80" s="61"/>
      <c r="H80" s="60"/>
      <c r="I80" s="59"/>
      <c r="J80" s="58"/>
    </row>
    <row r="81" spans="2:10">
      <c r="B81" s="53"/>
      <c r="C81" s="52"/>
      <c r="D81" s="52"/>
      <c r="E81" s="52"/>
      <c r="F81" s="52"/>
      <c r="G81" s="52"/>
      <c r="H81" s="52"/>
      <c r="I81" s="54"/>
      <c r="J81" s="49"/>
    </row>
    <row r="82" spans="2:10">
      <c r="B82" s="53" t="s">
        <v>20</v>
      </c>
      <c r="C82" s="52" t="s">
        <v>27</v>
      </c>
      <c r="D82" s="57"/>
      <c r="E82" s="56"/>
      <c r="F82" s="56"/>
      <c r="G82" s="56"/>
      <c r="H82" s="55"/>
      <c r="I82" s="54"/>
      <c r="J82" s="49" t="s">
        <v>100</v>
      </c>
    </row>
    <row r="83" spans="2:10">
      <c r="B83" s="53" t="s">
        <v>21</v>
      </c>
      <c r="C83" s="52" t="s">
        <v>27</v>
      </c>
      <c r="D83" s="51">
        <v>8.5699999999999998E-2</v>
      </c>
      <c r="E83" s="51">
        <v>8.5699999999999998E-2</v>
      </c>
      <c r="F83" s="51">
        <v>8.5699999999999998E-2</v>
      </c>
      <c r="G83" s="51">
        <v>8.5699999999999998E-2</v>
      </c>
      <c r="H83" s="51"/>
      <c r="I83" s="50" t="s">
        <v>213</v>
      </c>
      <c r="J83" s="49" t="s">
        <v>101</v>
      </c>
    </row>
    <row r="84" spans="2:10">
      <c r="B84" s="53" t="s">
        <v>22</v>
      </c>
      <c r="C84" s="52" t="s">
        <v>27</v>
      </c>
      <c r="D84" s="51"/>
      <c r="E84" s="51"/>
      <c r="F84" s="51"/>
      <c r="G84" s="51"/>
      <c r="H84" s="51"/>
      <c r="I84" s="50" t="s">
        <v>213</v>
      </c>
      <c r="J84" s="49" t="s">
        <v>102</v>
      </c>
    </row>
    <row r="85" spans="2:10">
      <c r="B85" s="53" t="s">
        <v>23</v>
      </c>
      <c r="C85" s="52" t="s">
        <v>27</v>
      </c>
      <c r="D85" s="51"/>
      <c r="E85" s="51"/>
      <c r="F85" s="51"/>
      <c r="G85" s="51"/>
      <c r="H85" s="51"/>
      <c r="I85" s="50" t="s">
        <v>213</v>
      </c>
      <c r="J85" s="49" t="s">
        <v>103</v>
      </c>
    </row>
    <row r="86" spans="2:10">
      <c r="B86" s="53" t="s">
        <v>89</v>
      </c>
      <c r="C86" s="52" t="s">
        <v>27</v>
      </c>
      <c r="D86" s="51">
        <v>0.06</v>
      </c>
      <c r="E86" s="51">
        <v>0.06</v>
      </c>
      <c r="F86" s="51">
        <v>0.06</v>
      </c>
      <c r="G86" s="51">
        <v>0.06</v>
      </c>
      <c r="H86" s="51"/>
      <c r="I86" s="50" t="s">
        <v>213</v>
      </c>
      <c r="J86" s="49"/>
    </row>
    <row r="87" spans="2:10">
      <c r="B87" s="53" t="s">
        <v>24</v>
      </c>
      <c r="C87" s="52" t="s">
        <v>27</v>
      </c>
      <c r="D87" s="51">
        <v>5.0000000000000001E-3</v>
      </c>
      <c r="E87" s="51">
        <v>5.0000000000000001E-3</v>
      </c>
      <c r="F87" s="51">
        <v>5.0000000000000001E-3</v>
      </c>
      <c r="G87" s="51">
        <v>5.0000000000000001E-3</v>
      </c>
      <c r="H87" s="51"/>
      <c r="I87" s="50" t="s">
        <v>213</v>
      </c>
      <c r="J87" s="49"/>
    </row>
    <row r="88" spans="2:10" ht="13.5" thickBot="1">
      <c r="B88" s="48"/>
      <c r="C88" s="47"/>
      <c r="D88" s="47"/>
      <c r="E88" s="47"/>
      <c r="F88" s="47"/>
      <c r="G88" s="47"/>
      <c r="H88" s="47"/>
      <c r="I88" s="46"/>
      <c r="J88" s="45"/>
    </row>
    <row r="89" spans="2:10">
      <c r="F89" s="43"/>
      <c r="G89" s="43"/>
      <c r="I89" s="44"/>
    </row>
    <row r="90" spans="2:10">
      <c r="F90" s="43"/>
      <c r="G90" s="43"/>
      <c r="H90" s="43"/>
    </row>
    <row r="91" spans="2:10">
      <c r="F91" s="43"/>
      <c r="G91" s="43"/>
      <c r="H91" s="43"/>
    </row>
    <row r="92" spans="2:10">
      <c r="F92" s="43"/>
      <c r="G92" s="43"/>
      <c r="H92" s="43"/>
      <c r="I92" s="41"/>
    </row>
    <row r="93" spans="2:10">
      <c r="F93" s="43"/>
      <c r="G93" s="43"/>
      <c r="H93" s="43"/>
    </row>
    <row r="94" spans="2:10">
      <c r="F94" s="43"/>
      <c r="G94" s="43"/>
      <c r="H94" s="43"/>
    </row>
    <row r="95" spans="2:10">
      <c r="D95" s="42"/>
      <c r="I95" s="41"/>
    </row>
    <row r="98" spans="9:9">
      <c r="I98" s="41"/>
    </row>
    <row r="101" spans="9:9">
      <c r="I101" s="41"/>
    </row>
    <row r="102" spans="9:9">
      <c r="I102" s="41"/>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'C:\Users\B003920\Desktop\[Kopi af alternativ_drivmiddelmodel_3.0_2.xlsm]Sheet1'!#REF!</xm:f>
          </x14:formula1>
          <xm:sqref>C9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7">
    <tabColor rgb="FF002060"/>
  </sheetPr>
  <dimension ref="B1:S97"/>
  <sheetViews>
    <sheetView topLeftCell="A20"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7" width="15.85546875" style="40" customWidth="1"/>
    <col min="8" max="8" width="7.140625" style="40" customWidth="1"/>
    <col min="9" max="9" width="45.85546875" style="40" customWidth="1"/>
    <col min="10" max="10" width="10.7109375" style="40" customWidth="1"/>
    <col min="11" max="11" width="9.140625" style="40" customWidth="1"/>
    <col min="12" max="12" width="30.7109375" style="40" customWidth="1"/>
    <col min="13" max="13" width="8.85546875" style="40"/>
    <col min="14" max="14" width="37.85546875" style="40" customWidth="1"/>
    <col min="15" max="17" width="8.85546875" style="40"/>
    <col min="18" max="18" width="9.140625" style="40" customWidth="1"/>
    <col min="19" max="16384" width="8.85546875" style="40"/>
  </cols>
  <sheetData>
    <row r="1" spans="2:18" s="37" customFormat="1" ht="21">
      <c r="B1" s="37" t="s">
        <v>180</v>
      </c>
      <c r="Q1" s="39">
        <v>0</v>
      </c>
      <c r="R1" s="38">
        <v>0</v>
      </c>
    </row>
    <row r="2" spans="2:18">
      <c r="Q2" s="133">
        <f>Q1</f>
        <v>0</v>
      </c>
      <c r="R2" s="133">
        <f>R1</f>
        <v>0</v>
      </c>
    </row>
    <row r="4" spans="2:18" ht="13.5" thickBot="1">
      <c r="B4" s="129" t="s">
        <v>65</v>
      </c>
    </row>
    <row r="5" spans="2:18">
      <c r="B5" s="132" t="s">
        <v>66</v>
      </c>
      <c r="C5" s="60"/>
      <c r="D5" s="60"/>
      <c r="E5" s="60"/>
      <c r="F5" s="60"/>
      <c r="G5" s="60"/>
      <c r="H5" s="60"/>
      <c r="I5" s="60"/>
      <c r="J5" s="60"/>
      <c r="K5" s="60"/>
      <c r="L5" s="60"/>
      <c r="M5" s="58"/>
    </row>
    <row r="6" spans="2:18">
      <c r="B6" s="108" t="s">
        <v>179</v>
      </c>
      <c r="C6" s="52"/>
      <c r="D6" s="52"/>
      <c r="E6" s="52"/>
      <c r="F6" s="52"/>
      <c r="G6" s="52"/>
      <c r="H6" s="52"/>
      <c r="I6" s="52"/>
      <c r="J6" s="52"/>
      <c r="K6" s="52"/>
      <c r="L6" s="52"/>
      <c r="M6" s="49"/>
    </row>
    <row r="7" spans="2:18">
      <c r="B7" s="108" t="s">
        <v>178</v>
      </c>
      <c r="C7" s="52"/>
      <c r="D7" s="52"/>
      <c r="E7" s="52"/>
      <c r="F7" s="52"/>
      <c r="G7" s="52"/>
      <c r="H7" s="52"/>
      <c r="I7" s="52"/>
      <c r="J7" s="52"/>
      <c r="K7" s="52"/>
      <c r="L7" s="52"/>
      <c r="M7" s="49"/>
    </row>
    <row r="8" spans="2:18">
      <c r="B8" s="108" t="s">
        <v>177</v>
      </c>
      <c r="C8" s="52"/>
      <c r="D8" s="52"/>
      <c r="E8" s="52"/>
      <c r="F8" s="52"/>
      <c r="G8" s="52"/>
      <c r="H8" s="52"/>
      <c r="I8" s="52"/>
      <c r="J8" s="52"/>
      <c r="K8" s="52"/>
      <c r="L8" s="52"/>
      <c r="M8" s="49"/>
    </row>
    <row r="9" spans="2:18">
      <c r="B9" s="131" t="s">
        <v>147</v>
      </c>
      <c r="C9" s="36" t="s">
        <v>155</v>
      </c>
      <c r="D9" s="52"/>
      <c r="E9" s="52"/>
      <c r="F9" s="52"/>
      <c r="G9" s="52"/>
      <c r="H9" s="52"/>
      <c r="I9" s="52"/>
      <c r="J9" s="52"/>
      <c r="K9" s="52"/>
      <c r="L9" s="52"/>
      <c r="M9" s="49"/>
    </row>
    <row r="10" spans="2:18">
      <c r="B10" s="108"/>
      <c r="C10" s="52"/>
      <c r="D10" s="52"/>
      <c r="E10" s="52"/>
      <c r="F10" s="52"/>
      <c r="G10" s="52"/>
      <c r="H10" s="52"/>
      <c r="I10" s="52"/>
      <c r="J10" s="52"/>
      <c r="K10" s="52"/>
      <c r="L10" s="52"/>
      <c r="M10" s="49"/>
    </row>
    <row r="11" spans="2:18">
      <c r="B11" s="130" t="s">
        <v>67</v>
      </c>
      <c r="C11" s="52"/>
      <c r="D11" s="52"/>
      <c r="E11" s="52"/>
      <c r="F11" s="52"/>
      <c r="G11" s="52"/>
      <c r="H11" s="52"/>
      <c r="I11" s="52"/>
      <c r="J11" s="52"/>
      <c r="K11" s="52"/>
      <c r="L11" s="52"/>
      <c r="M11" s="49"/>
    </row>
    <row r="12" spans="2:18">
      <c r="B12" s="108" t="s">
        <v>176</v>
      </c>
      <c r="C12" s="52"/>
      <c r="D12" s="52"/>
      <c r="E12" s="52"/>
      <c r="F12" s="52"/>
      <c r="G12" s="52"/>
      <c r="H12" s="52"/>
      <c r="I12" s="52"/>
      <c r="J12" s="52"/>
      <c r="K12" s="52"/>
      <c r="L12" s="52"/>
      <c r="M12" s="49"/>
    </row>
    <row r="13" spans="2:18">
      <c r="B13" s="108" t="s">
        <v>175</v>
      </c>
      <c r="C13" s="52"/>
      <c r="D13" s="52"/>
      <c r="E13" s="52"/>
      <c r="F13" s="52"/>
      <c r="G13" s="52"/>
      <c r="H13" s="52"/>
      <c r="I13" s="52"/>
      <c r="J13" s="52"/>
      <c r="K13" s="52"/>
      <c r="L13" s="52"/>
      <c r="M13" s="49"/>
    </row>
    <row r="14" spans="2:18">
      <c r="B14" s="130" t="s">
        <v>68</v>
      </c>
      <c r="C14" s="52"/>
      <c r="D14" s="52"/>
      <c r="E14" s="52"/>
      <c r="F14" s="52"/>
      <c r="G14" s="52"/>
      <c r="H14" s="52"/>
      <c r="I14" s="52"/>
      <c r="J14" s="52"/>
      <c r="K14" s="52"/>
      <c r="L14" s="52"/>
      <c r="M14" s="49"/>
    </row>
    <row r="15" spans="2:18">
      <c r="B15" s="108" t="s">
        <v>174</v>
      </c>
      <c r="C15" s="52"/>
      <c r="D15" s="52"/>
      <c r="E15" s="52"/>
      <c r="F15" s="52"/>
      <c r="G15" s="52"/>
      <c r="H15" s="52"/>
      <c r="I15" s="52"/>
      <c r="J15" s="52"/>
      <c r="K15" s="52"/>
      <c r="L15" s="52"/>
      <c r="M15" s="49"/>
    </row>
    <row r="16" spans="2:18">
      <c r="B16" s="108" t="s">
        <v>173</v>
      </c>
      <c r="C16" s="52"/>
      <c r="D16" s="52"/>
      <c r="E16" s="52"/>
      <c r="F16" s="52"/>
      <c r="G16" s="52"/>
      <c r="H16" s="52"/>
      <c r="I16" s="52"/>
      <c r="J16" s="52"/>
      <c r="K16" s="52"/>
      <c r="L16" s="52"/>
      <c r="M16" s="49"/>
    </row>
    <row r="17" spans="2:17" ht="13.5" thickBot="1">
      <c r="B17" s="48" t="s">
        <v>172</v>
      </c>
      <c r="C17" s="47"/>
      <c r="D17" s="47"/>
      <c r="E17" s="47"/>
      <c r="F17" s="47"/>
      <c r="G17" s="47"/>
      <c r="H17" s="47"/>
      <c r="I17" s="47"/>
      <c r="J17" s="47"/>
      <c r="K17" s="47"/>
      <c r="L17" s="47"/>
      <c r="M17" s="65"/>
    </row>
    <row r="19" spans="2:17" ht="13.5" thickBot="1">
      <c r="B19" s="129" t="s">
        <v>69</v>
      </c>
      <c r="E19" s="43"/>
    </row>
    <row r="20" spans="2:17">
      <c r="B20" s="63"/>
      <c r="C20" s="85"/>
      <c r="D20" s="141"/>
      <c r="E20" s="60"/>
      <c r="F20" s="60"/>
      <c r="G20" s="60"/>
      <c r="H20" s="60"/>
      <c r="I20" s="60" t="s">
        <v>70</v>
      </c>
      <c r="J20" s="58" t="s">
        <v>71</v>
      </c>
    </row>
    <row r="21" spans="2:17">
      <c r="B21" s="84"/>
      <c r="C21" s="83" t="s">
        <v>72</v>
      </c>
      <c r="D21" s="82">
        <v>2015</v>
      </c>
      <c r="E21" s="81">
        <v>2020</v>
      </c>
      <c r="F21" s="81">
        <v>2035</v>
      </c>
      <c r="G21" s="81">
        <v>2050</v>
      </c>
      <c r="H21" s="127" t="s">
        <v>73</v>
      </c>
      <c r="I21" s="127"/>
      <c r="J21" s="79"/>
    </row>
    <row r="22" spans="2:17">
      <c r="B22" s="103" t="s">
        <v>74</v>
      </c>
      <c r="C22" s="93"/>
      <c r="D22" s="147"/>
      <c r="E22" s="126"/>
      <c r="F22" s="126"/>
      <c r="G22" s="126"/>
      <c r="H22" s="52"/>
      <c r="I22" s="52"/>
      <c r="J22" s="49"/>
    </row>
    <row r="23" spans="2:17">
      <c r="B23" s="120" t="s">
        <v>75</v>
      </c>
      <c r="C23" s="93" t="s">
        <v>112</v>
      </c>
      <c r="D23" s="171">
        <v>0.73399999999999999</v>
      </c>
      <c r="E23" s="171">
        <v>0.73699999999999999</v>
      </c>
      <c r="F23" s="171">
        <v>0.755</v>
      </c>
      <c r="G23" s="171">
        <v>0.77900000000000003</v>
      </c>
      <c r="H23" s="74"/>
      <c r="I23" s="74" t="s">
        <v>215</v>
      </c>
      <c r="J23" s="49"/>
    </row>
    <row r="24" spans="2:17">
      <c r="B24" s="120" t="s">
        <v>76</v>
      </c>
      <c r="C24" s="93" t="s">
        <v>112</v>
      </c>
      <c r="D24" s="119">
        <f>D23</f>
        <v>0.73399999999999999</v>
      </c>
      <c r="E24" s="170">
        <f>E23</f>
        <v>0.73699999999999999</v>
      </c>
      <c r="F24" s="170">
        <f>F23</f>
        <v>0.755</v>
      </c>
      <c r="G24" s="170">
        <f>G23</f>
        <v>0.77900000000000003</v>
      </c>
      <c r="H24" s="74"/>
      <c r="I24" s="74"/>
      <c r="J24" s="49"/>
    </row>
    <row r="25" spans="2:17">
      <c r="B25" s="120" t="s">
        <v>77</v>
      </c>
      <c r="C25" s="93" t="s">
        <v>78</v>
      </c>
      <c r="D25" s="169">
        <f>D67/D23</f>
        <v>1.1934653727527984</v>
      </c>
      <c r="E25" s="169">
        <f>E67/E23</f>
        <v>1.1390210806742354</v>
      </c>
      <c r="F25" s="169">
        <f>F67/F23</f>
        <v>1.0449132641285226</v>
      </c>
      <c r="G25" s="169">
        <f>G67/G23</f>
        <v>0.95825332631732296</v>
      </c>
      <c r="H25" s="74"/>
      <c r="I25" s="74" t="s">
        <v>215</v>
      </c>
      <c r="J25" s="49" t="s">
        <v>171</v>
      </c>
    </row>
    <row r="26" spans="2:17">
      <c r="B26" s="120" t="s">
        <v>79</v>
      </c>
      <c r="C26" s="93" t="s">
        <v>78</v>
      </c>
      <c r="D26" s="119"/>
      <c r="E26" s="118"/>
      <c r="F26" s="118"/>
      <c r="G26" s="118"/>
      <c r="H26" s="74"/>
      <c r="I26" s="74"/>
      <c r="J26" s="49"/>
    </row>
    <row r="27" spans="2:17">
      <c r="B27" s="108" t="s">
        <v>80</v>
      </c>
      <c r="C27" s="93" t="s">
        <v>81</v>
      </c>
      <c r="D27" s="115">
        <f>D83</f>
        <v>10.6</v>
      </c>
      <c r="E27" s="100">
        <v>16.3</v>
      </c>
      <c r="F27" s="100">
        <v>16.3</v>
      </c>
      <c r="G27" s="100">
        <v>16.3</v>
      </c>
      <c r="H27" s="50"/>
      <c r="I27" s="50" t="s">
        <v>211</v>
      </c>
      <c r="J27" s="49"/>
    </row>
    <row r="28" spans="2:17">
      <c r="B28" s="108" t="s">
        <v>82</v>
      </c>
      <c r="C28" s="93" t="s">
        <v>83</v>
      </c>
      <c r="D28" s="146">
        <f>+D75</f>
        <v>15.768064504809972</v>
      </c>
      <c r="E28" s="114">
        <f>+E75</f>
        <v>15.110253656224405</v>
      </c>
      <c r="F28" s="114">
        <f>+F75</f>
        <v>14.200371259506623</v>
      </c>
      <c r="G28" s="114">
        <f>+G75</f>
        <v>13.436628141621505</v>
      </c>
      <c r="H28" s="74"/>
      <c r="I28" s="74"/>
      <c r="J28" s="49"/>
    </row>
    <row r="29" spans="2:17">
      <c r="B29" s="53"/>
      <c r="C29" s="112"/>
      <c r="D29" s="109"/>
      <c r="E29" s="73"/>
      <c r="F29" s="73"/>
      <c r="G29" s="73"/>
      <c r="H29" s="54"/>
      <c r="I29" s="54"/>
      <c r="J29" s="49"/>
    </row>
    <row r="30" spans="2:17">
      <c r="B30" s="103" t="s">
        <v>84</v>
      </c>
      <c r="C30" s="93"/>
      <c r="D30" s="109"/>
      <c r="E30" s="73"/>
      <c r="F30" s="73"/>
      <c r="G30" s="73"/>
      <c r="H30" s="54"/>
      <c r="I30" s="54"/>
      <c r="J30" s="49"/>
      <c r="N30" s="164"/>
      <c r="O30" s="164"/>
      <c r="P30" s="164"/>
      <c r="Q30" s="164"/>
    </row>
    <row r="31" spans="2:17">
      <c r="B31" s="108" t="s">
        <v>85</v>
      </c>
      <c r="C31" s="93" t="s">
        <v>15</v>
      </c>
      <c r="D31" s="111">
        <v>237087.5</v>
      </c>
      <c r="E31" s="111">
        <v>196502</v>
      </c>
      <c r="F31" s="111">
        <v>166928</v>
      </c>
      <c r="G31" s="111">
        <v>162158</v>
      </c>
      <c r="H31" s="110">
        <v>2015</v>
      </c>
      <c r="I31" s="306">
        <f>D25/3.6</f>
        <v>0.33151815909799953</v>
      </c>
      <c r="J31" s="49" t="s">
        <v>237</v>
      </c>
    </row>
    <row r="32" spans="2:17">
      <c r="B32" s="53" t="s">
        <v>16</v>
      </c>
      <c r="C32" s="93" t="s">
        <v>17</v>
      </c>
      <c r="D32" s="111">
        <v>1642.2165929292059</v>
      </c>
      <c r="E32" s="111">
        <v>1468.8833506567689</v>
      </c>
      <c r="F32" s="111">
        <v>1373.16997802734</v>
      </c>
      <c r="G32" s="111">
        <v>1418.8631814805108</v>
      </c>
      <c r="H32" s="110">
        <v>2015</v>
      </c>
      <c r="I32" s="54">
        <f>400*I31</f>
        <v>132.6072636391998</v>
      </c>
      <c r="J32" s="49" t="s">
        <v>238</v>
      </c>
    </row>
    <row r="33" spans="2:17">
      <c r="B33" s="104" t="s">
        <v>18</v>
      </c>
      <c r="C33" s="93" t="s">
        <v>17</v>
      </c>
      <c r="D33" s="111">
        <v>1370.528206653694</v>
      </c>
      <c r="E33" s="111">
        <v>1185.3672630075532</v>
      </c>
      <c r="F33" s="111">
        <v>1071.4877246755468</v>
      </c>
      <c r="G33" s="111">
        <v>1100.0331926732879</v>
      </c>
      <c r="H33" s="110">
        <v>2015</v>
      </c>
      <c r="I33" s="54"/>
      <c r="J33" s="49"/>
    </row>
    <row r="34" spans="2:17">
      <c r="B34" s="104" t="s">
        <v>19</v>
      </c>
      <c r="C34" s="93" t="s">
        <v>17</v>
      </c>
      <c r="D34" s="111">
        <v>271.6883862755119</v>
      </c>
      <c r="E34" s="111">
        <v>283.51608764921571</v>
      </c>
      <c r="F34" s="111">
        <v>301.68225335179324</v>
      </c>
      <c r="G34" s="111">
        <v>318.82998880722289</v>
      </c>
      <c r="H34" s="110">
        <v>2015</v>
      </c>
      <c r="I34" s="307"/>
      <c r="J34" s="49"/>
    </row>
    <row r="35" spans="2:17">
      <c r="B35" s="104"/>
      <c r="C35" s="93"/>
      <c r="D35" s="111"/>
      <c r="E35" s="111"/>
      <c r="F35" s="111"/>
      <c r="G35" s="111"/>
      <c r="H35" s="110"/>
      <c r="I35" s="54"/>
      <c r="J35" s="49"/>
    </row>
    <row r="36" spans="2:17">
      <c r="B36" s="104" t="s">
        <v>86</v>
      </c>
      <c r="C36" s="93" t="s">
        <v>17</v>
      </c>
      <c r="D36" s="111">
        <v>0</v>
      </c>
      <c r="E36" s="111">
        <v>0</v>
      </c>
      <c r="F36" s="111">
        <v>0</v>
      </c>
      <c r="G36" s="111">
        <v>0</v>
      </c>
      <c r="H36" s="110">
        <v>2015</v>
      </c>
      <c r="I36" s="54"/>
      <c r="J36" s="49"/>
    </row>
    <row r="37" spans="2:17">
      <c r="B37" s="103"/>
      <c r="C37" s="93"/>
      <c r="D37" s="109"/>
      <c r="E37" s="73"/>
      <c r="F37" s="73"/>
      <c r="G37" s="73"/>
      <c r="H37" s="73"/>
      <c r="I37" s="54"/>
      <c r="J37" s="49"/>
    </row>
    <row r="38" spans="2:17">
      <c r="B38" s="108" t="s">
        <v>85</v>
      </c>
      <c r="C38" s="93" t="s">
        <v>15</v>
      </c>
      <c r="D38" s="145">
        <f>200000-30*D81+D80</f>
        <v>433431.5247791796</v>
      </c>
      <c r="E38" s="145">
        <f>$D38-$D80+E80</f>
        <v>362908.00042794342</v>
      </c>
      <c r="F38" s="145">
        <f>$D38-$D80+F80</f>
        <v>187594.80889397993</v>
      </c>
      <c r="G38" s="145">
        <f>$D38-$D80+G80</f>
        <v>182963.31666207025</v>
      </c>
      <c r="H38" s="105">
        <v>2015</v>
      </c>
      <c r="I38" s="74" t="s">
        <v>215</v>
      </c>
      <c r="J38" s="49" t="s">
        <v>170</v>
      </c>
      <c r="N38" s="164"/>
      <c r="O38" s="164"/>
      <c r="P38" s="164"/>
      <c r="Q38" s="164"/>
    </row>
    <row r="39" spans="2:17">
      <c r="B39" s="53" t="s">
        <v>16</v>
      </c>
      <c r="C39" s="93" t="s">
        <v>17</v>
      </c>
      <c r="D39" s="144">
        <f>+SUM(D40:D43)</f>
        <v>1642.2165929292059</v>
      </c>
      <c r="E39" s="101">
        <f>+SUM(E40:E43)</f>
        <v>1468.8833506567689</v>
      </c>
      <c r="F39" s="101">
        <f>+SUM(F40:F43)</f>
        <v>1373.16997802734</v>
      </c>
      <c r="G39" s="101">
        <f>+SUM(G40:G43)</f>
        <v>1418.8631814805108</v>
      </c>
      <c r="H39" s="105">
        <v>2015</v>
      </c>
      <c r="I39" s="74"/>
      <c r="J39" s="49"/>
      <c r="N39" s="164"/>
      <c r="O39" s="164"/>
      <c r="P39" s="164"/>
      <c r="Q39" s="164"/>
    </row>
    <row r="40" spans="2:17">
      <c r="B40" s="104" t="s">
        <v>18</v>
      </c>
      <c r="C40" s="93" t="s">
        <v>17</v>
      </c>
      <c r="D40" s="144">
        <v>1370.528206653694</v>
      </c>
      <c r="E40" s="101">
        <v>1185.3672630075532</v>
      </c>
      <c r="F40" s="101">
        <v>1071.4877246755468</v>
      </c>
      <c r="G40" s="101">
        <v>1100.0331926732879</v>
      </c>
      <c r="H40" s="105">
        <v>2015</v>
      </c>
      <c r="I40" s="74"/>
      <c r="J40" s="49"/>
      <c r="N40" s="164"/>
      <c r="O40" s="164"/>
      <c r="P40" s="164"/>
      <c r="Q40" s="164"/>
    </row>
    <row r="41" spans="2:17">
      <c r="B41" s="104" t="s">
        <v>19</v>
      </c>
      <c r="C41" s="93" t="s">
        <v>17</v>
      </c>
      <c r="D41" s="143">
        <f>+D76</f>
        <v>271.6883862755119</v>
      </c>
      <c r="E41" s="143">
        <f>+E76</f>
        <v>283.51608764921571</v>
      </c>
      <c r="F41" s="143">
        <f>+F76</f>
        <v>301.68225335179324</v>
      </c>
      <c r="G41" s="143">
        <f>+G76</f>
        <v>318.82998880722289</v>
      </c>
      <c r="H41" s="105">
        <v>2015</v>
      </c>
      <c r="I41" s="74"/>
      <c r="J41" s="49"/>
    </row>
    <row r="42" spans="2:17">
      <c r="B42" s="104"/>
      <c r="C42" s="93"/>
      <c r="D42" s="109"/>
      <c r="E42" s="73"/>
      <c r="F42" s="73"/>
      <c r="G42" s="73"/>
      <c r="H42" s="105"/>
      <c r="I42" s="74"/>
      <c r="J42" s="49"/>
      <c r="M42" s="163"/>
    </row>
    <row r="43" spans="2:17">
      <c r="B43" s="104" t="s">
        <v>86</v>
      </c>
      <c r="C43" s="93" t="s">
        <v>17</v>
      </c>
      <c r="D43" s="115">
        <v>0</v>
      </c>
      <c r="E43" s="100">
        <v>0</v>
      </c>
      <c r="F43" s="100">
        <v>0</v>
      </c>
      <c r="G43" s="100">
        <v>0</v>
      </c>
      <c r="H43" s="105">
        <v>2015</v>
      </c>
      <c r="I43" s="74"/>
      <c r="J43" s="49"/>
    </row>
    <row r="44" spans="2:17">
      <c r="B44" s="104"/>
      <c r="C44" s="93"/>
      <c r="D44" s="109"/>
      <c r="E44" s="73"/>
      <c r="F44" s="73"/>
      <c r="G44" s="73"/>
      <c r="H44" s="74"/>
      <c r="I44" s="74"/>
      <c r="J44" s="49"/>
    </row>
    <row r="45" spans="2:17">
      <c r="B45" s="103" t="s">
        <v>87</v>
      </c>
      <c r="C45" s="93"/>
      <c r="D45" s="109"/>
      <c r="E45" s="107"/>
      <c r="F45" s="107"/>
      <c r="G45" s="107"/>
      <c r="H45" s="74"/>
      <c r="I45" s="74"/>
      <c r="J45" s="49"/>
    </row>
    <row r="46" spans="2:17">
      <c r="B46" s="98" t="s">
        <v>30</v>
      </c>
      <c r="C46" s="93"/>
      <c r="D46" s="109"/>
      <c r="E46" s="73"/>
      <c r="F46" s="73"/>
      <c r="G46" s="73"/>
      <c r="H46" s="74"/>
      <c r="I46" s="74"/>
      <c r="J46" s="49"/>
    </row>
    <row r="47" spans="2:17">
      <c r="B47" s="53" t="s">
        <v>20</v>
      </c>
      <c r="C47" s="93" t="s">
        <v>113</v>
      </c>
      <c r="D47" s="142"/>
      <c r="E47" s="136"/>
      <c r="F47" s="136"/>
      <c r="G47" s="136"/>
      <c r="H47" s="74"/>
      <c r="I47" s="74"/>
      <c r="J47" s="94" t="s">
        <v>88</v>
      </c>
    </row>
    <row r="48" spans="2:17">
      <c r="B48" s="53" t="s">
        <v>21</v>
      </c>
      <c r="C48" s="93" t="s">
        <v>113</v>
      </c>
      <c r="D48" s="99">
        <f t="shared" ref="D48:G52" si="0">D92/D$89</f>
        <v>0</v>
      </c>
      <c r="E48" s="99">
        <f t="shared" si="0"/>
        <v>0</v>
      </c>
      <c r="F48" s="99">
        <f t="shared" si="0"/>
        <v>0</v>
      </c>
      <c r="G48" s="99">
        <f t="shared" si="0"/>
        <v>0</v>
      </c>
      <c r="H48" s="74"/>
      <c r="I48" s="74"/>
      <c r="J48" s="49"/>
    </row>
    <row r="49" spans="2:19">
      <c r="B49" s="53" t="s">
        <v>22</v>
      </c>
      <c r="C49" s="93" t="s">
        <v>113</v>
      </c>
      <c r="D49" s="99">
        <f t="shared" si="0"/>
        <v>0</v>
      </c>
      <c r="E49" s="99">
        <f t="shared" si="0"/>
        <v>0</v>
      </c>
      <c r="F49" s="99">
        <f t="shared" si="0"/>
        <v>0</v>
      </c>
      <c r="G49" s="99">
        <f t="shared" si="0"/>
        <v>0</v>
      </c>
      <c r="H49" s="74"/>
      <c r="I49" s="74"/>
      <c r="J49" s="49"/>
    </row>
    <row r="50" spans="2:19">
      <c r="B50" s="53" t="s">
        <v>23</v>
      </c>
      <c r="C50" s="93" t="s">
        <v>113</v>
      </c>
      <c r="D50" s="99">
        <f t="shared" si="0"/>
        <v>0</v>
      </c>
      <c r="E50" s="99">
        <f t="shared" si="0"/>
        <v>0</v>
      </c>
      <c r="F50" s="99">
        <f t="shared" si="0"/>
        <v>0</v>
      </c>
      <c r="G50" s="99">
        <f t="shared" si="0"/>
        <v>0</v>
      </c>
      <c r="H50" s="74"/>
      <c r="I50" s="74"/>
      <c r="J50" s="49"/>
    </row>
    <row r="51" spans="2:19">
      <c r="B51" s="53" t="s">
        <v>89</v>
      </c>
      <c r="C51" s="93" t="s">
        <v>113</v>
      </c>
      <c r="D51" s="99">
        <f t="shared" si="0"/>
        <v>0</v>
      </c>
      <c r="E51" s="99">
        <f t="shared" si="0"/>
        <v>0</v>
      </c>
      <c r="F51" s="99">
        <f t="shared" si="0"/>
        <v>0</v>
      </c>
      <c r="G51" s="99">
        <f t="shared" si="0"/>
        <v>0</v>
      </c>
      <c r="H51" s="74"/>
      <c r="I51" s="74"/>
      <c r="J51" s="49"/>
      <c r="O51" s="168"/>
      <c r="P51" s="168"/>
      <c r="Q51" s="168"/>
    </row>
    <row r="52" spans="2:19">
      <c r="B52" s="53" t="s">
        <v>24</v>
      </c>
      <c r="C52" s="93" t="s">
        <v>113</v>
      </c>
      <c r="D52" s="99">
        <f t="shared" si="0"/>
        <v>0</v>
      </c>
      <c r="E52" s="99">
        <f t="shared" si="0"/>
        <v>0</v>
      </c>
      <c r="F52" s="99">
        <f t="shared" si="0"/>
        <v>0</v>
      </c>
      <c r="G52" s="99">
        <f t="shared" si="0"/>
        <v>0</v>
      </c>
      <c r="H52" s="74"/>
      <c r="I52" s="74"/>
      <c r="J52" s="49"/>
      <c r="O52" s="156"/>
      <c r="P52" s="156"/>
      <c r="Q52" s="156"/>
    </row>
    <row r="53" spans="2:19">
      <c r="B53" s="53"/>
      <c r="C53" s="93"/>
      <c r="D53" s="97"/>
      <c r="E53" s="52"/>
      <c r="F53" s="52"/>
      <c r="G53" s="52"/>
      <c r="H53" s="74"/>
      <c r="I53" s="74"/>
      <c r="J53" s="49"/>
    </row>
    <row r="54" spans="2:19">
      <c r="B54" s="98" t="s">
        <v>31</v>
      </c>
      <c r="C54" s="93"/>
      <c r="D54" s="109"/>
      <c r="E54" s="73"/>
      <c r="F54" s="73"/>
      <c r="G54" s="73"/>
      <c r="H54" s="74"/>
      <c r="I54" s="74"/>
      <c r="J54" s="49"/>
    </row>
    <row r="55" spans="2:19">
      <c r="B55" s="53" t="s">
        <v>20</v>
      </c>
      <c r="C55" s="93" t="s">
        <v>113</v>
      </c>
      <c r="D55" s="142"/>
      <c r="E55" s="136"/>
      <c r="F55" s="136"/>
      <c r="G55" s="136"/>
      <c r="H55" s="74"/>
      <c r="I55" s="74"/>
      <c r="J55" s="94" t="s">
        <v>88</v>
      </c>
    </row>
    <row r="56" spans="2:19">
      <c r="B56" s="53" t="s">
        <v>21</v>
      </c>
      <c r="C56" s="93" t="s">
        <v>113</v>
      </c>
      <c r="D56" s="92">
        <f t="shared" ref="D56:G60" si="1">D48</f>
        <v>0</v>
      </c>
      <c r="E56" s="92">
        <f t="shared" si="1"/>
        <v>0</v>
      </c>
      <c r="F56" s="92">
        <f t="shared" si="1"/>
        <v>0</v>
      </c>
      <c r="G56" s="92">
        <f t="shared" si="1"/>
        <v>0</v>
      </c>
      <c r="H56" s="74"/>
      <c r="I56" s="74"/>
      <c r="J56" s="49"/>
    </row>
    <row r="57" spans="2:19">
      <c r="B57" s="53" t="s">
        <v>22</v>
      </c>
      <c r="C57" s="93" t="s">
        <v>113</v>
      </c>
      <c r="D57" s="92">
        <f t="shared" si="1"/>
        <v>0</v>
      </c>
      <c r="E57" s="92">
        <f t="shared" si="1"/>
        <v>0</v>
      </c>
      <c r="F57" s="92">
        <f t="shared" si="1"/>
        <v>0</v>
      </c>
      <c r="G57" s="92">
        <f t="shared" si="1"/>
        <v>0</v>
      </c>
      <c r="H57" s="74"/>
      <c r="I57" s="74"/>
      <c r="J57" s="49"/>
    </row>
    <row r="58" spans="2:19">
      <c r="B58" s="53" t="s">
        <v>23</v>
      </c>
      <c r="C58" s="93" t="s">
        <v>113</v>
      </c>
      <c r="D58" s="92">
        <f t="shared" si="1"/>
        <v>0</v>
      </c>
      <c r="E58" s="92">
        <f t="shared" si="1"/>
        <v>0</v>
      </c>
      <c r="F58" s="92">
        <f t="shared" si="1"/>
        <v>0</v>
      </c>
      <c r="G58" s="92">
        <f t="shared" si="1"/>
        <v>0</v>
      </c>
      <c r="H58" s="74"/>
      <c r="I58" s="74"/>
      <c r="J58" s="49"/>
    </row>
    <row r="59" spans="2:19">
      <c r="B59" s="53" t="s">
        <v>89</v>
      </c>
      <c r="C59" s="93" t="s">
        <v>113</v>
      </c>
      <c r="D59" s="92">
        <f t="shared" si="1"/>
        <v>0</v>
      </c>
      <c r="E59" s="92">
        <f t="shared" si="1"/>
        <v>0</v>
      </c>
      <c r="F59" s="92">
        <f t="shared" si="1"/>
        <v>0</v>
      </c>
      <c r="G59" s="92">
        <f t="shared" si="1"/>
        <v>0</v>
      </c>
      <c r="H59" s="74"/>
      <c r="I59" s="74"/>
      <c r="J59" s="49"/>
      <c r="S59" s="156"/>
    </row>
    <row r="60" spans="2:19">
      <c r="B60" s="53" t="s">
        <v>24</v>
      </c>
      <c r="C60" s="93" t="s">
        <v>113</v>
      </c>
      <c r="D60" s="92">
        <f t="shared" si="1"/>
        <v>0</v>
      </c>
      <c r="E60" s="92">
        <f t="shared" si="1"/>
        <v>0</v>
      </c>
      <c r="F60" s="92">
        <f t="shared" si="1"/>
        <v>0</v>
      </c>
      <c r="G60" s="92">
        <f t="shared" si="1"/>
        <v>0</v>
      </c>
      <c r="H60" s="74"/>
      <c r="I60" s="74"/>
      <c r="J60" s="49"/>
    </row>
    <row r="61" spans="2:19" ht="13.5" thickBot="1">
      <c r="B61" s="90"/>
      <c r="C61" s="89"/>
      <c r="D61" s="88"/>
      <c r="E61" s="47"/>
      <c r="F61" s="47"/>
      <c r="G61" s="47"/>
      <c r="H61" s="86"/>
      <c r="I61" s="86"/>
      <c r="J61" s="65"/>
    </row>
    <row r="62" spans="2:19">
      <c r="H62" s="44"/>
      <c r="I62" s="44"/>
    </row>
    <row r="63" spans="2:19">
      <c r="H63" s="44"/>
      <c r="I63" s="44"/>
    </row>
    <row r="64" spans="2:19" ht="16.5" thickBot="1">
      <c r="B64" s="64" t="s">
        <v>90</v>
      </c>
      <c r="H64" s="44"/>
      <c r="I64" s="44"/>
    </row>
    <row r="65" spans="2:10">
      <c r="B65" s="63"/>
      <c r="C65" s="85"/>
      <c r="D65" s="60"/>
      <c r="E65" s="60"/>
      <c r="F65" s="60"/>
      <c r="G65" s="60"/>
      <c r="H65" s="59"/>
      <c r="I65" s="59" t="s">
        <v>70</v>
      </c>
      <c r="J65" s="58" t="s">
        <v>71</v>
      </c>
    </row>
    <row r="66" spans="2:10">
      <c r="B66" s="84"/>
      <c r="C66" s="83" t="s">
        <v>72</v>
      </c>
      <c r="D66" s="82">
        <v>2015</v>
      </c>
      <c r="E66" s="81">
        <v>2020</v>
      </c>
      <c r="F66" s="81">
        <v>2035</v>
      </c>
      <c r="G66" s="81">
        <v>2050</v>
      </c>
      <c r="H66" s="80"/>
      <c r="I66" s="80"/>
      <c r="J66" s="79"/>
    </row>
    <row r="67" spans="2:10" ht="15">
      <c r="B67" s="53" t="s">
        <v>25</v>
      </c>
      <c r="C67" s="70" t="s">
        <v>108</v>
      </c>
      <c r="D67" s="161">
        <v>0.87600358360055397</v>
      </c>
      <c r="E67" s="161">
        <v>0.83945853645691138</v>
      </c>
      <c r="F67" s="161">
        <v>0.78890951441703461</v>
      </c>
      <c r="G67" s="161">
        <v>0.74647934120119463</v>
      </c>
      <c r="H67" s="54"/>
      <c r="I67" s="54" t="s">
        <v>215</v>
      </c>
      <c r="J67" s="49" t="s">
        <v>169</v>
      </c>
    </row>
    <row r="68" spans="2:10">
      <c r="B68" s="53" t="s">
        <v>109</v>
      </c>
      <c r="C68" s="70" t="s">
        <v>108</v>
      </c>
      <c r="D68" s="78">
        <v>0.83</v>
      </c>
      <c r="E68" s="78"/>
      <c r="F68" s="78"/>
      <c r="G68" s="78"/>
      <c r="H68" s="54"/>
      <c r="I68" s="54"/>
      <c r="J68" s="49"/>
    </row>
    <row r="69" spans="2:10">
      <c r="B69" s="53" t="s">
        <v>114</v>
      </c>
      <c r="C69" s="70" t="s">
        <v>92</v>
      </c>
      <c r="D69" s="77">
        <v>2200</v>
      </c>
      <c r="E69" s="77"/>
      <c r="F69" s="77"/>
      <c r="G69" s="77"/>
      <c r="H69" s="74"/>
      <c r="I69" s="74"/>
      <c r="J69" s="49"/>
    </row>
    <row r="70" spans="2:10">
      <c r="B70" s="53" t="s">
        <v>110</v>
      </c>
      <c r="C70" s="70" t="s">
        <v>92</v>
      </c>
      <c r="D70" s="78">
        <v>1975</v>
      </c>
      <c r="E70" s="76"/>
      <c r="F70" s="76"/>
      <c r="G70" s="76"/>
      <c r="H70" s="54"/>
      <c r="I70" s="54"/>
      <c r="J70" s="49"/>
    </row>
    <row r="71" spans="2:10">
      <c r="B71" s="53"/>
      <c r="C71" s="70"/>
      <c r="D71" s="78"/>
      <c r="E71" s="78">
        <v>0.02</v>
      </c>
      <c r="F71" s="78">
        <v>0.05</v>
      </c>
      <c r="G71" s="78">
        <v>0.05</v>
      </c>
      <c r="H71" s="74"/>
      <c r="I71" s="74"/>
      <c r="J71" s="49"/>
    </row>
    <row r="72" spans="2:10">
      <c r="B72" s="53" t="s">
        <v>94</v>
      </c>
      <c r="C72" s="70" t="s">
        <v>95</v>
      </c>
      <c r="D72" s="73">
        <v>18000</v>
      </c>
      <c r="E72" s="73">
        <v>18000</v>
      </c>
      <c r="F72" s="73">
        <v>18000</v>
      </c>
      <c r="G72" s="73">
        <v>18000</v>
      </c>
      <c r="H72" s="54"/>
      <c r="I72" s="54"/>
      <c r="J72" s="49"/>
    </row>
    <row r="73" spans="2:10">
      <c r="B73" s="139"/>
      <c r="C73" s="167"/>
      <c r="D73" s="73"/>
      <c r="E73" s="73"/>
      <c r="F73" s="73"/>
      <c r="G73" s="73"/>
      <c r="H73" s="54"/>
      <c r="I73" s="54"/>
      <c r="J73" s="94"/>
    </row>
    <row r="74" spans="2:10">
      <c r="B74" s="53" t="s">
        <v>98</v>
      </c>
      <c r="C74" s="70" t="s">
        <v>26</v>
      </c>
      <c r="D74" s="166"/>
      <c r="E74" s="166"/>
      <c r="F74" s="166"/>
      <c r="G74" s="166"/>
      <c r="H74" s="54"/>
      <c r="I74" s="54"/>
      <c r="J74" s="49"/>
    </row>
    <row r="75" spans="2:10">
      <c r="B75" s="53" t="s">
        <v>82</v>
      </c>
      <c r="C75" s="70" t="s">
        <v>83</v>
      </c>
      <c r="D75" s="52">
        <f>+D67*D72/1000</f>
        <v>15.768064504809972</v>
      </c>
      <c r="E75" s="52">
        <f>+E67*E72/1000</f>
        <v>15.110253656224405</v>
      </c>
      <c r="F75" s="52">
        <f>+F67*F72/1000</f>
        <v>14.200371259506623</v>
      </c>
      <c r="G75" s="52">
        <f>+G67*G72/1000</f>
        <v>13.436628141621505</v>
      </c>
      <c r="H75" s="54"/>
      <c r="I75" s="54"/>
      <c r="J75" s="49"/>
    </row>
    <row r="76" spans="2:10">
      <c r="B76" s="53" t="s">
        <v>97</v>
      </c>
      <c r="C76" s="70" t="s">
        <v>17</v>
      </c>
      <c r="D76" s="72">
        <f>D77*1000/D67</f>
        <v>271.6883862755119</v>
      </c>
      <c r="E76" s="72">
        <f>E77*1000/E67</f>
        <v>283.51608764921571</v>
      </c>
      <c r="F76" s="72">
        <f>F77*1000/F67</f>
        <v>301.68225335179324</v>
      </c>
      <c r="G76" s="72">
        <f>G77*1000/G67</f>
        <v>318.82998880722289</v>
      </c>
      <c r="H76" s="54"/>
      <c r="I76" s="54"/>
      <c r="J76" s="94"/>
    </row>
    <row r="77" spans="2:10">
      <c r="B77" s="53" t="s">
        <v>97</v>
      </c>
      <c r="C77" s="70" t="s">
        <v>35</v>
      </c>
      <c r="D77" s="72">
        <v>0.23799999999999999</v>
      </c>
      <c r="E77" s="72">
        <v>0.23799999999999999</v>
      </c>
      <c r="F77" s="72">
        <v>0.23799999999999999</v>
      </c>
      <c r="G77" s="72">
        <v>0.23799999999999999</v>
      </c>
      <c r="H77" s="54"/>
      <c r="I77" s="54"/>
      <c r="J77" s="94"/>
    </row>
    <row r="78" spans="2:10">
      <c r="B78" s="53" t="s">
        <v>115</v>
      </c>
      <c r="C78" s="70" t="s">
        <v>17</v>
      </c>
      <c r="D78" s="72">
        <f>+D79/D28</f>
        <v>582.04274290059084</v>
      </c>
      <c r="E78" s="72">
        <f>+E79/E28</f>
        <v>362.55581745366442</v>
      </c>
      <c r="F78" s="72">
        <f>+F79/F28</f>
        <v>195.95500610379983</v>
      </c>
      <c r="G78" s="72">
        <f>+G79/G28</f>
        <v>174.73485721875298</v>
      </c>
      <c r="H78" s="54"/>
      <c r="I78" s="54"/>
      <c r="J78" s="49"/>
    </row>
    <row r="79" spans="2:10">
      <c r="B79" s="53" t="s">
        <v>115</v>
      </c>
      <c r="C79" s="70" t="s">
        <v>116</v>
      </c>
      <c r="D79" s="74">
        <v>9177.6875146130424</v>
      </c>
      <c r="E79" s="74">
        <v>5478.3103662646608</v>
      </c>
      <c r="F79" s="74">
        <v>2782.6338368328438</v>
      </c>
      <c r="G79" s="74">
        <v>2347.8472998277116</v>
      </c>
      <c r="H79" s="54"/>
      <c r="I79" s="54"/>
      <c r="J79" s="49"/>
    </row>
    <row r="80" spans="2:10">
      <c r="B80" s="53" t="s">
        <v>115</v>
      </c>
      <c r="C80" s="70" t="s">
        <v>15</v>
      </c>
      <c r="D80" s="150">
        <f>D81*D82+(D27-D83)/D83*D82*(E81+F81)/2</f>
        <v>301681.5247791796</v>
      </c>
      <c r="E80" s="150">
        <f>E81*E82</f>
        <v>231158.00042794342</v>
      </c>
      <c r="F80" s="150">
        <f>F81*F82</f>
        <v>55844.808893979927</v>
      </c>
      <c r="G80" s="150">
        <f>G81*G82</f>
        <v>51213.316662070254</v>
      </c>
      <c r="H80" s="54"/>
      <c r="I80" s="54"/>
      <c r="J80" s="49"/>
    </row>
    <row r="81" spans="2:10">
      <c r="B81" s="53" t="s">
        <v>117</v>
      </c>
      <c r="C81" s="70" t="s">
        <v>118</v>
      </c>
      <c r="D81" s="295">
        <f>350*6.5</f>
        <v>2275</v>
      </c>
      <c r="E81" s="295">
        <f>D81-(D81-F81)/(F66-D66)*(E66-D66)</f>
        <v>1826.5</v>
      </c>
      <c r="F81" s="295">
        <f>74*6.5</f>
        <v>481</v>
      </c>
      <c r="G81" s="295">
        <f>74*6.5</f>
        <v>481</v>
      </c>
      <c r="H81" s="74"/>
      <c r="I81" s="74" t="s">
        <v>235</v>
      </c>
      <c r="J81" s="160"/>
    </row>
    <row r="82" spans="2:10">
      <c r="B82" s="53" t="s">
        <v>119</v>
      </c>
      <c r="C82" s="70" t="s">
        <v>120</v>
      </c>
      <c r="D82" s="67">
        <f>400*D25/3.6</f>
        <v>132.60726363919983</v>
      </c>
      <c r="E82" s="67">
        <f>400*E25/3.6</f>
        <v>126.55789785269282</v>
      </c>
      <c r="F82" s="67">
        <f>400*F25/3.6</f>
        <v>116.10147379205806</v>
      </c>
      <c r="G82" s="67">
        <f>400*G25/3.6</f>
        <v>106.47259181303588</v>
      </c>
      <c r="H82" s="74"/>
      <c r="I82" s="74" t="s">
        <v>236</v>
      </c>
      <c r="J82" s="49"/>
    </row>
    <row r="83" spans="2:10">
      <c r="B83" s="53" t="s">
        <v>152</v>
      </c>
      <c r="C83" s="70" t="s">
        <v>151</v>
      </c>
      <c r="D83" s="67">
        <v>10.6</v>
      </c>
      <c r="E83" s="67">
        <v>16</v>
      </c>
      <c r="F83" s="67">
        <v>16</v>
      </c>
      <c r="G83" s="67">
        <v>16</v>
      </c>
      <c r="H83" s="74"/>
      <c r="I83" s="74"/>
      <c r="J83" s="49"/>
    </row>
    <row r="84" spans="2:10">
      <c r="B84" s="53" t="s">
        <v>121</v>
      </c>
      <c r="C84" s="70" t="s">
        <v>122</v>
      </c>
      <c r="D84" s="121">
        <f>D25/3.6</f>
        <v>0.33151815909799953</v>
      </c>
      <c r="E84" s="121">
        <f>E25/3.6</f>
        <v>0.31639474463173206</v>
      </c>
      <c r="F84" s="121">
        <f>F25/3.6</f>
        <v>0.29025368448014516</v>
      </c>
      <c r="G84" s="121">
        <f>G25/3.6</f>
        <v>0.26618147953258969</v>
      </c>
      <c r="H84" s="74"/>
      <c r="I84" s="74" t="s">
        <v>168</v>
      </c>
      <c r="J84" s="49"/>
    </row>
    <row r="85" spans="2:10">
      <c r="B85" s="53" t="s">
        <v>158</v>
      </c>
      <c r="C85" s="70" t="s">
        <v>157</v>
      </c>
      <c r="D85" s="121">
        <v>8.9285714285714288</v>
      </c>
      <c r="E85" s="165">
        <v>6.25</v>
      </c>
      <c r="F85" s="165">
        <v>5</v>
      </c>
      <c r="G85" s="165">
        <v>4.5454545454545459</v>
      </c>
      <c r="H85" s="74"/>
      <c r="I85" s="74" t="s">
        <v>216</v>
      </c>
      <c r="J85" s="49"/>
    </row>
    <row r="86" spans="2:10" ht="13.5" thickBot="1">
      <c r="B86" s="48" t="s">
        <v>156</v>
      </c>
      <c r="C86" s="66" t="s">
        <v>92</v>
      </c>
      <c r="D86" s="159">
        <f>D82*D85</f>
        <v>1183.9934253499985</v>
      </c>
      <c r="E86" s="159">
        <f>E82*E85</f>
        <v>790.98686157933014</v>
      </c>
      <c r="F86" s="159">
        <f>F82*F85</f>
        <v>580.50736896029025</v>
      </c>
      <c r="G86" s="159">
        <f>G82*G85</f>
        <v>483.9663264228904</v>
      </c>
      <c r="H86" s="158"/>
      <c r="I86" s="158"/>
      <c r="J86" s="65"/>
    </row>
    <row r="87" spans="2:10">
      <c r="D87" s="157"/>
      <c r="E87" s="157"/>
      <c r="F87" s="157"/>
      <c r="G87" s="157"/>
    </row>
    <row r="88" spans="2:10" ht="16.5" thickBot="1">
      <c r="B88" s="64" t="s">
        <v>99</v>
      </c>
    </row>
    <row r="89" spans="2:10">
      <c r="B89" s="63" t="s">
        <v>123</v>
      </c>
      <c r="C89" s="60"/>
      <c r="D89" s="155">
        <v>0.40970000000000001</v>
      </c>
      <c r="E89" s="140">
        <v>0.32</v>
      </c>
      <c r="F89" s="140">
        <v>0.32</v>
      </c>
      <c r="G89" s="140">
        <v>0.32</v>
      </c>
      <c r="H89" s="154"/>
      <c r="I89" s="74" t="s">
        <v>215</v>
      </c>
      <c r="J89" s="49"/>
    </row>
    <row r="90" spans="2:10">
      <c r="B90" s="53"/>
      <c r="C90" s="52"/>
      <c r="D90" s="52"/>
      <c r="E90" s="52"/>
      <c r="F90" s="52"/>
      <c r="G90" s="52"/>
      <c r="H90" s="52"/>
      <c r="I90" s="52"/>
      <c r="J90" s="49"/>
    </row>
    <row r="91" spans="2:10">
      <c r="B91" s="53" t="s">
        <v>20</v>
      </c>
      <c r="C91" s="52" t="s">
        <v>27</v>
      </c>
      <c r="D91" s="148">
        <v>0</v>
      </c>
      <c r="E91" s="148">
        <v>0</v>
      </c>
      <c r="F91" s="148">
        <v>0</v>
      </c>
      <c r="G91" s="148"/>
      <c r="H91" s="52"/>
      <c r="I91" s="52"/>
      <c r="J91" s="49"/>
    </row>
    <row r="92" spans="2:10">
      <c r="B92" s="53" t="s">
        <v>21</v>
      </c>
      <c r="C92" s="52" t="s">
        <v>27</v>
      </c>
      <c r="D92" s="148">
        <v>0</v>
      </c>
      <c r="E92" s="148">
        <v>0</v>
      </c>
      <c r="F92" s="148">
        <v>0</v>
      </c>
      <c r="G92" s="148"/>
      <c r="H92" s="52"/>
      <c r="I92" s="52"/>
      <c r="J92" s="49"/>
    </row>
    <row r="93" spans="2:10">
      <c r="B93" s="53" t="s">
        <v>22</v>
      </c>
      <c r="C93" s="52" t="s">
        <v>27</v>
      </c>
      <c r="D93" s="148">
        <v>0</v>
      </c>
      <c r="E93" s="148">
        <v>0</v>
      </c>
      <c r="F93" s="148">
        <v>0</v>
      </c>
      <c r="G93" s="148"/>
      <c r="H93" s="52"/>
      <c r="I93" s="52"/>
      <c r="J93" s="49"/>
    </row>
    <row r="94" spans="2:10">
      <c r="B94" s="53" t="s">
        <v>23</v>
      </c>
      <c r="C94" s="52" t="s">
        <v>27</v>
      </c>
      <c r="D94" s="148">
        <v>0</v>
      </c>
      <c r="E94" s="148">
        <v>0</v>
      </c>
      <c r="F94" s="148">
        <v>0</v>
      </c>
      <c r="G94" s="148"/>
      <c r="H94" s="52"/>
      <c r="I94" s="52"/>
      <c r="J94" s="49"/>
    </row>
    <row r="95" spans="2:10">
      <c r="B95" s="53" t="s">
        <v>89</v>
      </c>
      <c r="C95" s="52" t="s">
        <v>27</v>
      </c>
      <c r="D95" s="148">
        <v>0</v>
      </c>
      <c r="E95" s="148">
        <v>0</v>
      </c>
      <c r="F95" s="148">
        <v>0</v>
      </c>
      <c r="G95" s="148"/>
      <c r="H95" s="52"/>
      <c r="I95" s="52"/>
      <c r="J95" s="49"/>
    </row>
    <row r="96" spans="2:10">
      <c r="B96" s="53" t="s">
        <v>24</v>
      </c>
      <c r="C96" s="52" t="s">
        <v>27</v>
      </c>
      <c r="D96" s="148">
        <v>0</v>
      </c>
      <c r="E96" s="148">
        <v>0</v>
      </c>
      <c r="F96" s="148">
        <v>0</v>
      </c>
      <c r="G96" s="148"/>
      <c r="H96" s="52"/>
      <c r="I96" s="52"/>
      <c r="J96" s="49"/>
    </row>
    <row r="97" spans="2:10" ht="13.5" thickBot="1">
      <c r="B97" s="48"/>
      <c r="C97" s="47"/>
      <c r="D97" s="47"/>
      <c r="E97" s="47"/>
      <c r="F97" s="47"/>
      <c r="G97" s="47"/>
      <c r="H97" s="47"/>
      <c r="I97" s="47"/>
      <c r="J97"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'C:\Users\B003920\Desktop\[Kopi af alternativ_drivmiddelmodel_3.0_2.xlsm]Sheet1'!#REF!</xm:f>
          </x14:formula1>
          <xm:sqref>C9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rgb="FF002060"/>
    <pageSetUpPr fitToPage="1"/>
  </sheetPr>
  <dimension ref="B1:S112"/>
  <sheetViews>
    <sheetView topLeftCell="A4" zoomScale="80" zoomScaleNormal="80"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1" width="9" style="40" customWidth="1"/>
    <col min="12" max="12" width="10.85546875" style="40" customWidth="1"/>
    <col min="13" max="13" width="9.140625" style="40" customWidth="1"/>
    <col min="14" max="14" width="9" style="40" customWidth="1"/>
    <col min="15" max="15" width="8.85546875" style="40"/>
    <col min="16" max="16" width="37.85546875" style="40" customWidth="1"/>
    <col min="17" max="18" width="8.85546875" style="40"/>
    <col min="19" max="19" width="9.140625" style="40" customWidth="1"/>
    <col min="20" max="16384" width="8.85546875" style="40"/>
  </cols>
  <sheetData>
    <row r="1" spans="2:19" s="37" customFormat="1" ht="21">
      <c r="B1" s="37" t="s">
        <v>33</v>
      </c>
      <c r="Q1" s="37">
        <v>0</v>
      </c>
      <c r="R1" s="39">
        <v>0</v>
      </c>
      <c r="S1" s="38"/>
    </row>
    <row r="2" spans="2:19">
      <c r="R2" s="133"/>
      <c r="S2" s="133"/>
    </row>
    <row r="4" spans="2:19" ht="13.5" thickBot="1">
      <c r="B4" s="129" t="s">
        <v>65</v>
      </c>
    </row>
    <row r="5" spans="2:19">
      <c r="B5" s="132" t="s">
        <v>66</v>
      </c>
      <c r="C5" s="60"/>
      <c r="D5" s="60"/>
      <c r="E5" s="60"/>
      <c r="F5" s="60"/>
      <c r="G5" s="60"/>
      <c r="H5" s="60"/>
      <c r="I5" s="60"/>
      <c r="J5" s="60"/>
      <c r="K5" s="60"/>
      <c r="L5" s="60"/>
      <c r="M5" s="60"/>
      <c r="N5" s="60"/>
      <c r="O5" s="58"/>
    </row>
    <row r="6" spans="2:19">
      <c r="B6" s="108" t="s">
        <v>137</v>
      </c>
      <c r="C6" s="52"/>
      <c r="D6" s="52"/>
      <c r="E6" s="52"/>
      <c r="F6" s="52"/>
      <c r="G6" s="52"/>
      <c r="H6" s="52"/>
      <c r="I6" s="52"/>
      <c r="J6" s="52"/>
      <c r="K6" s="52"/>
      <c r="L6" s="52"/>
      <c r="M6" s="52"/>
      <c r="N6" s="52"/>
      <c r="O6" s="49"/>
    </row>
    <row r="7" spans="2:19">
      <c r="B7" s="108"/>
      <c r="C7" s="52"/>
      <c r="D7" s="52"/>
      <c r="E7" s="52"/>
      <c r="F7" s="52"/>
      <c r="G7" s="52"/>
      <c r="H7" s="52"/>
      <c r="I7" s="52"/>
      <c r="J7" s="52"/>
      <c r="K7" s="52"/>
      <c r="L7" s="52"/>
      <c r="M7" s="52"/>
      <c r="N7" s="52"/>
      <c r="O7" s="49"/>
    </row>
    <row r="8" spans="2:19">
      <c r="B8" s="108"/>
      <c r="C8" s="52"/>
      <c r="D8" s="52"/>
      <c r="E8" s="52"/>
      <c r="F8" s="52"/>
      <c r="G8" s="52"/>
      <c r="H8" s="52"/>
      <c r="I8" s="52"/>
      <c r="J8" s="52"/>
      <c r="K8" s="52"/>
      <c r="L8" s="52"/>
      <c r="M8" s="52"/>
      <c r="N8" s="52"/>
      <c r="O8" s="49"/>
    </row>
    <row r="9" spans="2:19">
      <c r="B9" s="131" t="s">
        <v>147</v>
      </c>
      <c r="C9" s="36" t="s">
        <v>146</v>
      </c>
      <c r="D9" s="52"/>
      <c r="E9" s="52"/>
      <c r="F9" s="52"/>
      <c r="G9" s="52"/>
      <c r="H9" s="52"/>
      <c r="I9" s="52"/>
      <c r="J9" s="52"/>
      <c r="K9" s="52"/>
      <c r="L9" s="52"/>
      <c r="M9" s="52"/>
      <c r="N9" s="52"/>
      <c r="O9" s="49"/>
    </row>
    <row r="10" spans="2:19">
      <c r="B10" s="108"/>
      <c r="C10" s="52"/>
      <c r="D10" s="52"/>
      <c r="E10" s="52"/>
      <c r="F10" s="52"/>
      <c r="G10" s="52"/>
      <c r="H10" s="52"/>
      <c r="I10" s="52"/>
      <c r="J10" s="52"/>
      <c r="K10" s="52"/>
      <c r="L10" s="52"/>
      <c r="M10" s="52"/>
      <c r="N10" s="52"/>
      <c r="O10" s="49"/>
    </row>
    <row r="11" spans="2:19">
      <c r="B11" s="130" t="s">
        <v>67</v>
      </c>
      <c r="C11" s="52"/>
      <c r="D11" s="52"/>
      <c r="E11" s="52"/>
      <c r="F11" s="52"/>
      <c r="G11" s="52"/>
      <c r="H11" s="52"/>
      <c r="I11" s="52"/>
      <c r="J11" s="52"/>
      <c r="K11" s="52"/>
      <c r="L11" s="52"/>
      <c r="M11" s="52"/>
      <c r="N11" s="52"/>
      <c r="O11" s="49"/>
    </row>
    <row r="12" spans="2:19">
      <c r="B12" s="108"/>
      <c r="C12" s="52"/>
      <c r="D12" s="52"/>
      <c r="E12" s="52"/>
      <c r="F12" s="52"/>
      <c r="G12" s="52"/>
      <c r="H12" s="52"/>
      <c r="I12" s="52"/>
      <c r="J12" s="52"/>
      <c r="K12" s="52"/>
      <c r="L12" s="52"/>
      <c r="M12" s="52"/>
      <c r="N12" s="52"/>
      <c r="O12" s="49"/>
    </row>
    <row r="13" spans="2:19">
      <c r="B13" s="108"/>
      <c r="C13" s="52"/>
      <c r="D13" s="52"/>
      <c r="E13" s="52"/>
      <c r="F13" s="52"/>
      <c r="G13" s="52"/>
      <c r="H13" s="52"/>
      <c r="I13" s="52"/>
      <c r="J13" s="52"/>
      <c r="K13" s="52"/>
      <c r="L13" s="52"/>
      <c r="M13" s="52"/>
      <c r="N13" s="52"/>
      <c r="O13" s="49"/>
    </row>
    <row r="14" spans="2:19">
      <c r="B14" s="130" t="s">
        <v>68</v>
      </c>
      <c r="C14" s="52"/>
      <c r="D14" s="52"/>
      <c r="E14" s="52"/>
      <c r="F14" s="52"/>
      <c r="G14" s="52"/>
      <c r="H14" s="52"/>
      <c r="I14" s="52"/>
      <c r="J14" s="52"/>
      <c r="K14" s="52"/>
      <c r="L14" s="52"/>
      <c r="M14" s="52"/>
      <c r="N14" s="52"/>
      <c r="O14" s="49"/>
    </row>
    <row r="15" spans="2:19">
      <c r="B15" s="108"/>
      <c r="C15" s="52"/>
      <c r="D15" s="52"/>
      <c r="E15" s="52"/>
      <c r="F15" s="52"/>
      <c r="G15" s="52"/>
      <c r="H15" s="52"/>
      <c r="I15" s="52"/>
      <c r="J15" s="52"/>
      <c r="K15" s="52"/>
      <c r="L15" s="52"/>
      <c r="M15" s="52"/>
      <c r="N15" s="52"/>
      <c r="O15" s="49"/>
    </row>
    <row r="16" spans="2:19">
      <c r="B16" s="103"/>
      <c r="C16" s="52"/>
      <c r="D16" s="52"/>
      <c r="E16" s="52"/>
      <c r="F16" s="52"/>
      <c r="G16" s="52"/>
      <c r="H16" s="52"/>
      <c r="I16" s="52"/>
      <c r="J16" s="52"/>
      <c r="K16" s="52"/>
      <c r="L16" s="52"/>
      <c r="M16" s="52"/>
      <c r="N16" s="52"/>
      <c r="O16" s="49"/>
    </row>
    <row r="17" spans="2:15" ht="13.5" thickBot="1">
      <c r="B17" s="48"/>
      <c r="C17" s="47"/>
      <c r="D17" s="47"/>
      <c r="E17" s="47"/>
      <c r="F17" s="47"/>
      <c r="G17" s="47"/>
      <c r="H17" s="47"/>
      <c r="I17" s="47"/>
      <c r="J17" s="47"/>
      <c r="K17" s="47"/>
      <c r="L17" s="47"/>
      <c r="M17" s="47"/>
      <c r="N17" s="47"/>
      <c r="O17" s="65"/>
    </row>
    <row r="19" spans="2:15" ht="13.5" thickBot="1">
      <c r="B19" s="129" t="s">
        <v>69</v>
      </c>
      <c r="E19" s="128"/>
      <c r="F19" s="128"/>
      <c r="G19" s="128"/>
    </row>
    <row r="20" spans="2:15">
      <c r="B20" s="63"/>
      <c r="C20" s="85"/>
      <c r="D20" s="141"/>
      <c r="E20" s="60"/>
      <c r="F20" s="60"/>
      <c r="G20" s="60"/>
      <c r="H20" s="60"/>
      <c r="I20" s="60" t="s">
        <v>70</v>
      </c>
      <c r="J20" s="58" t="s">
        <v>71</v>
      </c>
    </row>
    <row r="21" spans="2:15">
      <c r="B21" s="84"/>
      <c r="C21" s="83" t="s">
        <v>72</v>
      </c>
      <c r="D21" s="82">
        <v>2015</v>
      </c>
      <c r="E21" s="81">
        <v>2020</v>
      </c>
      <c r="F21" s="81">
        <v>2035</v>
      </c>
      <c r="G21" s="81">
        <v>2050</v>
      </c>
      <c r="H21" s="81" t="s">
        <v>73</v>
      </c>
      <c r="I21" s="127"/>
      <c r="J21" s="79"/>
    </row>
    <row r="22" spans="2:15">
      <c r="B22" s="103" t="s">
        <v>74</v>
      </c>
      <c r="C22" s="93"/>
      <c r="D22" s="147"/>
      <c r="E22" s="126"/>
      <c r="F22" s="126"/>
      <c r="G22" s="126"/>
      <c r="H22" s="126"/>
      <c r="I22" s="52"/>
      <c r="J22" s="49"/>
    </row>
    <row r="23" spans="2:15">
      <c r="B23" s="120" t="s">
        <v>75</v>
      </c>
      <c r="C23" s="93" t="s">
        <v>106</v>
      </c>
      <c r="D23" s="225">
        <f>D71</f>
        <v>0.19</v>
      </c>
      <c r="E23" s="224">
        <f>E71</f>
        <v>0.2</v>
      </c>
      <c r="F23" s="224">
        <f>F71</f>
        <v>0.22</v>
      </c>
      <c r="G23" s="224">
        <f>G71</f>
        <v>0.24</v>
      </c>
      <c r="H23" s="122"/>
      <c r="I23" s="152"/>
      <c r="J23" s="49"/>
      <c r="K23" s="209"/>
    </row>
    <row r="24" spans="2:15">
      <c r="B24" s="120" t="s">
        <v>76</v>
      </c>
      <c r="C24" s="93" t="s">
        <v>106</v>
      </c>
      <c r="D24" s="119">
        <f>D23</f>
        <v>0.19</v>
      </c>
      <c r="E24" s="118">
        <f>E23</f>
        <v>0.2</v>
      </c>
      <c r="F24" s="118">
        <f>F23</f>
        <v>0.22</v>
      </c>
      <c r="G24" s="118">
        <f>G23</f>
        <v>0.24</v>
      </c>
      <c r="H24" s="122"/>
      <c r="I24" s="152"/>
      <c r="J24" s="49"/>
      <c r="K24" s="209"/>
    </row>
    <row r="25" spans="2:15">
      <c r="B25" s="120" t="s">
        <v>77</v>
      </c>
      <c r="C25" s="93" t="s">
        <v>78</v>
      </c>
      <c r="D25" s="119">
        <f>D75</f>
        <v>13.33</v>
      </c>
      <c r="E25" s="118">
        <f>E75</f>
        <v>12.09</v>
      </c>
      <c r="F25" s="118">
        <f>F75</f>
        <v>10.47</v>
      </c>
      <c r="G25" s="118">
        <f>G75</f>
        <v>9.42</v>
      </c>
      <c r="H25" s="117"/>
      <c r="I25" s="74"/>
      <c r="J25" s="49"/>
      <c r="K25" s="209"/>
    </row>
    <row r="26" spans="2:15">
      <c r="B26" s="120" t="s">
        <v>79</v>
      </c>
      <c r="C26" s="93" t="s">
        <v>78</v>
      </c>
      <c r="D26" s="119"/>
      <c r="E26" s="118"/>
      <c r="F26" s="118"/>
      <c r="G26" s="118"/>
      <c r="H26" s="117"/>
      <c r="I26" s="74"/>
      <c r="J26" s="49"/>
      <c r="K26" s="209"/>
    </row>
    <row r="27" spans="2:15">
      <c r="B27" s="108" t="s">
        <v>80</v>
      </c>
      <c r="C27" s="93" t="s">
        <v>81</v>
      </c>
      <c r="D27" s="115">
        <v>6</v>
      </c>
      <c r="E27" s="100">
        <v>6</v>
      </c>
      <c r="F27" s="100">
        <v>6</v>
      </c>
      <c r="G27" s="100">
        <v>6</v>
      </c>
      <c r="H27" s="100"/>
      <c r="I27" s="74" t="s">
        <v>217</v>
      </c>
      <c r="J27" s="49"/>
      <c r="K27" s="209"/>
    </row>
    <row r="28" spans="2:15">
      <c r="B28" s="108" t="s">
        <v>82</v>
      </c>
      <c r="C28" s="93" t="s">
        <v>83</v>
      </c>
      <c r="D28" s="146">
        <f>+D67*D68/1000</f>
        <v>126.63500000000002</v>
      </c>
      <c r="E28" s="114">
        <f>+E67*E68/1000</f>
        <v>120.90000000000002</v>
      </c>
      <c r="F28" s="114">
        <f>+F67*F68/1000</f>
        <v>115.17000000000002</v>
      </c>
      <c r="G28" s="114">
        <f>+G67*G68/1000</f>
        <v>113.03999999999999</v>
      </c>
      <c r="H28" s="113"/>
      <c r="I28" s="74"/>
      <c r="J28" s="49"/>
      <c r="K28" s="209"/>
    </row>
    <row r="29" spans="2:15">
      <c r="B29" s="53"/>
      <c r="C29" s="112"/>
      <c r="D29" s="109"/>
      <c r="E29" s="73"/>
      <c r="F29" s="73"/>
      <c r="G29" s="73"/>
      <c r="H29" s="73"/>
      <c r="I29" s="54"/>
      <c r="J29" s="49"/>
      <c r="K29" s="209"/>
    </row>
    <row r="30" spans="2:15">
      <c r="B30" s="103" t="s">
        <v>84</v>
      </c>
      <c r="C30" s="93"/>
      <c r="D30" s="109"/>
      <c r="E30" s="73"/>
      <c r="F30" s="73"/>
      <c r="G30" s="73"/>
      <c r="H30" s="73"/>
      <c r="I30" s="54"/>
      <c r="J30" s="49"/>
      <c r="K30" s="209"/>
    </row>
    <row r="31" spans="2:15">
      <c r="B31" s="108" t="s">
        <v>85</v>
      </c>
      <c r="C31" s="93" t="s">
        <v>15</v>
      </c>
      <c r="D31" s="111">
        <v>779893.90271614201</v>
      </c>
      <c r="E31" s="111">
        <v>779893.90271614201</v>
      </c>
      <c r="F31" s="111">
        <v>779893.90271614201</v>
      </c>
      <c r="G31" s="111">
        <v>779893.90271614201</v>
      </c>
      <c r="H31" s="110">
        <v>2015</v>
      </c>
      <c r="I31" s="54"/>
      <c r="J31" s="49"/>
    </row>
    <row r="32" spans="2:15">
      <c r="B32" s="53" t="s">
        <v>16</v>
      </c>
      <c r="C32" s="93" t="s">
        <v>17</v>
      </c>
      <c r="D32" s="111">
        <v>2492.6013469287059</v>
      </c>
      <c r="E32" s="111">
        <v>2610.8401287701954</v>
      </c>
      <c r="F32" s="111">
        <v>2740.736055989551</v>
      </c>
      <c r="G32" s="111">
        <v>2792.3794370870196</v>
      </c>
      <c r="H32" s="110">
        <v>2015</v>
      </c>
      <c r="I32" s="54"/>
      <c r="J32" s="49"/>
    </row>
    <row r="33" spans="2:11">
      <c r="B33" s="104" t="s">
        <v>18</v>
      </c>
      <c r="C33" s="93" t="s">
        <v>17</v>
      </c>
      <c r="D33" s="111">
        <v>1213.3511438994574</v>
      </c>
      <c r="E33" s="111">
        <v>1270.9075443152008</v>
      </c>
      <c r="F33" s="111">
        <v>1334.1384223991297</v>
      </c>
      <c r="G33" s="111">
        <v>1359.2774425664172</v>
      </c>
      <c r="H33" s="110">
        <v>2015</v>
      </c>
      <c r="I33" s="54"/>
      <c r="J33" s="49"/>
    </row>
    <row r="34" spans="2:11">
      <c r="B34" s="104" t="s">
        <v>19</v>
      </c>
      <c r="C34" s="93" t="s">
        <v>17</v>
      </c>
      <c r="D34" s="111">
        <v>1279.2502030292483</v>
      </c>
      <c r="E34" s="111">
        <v>1339.9325844549946</v>
      </c>
      <c r="F34" s="111">
        <v>1406.5976335904218</v>
      </c>
      <c r="G34" s="111">
        <v>1433.1019945206024</v>
      </c>
      <c r="H34" s="110">
        <v>2015</v>
      </c>
      <c r="I34" s="54"/>
      <c r="J34" s="49"/>
    </row>
    <row r="35" spans="2:11">
      <c r="B35" s="104"/>
      <c r="C35" s="93"/>
      <c r="D35" s="111"/>
      <c r="E35" s="111"/>
      <c r="F35" s="111"/>
      <c r="G35" s="111"/>
      <c r="H35" s="110"/>
      <c r="I35" s="54"/>
      <c r="J35" s="49"/>
    </row>
    <row r="36" spans="2:11">
      <c r="B36" s="104" t="s">
        <v>86</v>
      </c>
      <c r="C36" s="93" t="s">
        <v>17</v>
      </c>
      <c r="D36" s="111">
        <v>0</v>
      </c>
      <c r="E36" s="111">
        <v>0</v>
      </c>
      <c r="F36" s="111">
        <v>0</v>
      </c>
      <c r="G36" s="111">
        <v>0</v>
      </c>
      <c r="H36" s="110">
        <v>2015</v>
      </c>
      <c r="I36" s="54"/>
      <c r="J36" s="49"/>
    </row>
    <row r="37" spans="2:11">
      <c r="B37" s="103"/>
      <c r="C37" s="93"/>
      <c r="D37" s="109"/>
      <c r="E37" s="73"/>
      <c r="F37" s="73"/>
      <c r="G37" s="73"/>
      <c r="H37" s="73"/>
      <c r="I37" s="54"/>
      <c r="J37" s="49"/>
    </row>
    <row r="38" spans="2:11">
      <c r="B38" s="108" t="s">
        <v>85</v>
      </c>
      <c r="C38" s="93" t="s">
        <v>15</v>
      </c>
      <c r="D38" s="218">
        <v>751018.91308317415</v>
      </c>
      <c r="E38" s="218">
        <v>751018.91308317415</v>
      </c>
      <c r="F38" s="218">
        <v>751018.91308317415</v>
      </c>
      <c r="G38" s="218">
        <v>751018.91308317415</v>
      </c>
      <c r="H38" s="105">
        <v>2013</v>
      </c>
      <c r="I38" s="74" t="s">
        <v>219</v>
      </c>
      <c r="J38" s="49"/>
      <c r="K38" s="209"/>
    </row>
    <row r="39" spans="2:11">
      <c r="B39" s="53" t="s">
        <v>16</v>
      </c>
      <c r="C39" s="93" t="s">
        <v>17</v>
      </c>
      <c r="D39" s="222">
        <f>+SUM(D40:D43)</f>
        <v>2400.3146425436294</v>
      </c>
      <c r="E39" s="223">
        <f>+SUM(E40:E43)</f>
        <v>2514.1757217412114</v>
      </c>
      <c r="F39" s="223">
        <f>+SUM(F40:F43)</f>
        <v>2639.2623492099719</v>
      </c>
      <c r="G39" s="223">
        <f>+SUM(G40:G43)</f>
        <v>2688.9936726690776</v>
      </c>
      <c r="H39" s="105">
        <v>2013</v>
      </c>
      <c r="I39" s="74"/>
      <c r="J39" s="49"/>
      <c r="K39" s="209"/>
    </row>
    <row r="40" spans="2:11">
      <c r="B40" s="104" t="s">
        <v>18</v>
      </c>
      <c r="C40" s="93" t="s">
        <v>17</v>
      </c>
      <c r="D40" s="222">
        <v>1168.4277234454339</v>
      </c>
      <c r="E40" s="223">
        <v>1223.8531410960506</v>
      </c>
      <c r="F40" s="223">
        <v>1284.742943114635</v>
      </c>
      <c r="G40" s="223">
        <v>1308.9512098240671</v>
      </c>
      <c r="H40" s="105">
        <v>2013</v>
      </c>
      <c r="I40" s="74"/>
      <c r="J40" s="49"/>
      <c r="K40" s="209"/>
    </row>
    <row r="41" spans="2:11">
      <c r="B41" s="104" t="s">
        <v>19</v>
      </c>
      <c r="C41" s="93" t="s">
        <v>17</v>
      </c>
      <c r="D41" s="222">
        <f>(D68*D69)/D28</f>
        <v>1231.8869190981954</v>
      </c>
      <c r="E41" s="223">
        <f>(E68*E69)/E28</f>
        <v>1290.322580645161</v>
      </c>
      <c r="F41" s="223">
        <f>(F68*F69)/F28</f>
        <v>1354.5194060953372</v>
      </c>
      <c r="G41" s="223">
        <f>(G68*G69)/G28</f>
        <v>1380.0424628450107</v>
      </c>
      <c r="H41" s="105">
        <v>2013</v>
      </c>
      <c r="I41" s="74"/>
      <c r="J41" s="94" t="s">
        <v>125</v>
      </c>
      <c r="K41" s="209"/>
    </row>
    <row r="42" spans="2:11">
      <c r="B42" s="104"/>
      <c r="C42" s="93"/>
      <c r="D42" s="109"/>
      <c r="E42" s="73"/>
      <c r="F42" s="73"/>
      <c r="G42" s="73"/>
      <c r="H42" s="105"/>
      <c r="I42" s="74"/>
      <c r="J42" s="49"/>
      <c r="K42" s="209"/>
    </row>
    <row r="43" spans="2:11">
      <c r="B43" s="104" t="s">
        <v>86</v>
      </c>
      <c r="C43" s="93" t="s">
        <v>17</v>
      </c>
      <c r="D43" s="222">
        <v>0</v>
      </c>
      <c r="E43" s="221">
        <v>0</v>
      </c>
      <c r="F43" s="221">
        <v>0</v>
      </c>
      <c r="G43" s="221">
        <v>0</v>
      </c>
      <c r="H43" s="105">
        <v>2013</v>
      </c>
      <c r="I43" s="74"/>
      <c r="J43" s="94"/>
      <c r="K43" s="209"/>
    </row>
    <row r="44" spans="2:11">
      <c r="B44" s="104"/>
      <c r="C44" s="93"/>
      <c r="D44" s="109"/>
      <c r="E44" s="73"/>
      <c r="F44" s="73"/>
      <c r="G44" s="73"/>
      <c r="H44" s="73"/>
      <c r="I44" s="74"/>
      <c r="J44" s="49"/>
      <c r="K44" s="209"/>
    </row>
    <row r="45" spans="2:11">
      <c r="B45" s="103" t="s">
        <v>87</v>
      </c>
      <c r="C45" s="93"/>
      <c r="D45" s="109"/>
      <c r="E45" s="73"/>
      <c r="F45" s="73"/>
      <c r="G45" s="73"/>
      <c r="H45" s="102"/>
      <c r="I45" s="74"/>
      <c r="J45" s="49"/>
      <c r="K45" s="209"/>
    </row>
    <row r="46" spans="2:11">
      <c r="B46" s="98" t="s">
        <v>30</v>
      </c>
      <c r="C46" s="93"/>
      <c r="D46" s="109"/>
      <c r="E46" s="73"/>
      <c r="F46" s="73"/>
      <c r="G46" s="73"/>
      <c r="H46" s="101"/>
      <c r="I46" s="74"/>
      <c r="J46" s="49"/>
      <c r="K46" s="209"/>
    </row>
    <row r="47" spans="2:11">
      <c r="B47" s="53" t="s">
        <v>20</v>
      </c>
      <c r="C47" s="93" t="s">
        <v>107</v>
      </c>
      <c r="D47" s="220"/>
      <c r="E47" s="96"/>
      <c r="F47" s="96"/>
      <c r="G47" s="96"/>
      <c r="H47" s="101"/>
      <c r="I47" s="74"/>
      <c r="J47" s="94" t="s">
        <v>88</v>
      </c>
      <c r="K47" s="209"/>
    </row>
    <row r="48" spans="2:11">
      <c r="B48" s="53" t="s">
        <v>21</v>
      </c>
      <c r="C48" s="93" t="s">
        <v>107</v>
      </c>
      <c r="D48" s="99">
        <f t="shared" ref="D48:G52" si="0">D78/D$75</f>
        <v>5.70067229895981E-4</v>
      </c>
      <c r="E48" s="99">
        <f t="shared" si="0"/>
        <v>1.6299243669067753E-4</v>
      </c>
      <c r="F48" s="99">
        <f t="shared" si="0"/>
        <v>1.6299243669067753E-4</v>
      </c>
      <c r="G48" s="99">
        <f t="shared" si="0"/>
        <v>1.6299243669067753E-4</v>
      </c>
      <c r="H48" s="95"/>
      <c r="I48" s="74"/>
      <c r="J48" s="49"/>
      <c r="K48" s="209"/>
    </row>
    <row r="49" spans="2:11">
      <c r="B49" s="53" t="s">
        <v>22</v>
      </c>
      <c r="C49" s="93" t="s">
        <v>107</v>
      </c>
      <c r="D49" s="99">
        <f t="shared" si="0"/>
        <v>3.3862691824031407E-3</v>
      </c>
      <c r="E49" s="99">
        <f t="shared" si="0"/>
        <v>3.3862691824031407E-3</v>
      </c>
      <c r="F49" s="99">
        <f t="shared" si="0"/>
        <v>3.3862691824031407E-3</v>
      </c>
      <c r="G49" s="99">
        <f t="shared" si="0"/>
        <v>3.3862691824031407E-3</v>
      </c>
      <c r="H49" s="73"/>
      <c r="I49" s="74"/>
      <c r="J49" s="49"/>
      <c r="K49" s="209"/>
    </row>
    <row r="50" spans="2:11">
      <c r="B50" s="53" t="s">
        <v>23</v>
      </c>
      <c r="C50" s="93" t="s">
        <v>107</v>
      </c>
      <c r="D50" s="99">
        <f t="shared" si="0"/>
        <v>4.6837408023728819E-4</v>
      </c>
      <c r="E50" s="99">
        <f t="shared" si="0"/>
        <v>4.6837408023728814E-4</v>
      </c>
      <c r="F50" s="99">
        <f t="shared" si="0"/>
        <v>4.6837408023728825E-4</v>
      </c>
      <c r="G50" s="99">
        <f t="shared" si="0"/>
        <v>4.6837408023728819E-4</v>
      </c>
      <c r="H50" s="100"/>
      <c r="I50" s="74"/>
      <c r="J50" s="49"/>
      <c r="K50" s="209"/>
    </row>
    <row r="51" spans="2:11">
      <c r="B51" s="53" t="s">
        <v>89</v>
      </c>
      <c r="C51" s="93" t="s">
        <v>107</v>
      </c>
      <c r="D51" s="99">
        <f t="shared" si="0"/>
        <v>0.3488992416652627</v>
      </c>
      <c r="E51" s="99">
        <f t="shared" si="0"/>
        <v>3.6446302941253436E-2</v>
      </c>
      <c r="F51" s="99">
        <f t="shared" si="0"/>
        <v>3.6446302941253436E-2</v>
      </c>
      <c r="G51" s="99">
        <f t="shared" si="0"/>
        <v>3.6446302941253436E-2</v>
      </c>
      <c r="H51" s="73"/>
      <c r="I51" s="74"/>
      <c r="J51" s="49"/>
      <c r="K51" s="209"/>
    </row>
    <row r="52" spans="2:11">
      <c r="B52" s="53" t="s">
        <v>24</v>
      </c>
      <c r="C52" s="93" t="s">
        <v>107</v>
      </c>
      <c r="D52" s="99">
        <f t="shared" si="0"/>
        <v>3.2979813853448933E-3</v>
      </c>
      <c r="E52" s="99">
        <f t="shared" si="0"/>
        <v>3.6064433411829615E-4</v>
      </c>
      <c r="F52" s="99">
        <f t="shared" si="0"/>
        <v>3.6064433411829615E-4</v>
      </c>
      <c r="G52" s="99">
        <f t="shared" si="0"/>
        <v>3.6064433411829615E-4</v>
      </c>
      <c r="H52" s="73"/>
      <c r="I52" s="74"/>
      <c r="J52" s="49"/>
      <c r="K52" s="209"/>
    </row>
    <row r="53" spans="2:11">
      <c r="B53" s="53"/>
      <c r="C53" s="93"/>
      <c r="D53" s="97"/>
      <c r="E53" s="52"/>
      <c r="F53" s="52"/>
      <c r="G53" s="52"/>
      <c r="H53" s="73"/>
      <c r="I53" s="74"/>
      <c r="J53" s="49"/>
      <c r="K53" s="209"/>
    </row>
    <row r="54" spans="2:11">
      <c r="B54" s="98" t="s">
        <v>31</v>
      </c>
      <c r="C54" s="93"/>
      <c r="D54" s="109"/>
      <c r="E54" s="73"/>
      <c r="F54" s="73"/>
      <c r="G54" s="73"/>
      <c r="H54" s="95"/>
      <c r="I54" s="74"/>
      <c r="J54" s="49"/>
      <c r="K54" s="209"/>
    </row>
    <row r="55" spans="2:11">
      <c r="B55" s="53" t="s">
        <v>20</v>
      </c>
      <c r="C55" s="93" t="s">
        <v>107</v>
      </c>
      <c r="D55" s="220"/>
      <c r="E55" s="96"/>
      <c r="F55" s="96"/>
      <c r="G55" s="96"/>
      <c r="H55" s="162"/>
      <c r="I55" s="74"/>
      <c r="J55" s="94" t="s">
        <v>88</v>
      </c>
      <c r="K55" s="209"/>
    </row>
    <row r="56" spans="2:11">
      <c r="B56" s="53" t="s">
        <v>21</v>
      </c>
      <c r="C56" s="93" t="s">
        <v>107</v>
      </c>
      <c r="D56" s="92">
        <f t="shared" ref="D56:G60" si="1">D48</f>
        <v>5.70067229895981E-4</v>
      </c>
      <c r="E56" s="92">
        <f t="shared" si="1"/>
        <v>1.6299243669067753E-4</v>
      </c>
      <c r="F56" s="92">
        <f t="shared" si="1"/>
        <v>1.6299243669067753E-4</v>
      </c>
      <c r="G56" s="92">
        <f t="shared" si="1"/>
        <v>1.6299243669067753E-4</v>
      </c>
      <c r="H56" s="162"/>
      <c r="I56" s="74"/>
      <c r="J56" s="49"/>
      <c r="K56" s="209"/>
    </row>
    <row r="57" spans="2:11">
      <c r="B57" s="53" t="s">
        <v>22</v>
      </c>
      <c r="C57" s="93" t="s">
        <v>107</v>
      </c>
      <c r="D57" s="92">
        <f t="shared" si="1"/>
        <v>3.3862691824031407E-3</v>
      </c>
      <c r="E57" s="92">
        <f t="shared" si="1"/>
        <v>3.3862691824031407E-3</v>
      </c>
      <c r="F57" s="92">
        <f t="shared" si="1"/>
        <v>3.3862691824031407E-3</v>
      </c>
      <c r="G57" s="92">
        <f t="shared" si="1"/>
        <v>3.3862691824031407E-3</v>
      </c>
      <c r="H57" s="162"/>
      <c r="I57" s="74"/>
      <c r="J57" s="49"/>
      <c r="K57" s="209"/>
    </row>
    <row r="58" spans="2:11">
      <c r="B58" s="53" t="s">
        <v>23</v>
      </c>
      <c r="C58" s="93" t="s">
        <v>107</v>
      </c>
      <c r="D58" s="92">
        <f t="shared" si="1"/>
        <v>4.6837408023728819E-4</v>
      </c>
      <c r="E58" s="92">
        <f t="shared" si="1"/>
        <v>4.6837408023728814E-4</v>
      </c>
      <c r="F58" s="92">
        <f t="shared" si="1"/>
        <v>4.6837408023728825E-4</v>
      </c>
      <c r="G58" s="92">
        <f t="shared" si="1"/>
        <v>4.6837408023728819E-4</v>
      </c>
      <c r="H58" s="162"/>
      <c r="I58" s="74"/>
      <c r="J58" s="49"/>
      <c r="K58" s="209"/>
    </row>
    <row r="59" spans="2:11">
      <c r="B59" s="53" t="s">
        <v>89</v>
      </c>
      <c r="C59" s="93" t="s">
        <v>107</v>
      </c>
      <c r="D59" s="92">
        <f t="shared" si="1"/>
        <v>0.3488992416652627</v>
      </c>
      <c r="E59" s="92">
        <f t="shared" si="1"/>
        <v>3.6446302941253436E-2</v>
      </c>
      <c r="F59" s="92">
        <f t="shared" si="1"/>
        <v>3.6446302941253436E-2</v>
      </c>
      <c r="G59" s="92">
        <f t="shared" si="1"/>
        <v>3.6446302941253436E-2</v>
      </c>
      <c r="H59" s="162"/>
      <c r="I59" s="74"/>
      <c r="J59" s="49"/>
      <c r="K59" s="209"/>
    </row>
    <row r="60" spans="2:11">
      <c r="B60" s="53" t="s">
        <v>24</v>
      </c>
      <c r="C60" s="93" t="s">
        <v>107</v>
      </c>
      <c r="D60" s="92">
        <f t="shared" si="1"/>
        <v>3.2979813853448933E-3</v>
      </c>
      <c r="E60" s="92">
        <f t="shared" si="1"/>
        <v>3.6064433411829615E-4</v>
      </c>
      <c r="F60" s="92">
        <f t="shared" si="1"/>
        <v>3.6064433411829615E-4</v>
      </c>
      <c r="G60" s="92">
        <f t="shared" si="1"/>
        <v>3.6064433411829615E-4</v>
      </c>
      <c r="H60" s="110"/>
      <c r="I60" s="74"/>
      <c r="J60" s="49"/>
      <c r="K60" s="209"/>
    </row>
    <row r="61" spans="2:11" ht="13.5" thickBot="1">
      <c r="B61" s="90"/>
      <c r="C61" s="89"/>
      <c r="D61" s="88"/>
      <c r="E61" s="47"/>
      <c r="F61" s="47"/>
      <c r="G61" s="47"/>
      <c r="H61" s="73"/>
      <c r="I61" s="86"/>
      <c r="J61" s="65"/>
      <c r="K61" s="209"/>
    </row>
    <row r="62" spans="2:11">
      <c r="I62" s="44"/>
      <c r="K62" s="209"/>
    </row>
    <row r="63" spans="2:11">
      <c r="I63" s="44"/>
      <c r="K63" s="209"/>
    </row>
    <row r="64" spans="2:11" ht="16.5" thickBot="1">
      <c r="B64" s="64" t="s">
        <v>90</v>
      </c>
      <c r="I64" s="44"/>
      <c r="K64" s="209"/>
    </row>
    <row r="65" spans="2:11">
      <c r="B65" s="63"/>
      <c r="C65" s="85"/>
      <c r="D65" s="60"/>
      <c r="E65" s="60"/>
      <c r="F65" s="60"/>
      <c r="G65" s="60"/>
      <c r="H65" s="60"/>
      <c r="I65" s="59"/>
      <c r="J65" s="58"/>
      <c r="K65" s="209"/>
    </row>
    <row r="66" spans="2:11">
      <c r="B66" s="84"/>
      <c r="C66" s="83" t="s">
        <v>72</v>
      </c>
      <c r="D66" s="82">
        <v>2015</v>
      </c>
      <c r="E66" s="81">
        <v>2020</v>
      </c>
      <c r="F66" s="81">
        <v>2035</v>
      </c>
      <c r="G66" s="81">
        <v>2050</v>
      </c>
      <c r="H66" s="81"/>
      <c r="I66" s="80"/>
      <c r="J66" s="79"/>
      <c r="K66" s="209"/>
    </row>
    <row r="67" spans="2:11">
      <c r="B67" s="53" t="s">
        <v>25</v>
      </c>
      <c r="C67" s="70" t="s">
        <v>124</v>
      </c>
      <c r="D67" s="219">
        <f>D71*D75</f>
        <v>2.5327000000000002</v>
      </c>
      <c r="E67" s="219">
        <f>E71*E75</f>
        <v>2.4180000000000001</v>
      </c>
      <c r="F67" s="219">
        <f>F71*F75</f>
        <v>2.3034000000000003</v>
      </c>
      <c r="G67" s="219">
        <f>G71*G75</f>
        <v>2.2607999999999997</v>
      </c>
      <c r="H67" s="219"/>
      <c r="I67" s="54"/>
      <c r="J67" s="49"/>
      <c r="K67" s="209"/>
    </row>
    <row r="68" spans="2:11">
      <c r="B68" s="53" t="s">
        <v>94</v>
      </c>
      <c r="C68" s="70" t="s">
        <v>95</v>
      </c>
      <c r="D68" s="218">
        <v>50000</v>
      </c>
      <c r="E68" s="218">
        <v>50000</v>
      </c>
      <c r="F68" s="218">
        <v>50000</v>
      </c>
      <c r="G68" s="218">
        <v>50000</v>
      </c>
      <c r="H68" s="218"/>
      <c r="I68" s="74" t="s">
        <v>217</v>
      </c>
      <c r="J68" s="49"/>
      <c r="K68" s="209"/>
    </row>
    <row r="69" spans="2:11">
      <c r="B69" s="53" t="s">
        <v>97</v>
      </c>
      <c r="C69" s="167" t="s">
        <v>35</v>
      </c>
      <c r="D69" s="217">
        <f>156000/D68</f>
        <v>3.12</v>
      </c>
      <c r="E69" s="217">
        <f>156000/E68</f>
        <v>3.12</v>
      </c>
      <c r="F69" s="217">
        <f>156000/F68</f>
        <v>3.12</v>
      </c>
      <c r="G69" s="217">
        <f>156000/G68</f>
        <v>3.12</v>
      </c>
      <c r="H69" s="217"/>
      <c r="I69" s="74" t="s">
        <v>217</v>
      </c>
      <c r="J69" s="94"/>
      <c r="K69" s="209"/>
    </row>
    <row r="70" spans="2:11">
      <c r="B70" s="139" t="s">
        <v>126</v>
      </c>
      <c r="C70" s="167" t="s">
        <v>127</v>
      </c>
      <c r="D70" s="216">
        <v>2.6907726931732934</v>
      </c>
      <c r="E70" s="216">
        <v>2.9667493796526059</v>
      </c>
      <c r="F70" s="216">
        <v>3.4257879656160459</v>
      </c>
      <c r="G70" s="216">
        <v>3.8076433121019111</v>
      </c>
      <c r="H70" s="215"/>
      <c r="I70" s="74"/>
      <c r="J70" s="49"/>
      <c r="K70" s="209"/>
    </row>
    <row r="71" spans="2:11">
      <c r="B71" s="139" t="s">
        <v>128</v>
      </c>
      <c r="C71" s="167" t="s">
        <v>26</v>
      </c>
      <c r="D71" s="214">
        <v>0.19</v>
      </c>
      <c r="E71" s="214">
        <v>0.2</v>
      </c>
      <c r="F71" s="214">
        <v>0.22</v>
      </c>
      <c r="G71" s="214">
        <v>0.24</v>
      </c>
      <c r="H71" s="214"/>
      <c r="I71" s="54" t="s">
        <v>215</v>
      </c>
      <c r="J71" s="94"/>
      <c r="K71" s="209"/>
    </row>
    <row r="72" spans="2:11" ht="13.5" thickBot="1">
      <c r="B72" s="213"/>
      <c r="C72" s="212"/>
      <c r="D72" s="211"/>
      <c r="E72" s="211"/>
      <c r="F72" s="211"/>
      <c r="G72" s="211"/>
      <c r="H72" s="211"/>
      <c r="I72" s="74"/>
      <c r="J72" s="65"/>
      <c r="K72" s="209"/>
    </row>
    <row r="73" spans="2:11">
      <c r="D73" s="157"/>
      <c r="E73" s="157"/>
      <c r="F73" s="157"/>
      <c r="G73" s="157"/>
      <c r="H73" s="157"/>
      <c r="K73" s="209"/>
    </row>
    <row r="74" spans="2:11" ht="16.5" thickBot="1">
      <c r="B74" s="64" t="s">
        <v>99</v>
      </c>
      <c r="K74" s="209"/>
    </row>
    <row r="75" spans="2:11">
      <c r="B75" s="63" t="s">
        <v>123</v>
      </c>
      <c r="C75" s="60"/>
      <c r="D75" s="149">
        <v>13.33</v>
      </c>
      <c r="E75" s="149">
        <v>12.09</v>
      </c>
      <c r="F75" s="149">
        <v>10.47</v>
      </c>
      <c r="G75" s="149">
        <v>9.42</v>
      </c>
      <c r="H75" s="149"/>
      <c r="I75" s="60" t="s">
        <v>215</v>
      </c>
      <c r="J75" s="58"/>
      <c r="K75" s="209"/>
    </row>
    <row r="76" spans="2:11">
      <c r="B76" s="53"/>
      <c r="C76" s="52"/>
      <c r="D76" s="210"/>
      <c r="E76" s="210"/>
      <c r="F76" s="210"/>
      <c r="G76" s="210"/>
      <c r="H76" s="210"/>
      <c r="I76" s="52"/>
      <c r="J76" s="49"/>
      <c r="K76" s="209"/>
    </row>
    <row r="77" spans="2:11">
      <c r="B77" s="53" t="s">
        <v>20</v>
      </c>
      <c r="C77" s="52" t="s">
        <v>27</v>
      </c>
      <c r="D77" s="208"/>
      <c r="E77" s="208"/>
      <c r="F77" s="208"/>
      <c r="G77" s="208"/>
      <c r="H77" s="208"/>
      <c r="I77" s="52"/>
      <c r="J77" s="49"/>
      <c r="K77" s="209"/>
    </row>
    <row r="78" spans="2:11">
      <c r="B78" s="53" t="s">
        <v>21</v>
      </c>
      <c r="C78" s="52" t="s">
        <v>27</v>
      </c>
      <c r="D78" s="208">
        <f t="shared" ref="D78:G82" si="2">D88/1000*D$75</f>
        <v>7.5989961745134265E-3</v>
      </c>
      <c r="E78" s="208">
        <f t="shared" si="2"/>
        <v>1.9705785595902914E-3</v>
      </c>
      <c r="F78" s="208">
        <f t="shared" si="2"/>
        <v>1.7065308121513938E-3</v>
      </c>
      <c r="G78" s="208">
        <f t="shared" si="2"/>
        <v>1.5353887536261822E-3</v>
      </c>
      <c r="H78" s="208"/>
      <c r="I78" s="52"/>
      <c r="J78" s="49"/>
      <c r="K78" s="209"/>
    </row>
    <row r="79" spans="2:11">
      <c r="B79" s="53" t="s">
        <v>22</v>
      </c>
      <c r="C79" s="52" t="s">
        <v>27</v>
      </c>
      <c r="D79" s="208">
        <f t="shared" si="2"/>
        <v>4.5138968201433864E-2</v>
      </c>
      <c r="E79" s="208">
        <f t="shared" si="2"/>
        <v>4.093999441525397E-2</v>
      </c>
      <c r="F79" s="208">
        <f t="shared" si="2"/>
        <v>3.5454238339760885E-2</v>
      </c>
      <c r="G79" s="208">
        <f t="shared" si="2"/>
        <v>3.1898655698237584E-2</v>
      </c>
      <c r="H79" s="208"/>
      <c r="I79" s="52"/>
      <c r="J79" s="49"/>
      <c r="K79" s="209"/>
    </row>
    <row r="80" spans="2:11">
      <c r="B80" s="53" t="s">
        <v>23</v>
      </c>
      <c r="C80" s="52" t="s">
        <v>27</v>
      </c>
      <c r="D80" s="208">
        <f t="shared" si="2"/>
        <v>6.2434264895630514E-3</v>
      </c>
      <c r="E80" s="208">
        <f t="shared" si="2"/>
        <v>5.6626426300688138E-3</v>
      </c>
      <c r="F80" s="208">
        <f t="shared" si="2"/>
        <v>4.903876620084408E-3</v>
      </c>
      <c r="G80" s="208">
        <f t="shared" si="2"/>
        <v>4.412083835835255E-3</v>
      </c>
      <c r="H80" s="208"/>
      <c r="I80" s="52"/>
      <c r="J80" s="49"/>
      <c r="K80" s="209"/>
    </row>
    <row r="81" spans="2:13">
      <c r="B81" s="139" t="s">
        <v>36</v>
      </c>
      <c r="C81" s="52" t="s">
        <v>27</v>
      </c>
      <c r="D81" s="208">
        <f t="shared" si="2"/>
        <v>4.6508268913979522</v>
      </c>
      <c r="E81" s="208">
        <f t="shared" si="2"/>
        <v>0.44063580255975404</v>
      </c>
      <c r="F81" s="208">
        <f t="shared" si="2"/>
        <v>0.3815927917949235</v>
      </c>
      <c r="G81" s="208">
        <f t="shared" si="2"/>
        <v>0.34332417370660734</v>
      </c>
      <c r="H81" s="208"/>
      <c r="I81" s="52"/>
      <c r="J81" s="94"/>
      <c r="K81" s="209"/>
    </row>
    <row r="82" spans="2:13">
      <c r="B82" s="53" t="s">
        <v>24</v>
      </c>
      <c r="C82" s="52" t="s">
        <v>27</v>
      </c>
      <c r="D82" s="208">
        <f t="shared" si="2"/>
        <v>4.3962091866647429E-2</v>
      </c>
      <c r="E82" s="208">
        <f t="shared" si="2"/>
        <v>4.3601899994902002E-3</v>
      </c>
      <c r="F82" s="208">
        <f t="shared" si="2"/>
        <v>3.7759461782185611E-3</v>
      </c>
      <c r="G82" s="208">
        <f t="shared" si="2"/>
        <v>3.3972696273943497E-3</v>
      </c>
      <c r="H82" s="208"/>
      <c r="I82" s="52"/>
      <c r="J82" s="94"/>
    </row>
    <row r="83" spans="2:13" ht="13.5" thickBot="1">
      <c r="B83" s="48"/>
      <c r="C83" s="47"/>
      <c r="D83" s="207"/>
      <c r="E83" s="207"/>
      <c r="F83" s="207"/>
      <c r="G83" s="207"/>
      <c r="H83" s="207"/>
      <c r="I83" s="47"/>
      <c r="J83" s="65"/>
    </row>
    <row r="85" spans="2:13" ht="13.5" thickBot="1">
      <c r="B85" s="129" t="s">
        <v>129</v>
      </c>
    </row>
    <row r="86" spans="2:13">
      <c r="B86" s="63"/>
      <c r="C86" s="60"/>
      <c r="D86" s="206">
        <v>2015</v>
      </c>
      <c r="E86" s="206">
        <v>2020</v>
      </c>
      <c r="F86" s="206">
        <v>2035</v>
      </c>
      <c r="G86" s="206">
        <v>2050</v>
      </c>
      <c r="H86" s="206"/>
    </row>
    <row r="87" spans="2:13">
      <c r="B87" s="205" t="s">
        <v>20</v>
      </c>
      <c r="C87" s="110" t="s">
        <v>130</v>
      </c>
      <c r="D87" s="203"/>
      <c r="E87" s="203"/>
      <c r="F87" s="203"/>
      <c r="G87" s="203"/>
      <c r="H87" s="203"/>
    </row>
    <row r="88" spans="2:13">
      <c r="B88" s="205" t="s">
        <v>21</v>
      </c>
      <c r="C88" s="52" t="s">
        <v>130</v>
      </c>
      <c r="D88" s="204">
        <f>'EU Lastbil'!D107</f>
        <v>0.57006722989598102</v>
      </c>
      <c r="E88" s="204">
        <f>'EU Lastbil'!E107</f>
        <v>0.16299243669067753</v>
      </c>
      <c r="F88" s="204">
        <f>'EU Lastbil'!F107</f>
        <v>0.16299243669067753</v>
      </c>
      <c r="G88" s="203">
        <f>F88</f>
        <v>0.16299243669067753</v>
      </c>
      <c r="H88" s="204"/>
      <c r="J88" s="153"/>
      <c r="K88" s="153"/>
      <c r="L88" s="153"/>
      <c r="M88" s="153"/>
    </row>
    <row r="89" spans="2:13">
      <c r="B89" s="205" t="s">
        <v>22</v>
      </c>
      <c r="C89" s="52" t="s">
        <v>130</v>
      </c>
      <c r="D89" s="204">
        <f>'EU Lastbil'!D108</f>
        <v>3.3862691824031406</v>
      </c>
      <c r="E89" s="204">
        <f>'EU Lastbil'!E108</f>
        <v>3.3862691824031406</v>
      </c>
      <c r="F89" s="204">
        <f>'EU Lastbil'!F108</f>
        <v>3.3862691824031406</v>
      </c>
      <c r="G89" s="203">
        <f>F89</f>
        <v>3.3862691824031406</v>
      </c>
      <c r="H89" s="204"/>
      <c r="J89" s="153"/>
      <c r="K89" s="153"/>
      <c r="L89" s="153"/>
      <c r="M89" s="153"/>
    </row>
    <row r="90" spans="2:13">
      <c r="B90" s="205" t="s">
        <v>23</v>
      </c>
      <c r="C90" s="52" t="s">
        <v>130</v>
      </c>
      <c r="D90" s="204">
        <f>'EU Lastbil'!D109</f>
        <v>0.46837408023728822</v>
      </c>
      <c r="E90" s="204">
        <f>'EU Lastbil'!E109</f>
        <v>0.46837408023728822</v>
      </c>
      <c r="F90" s="204">
        <f>'EU Lastbil'!F109</f>
        <v>0.46837408023728822</v>
      </c>
      <c r="G90" s="203">
        <f>F90</f>
        <v>0.46837408023728822</v>
      </c>
      <c r="H90" s="204"/>
      <c r="J90" s="153"/>
      <c r="K90" s="153"/>
      <c r="L90" s="153"/>
      <c r="M90" s="153"/>
    </row>
    <row r="91" spans="2:13">
      <c r="B91" s="108" t="s">
        <v>36</v>
      </c>
      <c r="C91" s="52" t="s">
        <v>130</v>
      </c>
      <c r="D91" s="203">
        <f>'EU Lastbil'!D110</f>
        <v>348.89924166526276</v>
      </c>
      <c r="E91" s="203">
        <f>'EU Lastbil'!E110</f>
        <v>36.446302941253435</v>
      </c>
      <c r="F91" s="203">
        <f>'EU Lastbil'!F110</f>
        <v>36.446302941253435</v>
      </c>
      <c r="G91" s="203">
        <f>F91</f>
        <v>36.446302941253435</v>
      </c>
      <c r="H91" s="203"/>
      <c r="J91" s="153"/>
      <c r="K91" s="153"/>
      <c r="L91" s="153"/>
      <c r="M91" s="153"/>
    </row>
    <row r="92" spans="2:13" ht="13.5" thickBot="1">
      <c r="B92" s="202" t="s">
        <v>24</v>
      </c>
      <c r="C92" s="47" t="s">
        <v>130</v>
      </c>
      <c r="D92" s="201">
        <f>'EU Lastbil'!D111</f>
        <v>3.2979813853448934</v>
      </c>
      <c r="E92" s="201">
        <f>'EU Lastbil'!E111</f>
        <v>0.36064433411829616</v>
      </c>
      <c r="F92" s="201">
        <f>'EU Lastbil'!F111</f>
        <v>0.36064433411829616</v>
      </c>
      <c r="G92" s="201">
        <f>F92</f>
        <v>0.36064433411829616</v>
      </c>
      <c r="H92" s="201"/>
      <c r="J92" s="153"/>
      <c r="K92" s="153"/>
      <c r="L92" s="153"/>
      <c r="M92" s="153"/>
    </row>
    <row r="95" spans="2:13">
      <c r="B95" s="200"/>
      <c r="C95" s="186"/>
      <c r="D95" s="186"/>
      <c r="E95" s="186"/>
      <c r="F95" s="186"/>
      <c r="G95" s="186"/>
    </row>
    <row r="96" spans="2:13">
      <c r="B96" s="200" t="s">
        <v>185</v>
      </c>
      <c r="C96" s="186"/>
      <c r="D96" s="186"/>
      <c r="E96" s="186"/>
      <c r="F96" s="186"/>
      <c r="G96" s="186"/>
    </row>
    <row r="97" spans="2:7">
      <c r="B97" s="197"/>
      <c r="C97" s="197"/>
      <c r="D97" s="199">
        <v>2015</v>
      </c>
      <c r="E97" s="199">
        <v>2020</v>
      </c>
      <c r="F97" s="199">
        <v>2035</v>
      </c>
      <c r="G97" s="186"/>
    </row>
    <row r="98" spans="2:7">
      <c r="B98" s="188"/>
      <c r="C98" s="188"/>
      <c r="D98" s="198" t="s">
        <v>184</v>
      </c>
      <c r="E98" s="198" t="s">
        <v>154</v>
      </c>
      <c r="F98" s="198" t="s">
        <v>154</v>
      </c>
      <c r="G98" s="186"/>
    </row>
    <row r="99" spans="2:7">
      <c r="B99" s="197" t="s">
        <v>183</v>
      </c>
      <c r="C99" s="197" t="s">
        <v>124</v>
      </c>
      <c r="D99" s="196">
        <v>8.8593075104294687</v>
      </c>
      <c r="E99" s="196">
        <v>8.8593075104294687</v>
      </c>
      <c r="F99" s="196">
        <v>8.8593075104294687</v>
      </c>
      <c r="G99" s="186"/>
    </row>
    <row r="100" spans="2:7">
      <c r="B100" s="190" t="s">
        <v>20</v>
      </c>
      <c r="C100" s="190" t="s">
        <v>27</v>
      </c>
      <c r="D100" s="195">
        <v>655.58875577178071</v>
      </c>
      <c r="E100" s="195">
        <v>655.58875577178071</v>
      </c>
      <c r="F100" s="195">
        <v>655.58875577178071</v>
      </c>
      <c r="G100" s="186"/>
    </row>
    <row r="101" spans="2:7">
      <c r="B101" s="190" t="s">
        <v>21</v>
      </c>
      <c r="C101" s="190" t="s">
        <v>27</v>
      </c>
      <c r="D101" s="194">
        <v>5.0504008912671868E-3</v>
      </c>
      <c r="E101" s="194">
        <v>1.4440001185169191E-3</v>
      </c>
      <c r="F101" s="194">
        <v>1.4440001185169191E-3</v>
      </c>
      <c r="G101" s="186"/>
    </row>
    <row r="102" spans="2:7">
      <c r="B102" s="190" t="s">
        <v>22</v>
      </c>
      <c r="C102" s="190" t="s">
        <v>27</v>
      </c>
      <c r="D102" s="194">
        <v>0.03</v>
      </c>
      <c r="E102" s="194">
        <v>0.03</v>
      </c>
      <c r="F102" s="194">
        <v>0.03</v>
      </c>
      <c r="G102" s="186"/>
    </row>
    <row r="103" spans="2:7">
      <c r="B103" s="190" t="s">
        <v>23</v>
      </c>
      <c r="C103" s="190" t="s">
        <v>27</v>
      </c>
      <c r="D103" s="194">
        <v>4.1494700067367021E-3</v>
      </c>
      <c r="E103" s="194">
        <v>4.1494700067367021E-3</v>
      </c>
      <c r="F103" s="194">
        <v>4.1494700067367021E-3</v>
      </c>
      <c r="G103" s="186"/>
    </row>
    <row r="104" spans="2:7">
      <c r="B104" s="190" t="s">
        <v>36</v>
      </c>
      <c r="C104" s="190" t="s">
        <v>27</v>
      </c>
      <c r="D104" s="194">
        <v>3.0910056720682086</v>
      </c>
      <c r="E104" s="194">
        <v>0.32288900537483423</v>
      </c>
      <c r="F104" s="194">
        <v>0.32288900537483423</v>
      </c>
      <c r="G104" s="186"/>
    </row>
    <row r="105" spans="2:7">
      <c r="B105" s="188" t="s">
        <v>182</v>
      </c>
      <c r="C105" s="188" t="s">
        <v>27</v>
      </c>
      <c r="D105" s="193">
        <v>2.9217831256442596E-2</v>
      </c>
      <c r="E105" s="193">
        <v>3.1950590578480559E-3</v>
      </c>
      <c r="F105" s="193">
        <v>3.1950590578480559E-3</v>
      </c>
      <c r="G105" s="186"/>
    </row>
    <row r="106" spans="2:7">
      <c r="B106" s="190" t="s">
        <v>20</v>
      </c>
      <c r="C106" s="190" t="s">
        <v>130</v>
      </c>
      <c r="D106" s="192">
        <f t="shared" ref="D106:F111" si="3">1000*D100/D$99</f>
        <v>74000</v>
      </c>
      <c r="E106" s="192">
        <f t="shared" si="3"/>
        <v>74000</v>
      </c>
      <c r="F106" s="192">
        <f t="shared" si="3"/>
        <v>74000</v>
      </c>
      <c r="G106" s="186"/>
    </row>
    <row r="107" spans="2:7">
      <c r="B107" s="190" t="s">
        <v>21</v>
      </c>
      <c r="C107" s="190" t="s">
        <v>130</v>
      </c>
      <c r="D107" s="191">
        <f t="shared" si="3"/>
        <v>0.57006722989598102</v>
      </c>
      <c r="E107" s="191">
        <f t="shared" si="3"/>
        <v>0.16299243669067753</v>
      </c>
      <c r="F107" s="191">
        <f t="shared" si="3"/>
        <v>0.16299243669067753</v>
      </c>
      <c r="G107" s="186"/>
    </row>
    <row r="108" spans="2:7">
      <c r="B108" s="190" t="s">
        <v>22</v>
      </c>
      <c r="C108" s="190" t="s">
        <v>130</v>
      </c>
      <c r="D108" s="191">
        <f t="shared" si="3"/>
        <v>3.3862691824031406</v>
      </c>
      <c r="E108" s="191">
        <f t="shared" si="3"/>
        <v>3.3862691824031406</v>
      </c>
      <c r="F108" s="191">
        <f t="shared" si="3"/>
        <v>3.3862691824031406</v>
      </c>
      <c r="G108" s="186"/>
    </row>
    <row r="109" spans="2:7">
      <c r="B109" s="190" t="s">
        <v>23</v>
      </c>
      <c r="C109" s="190" t="s">
        <v>130</v>
      </c>
      <c r="D109" s="191">
        <f t="shared" si="3"/>
        <v>0.46837408023728822</v>
      </c>
      <c r="E109" s="191">
        <f t="shared" si="3"/>
        <v>0.46837408023728822</v>
      </c>
      <c r="F109" s="191">
        <f t="shared" si="3"/>
        <v>0.46837408023728822</v>
      </c>
      <c r="G109" s="186"/>
    </row>
    <row r="110" spans="2:7">
      <c r="B110" s="190" t="s">
        <v>36</v>
      </c>
      <c r="C110" s="190" t="s">
        <v>130</v>
      </c>
      <c r="D110" s="189">
        <f t="shared" si="3"/>
        <v>348.89924166526276</v>
      </c>
      <c r="E110" s="189">
        <f t="shared" si="3"/>
        <v>36.446302941253435</v>
      </c>
      <c r="F110" s="189">
        <f t="shared" si="3"/>
        <v>36.446302941253435</v>
      </c>
      <c r="G110" s="186"/>
    </row>
    <row r="111" spans="2:7">
      <c r="B111" s="188" t="s">
        <v>182</v>
      </c>
      <c r="C111" s="188" t="s">
        <v>130</v>
      </c>
      <c r="D111" s="187">
        <f t="shared" si="3"/>
        <v>3.2979813853448934</v>
      </c>
      <c r="E111" s="187">
        <f t="shared" si="3"/>
        <v>0.36064433411829616</v>
      </c>
      <c r="F111" s="187">
        <f t="shared" si="3"/>
        <v>0.36064433411829616</v>
      </c>
      <c r="G111" s="186"/>
    </row>
    <row r="112" spans="2:7">
      <c r="B112" s="186" t="s">
        <v>181</v>
      </c>
      <c r="C112" s="186"/>
      <c r="D112" s="186"/>
      <c r="E112" s="186"/>
      <c r="F112" s="186"/>
      <c r="G112" s="18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'C:\Users\B003920\Desktop\[Kopi af alternativ_drivmiddelmodel_3.0_2.xlsm]Sheet1'!#REF!</xm:f>
          </x14:formula1>
          <xm:sqref>C9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2060"/>
    <pageSetUpPr fitToPage="1"/>
  </sheetPr>
  <dimension ref="B1:S130"/>
  <sheetViews>
    <sheetView zoomScale="80" zoomScaleNormal="80" workbookViewId="0">
      <selection activeCell="G25" sqref="G25"/>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1" width="9" style="40" customWidth="1"/>
    <col min="12" max="12" width="10.85546875" style="40" customWidth="1"/>
    <col min="13" max="13" width="9.140625" style="40" customWidth="1"/>
    <col min="14" max="14" width="9" style="40" customWidth="1"/>
    <col min="15" max="15" width="8.85546875" style="40"/>
    <col min="16" max="16" width="37.85546875" style="40" customWidth="1"/>
    <col min="17" max="18" width="8.85546875" style="40"/>
    <col min="19" max="19" width="9.140625" style="40" customWidth="1"/>
    <col min="20" max="16384" width="8.85546875" style="40"/>
  </cols>
  <sheetData>
    <row r="1" spans="2:19" s="37" customFormat="1" ht="21">
      <c r="B1" s="37" t="s">
        <v>33</v>
      </c>
      <c r="Q1" s="37">
        <v>0</v>
      </c>
      <c r="R1" s="39">
        <v>0</v>
      </c>
      <c r="S1" s="38"/>
    </row>
    <row r="2" spans="2:19">
      <c r="R2" s="133"/>
      <c r="S2" s="133"/>
    </row>
    <row r="4" spans="2:19" ht="13.5" thickBot="1">
      <c r="B4" s="129" t="s">
        <v>65</v>
      </c>
    </row>
    <row r="5" spans="2:19">
      <c r="B5" s="132" t="s">
        <v>66</v>
      </c>
      <c r="C5" s="60"/>
      <c r="D5" s="60"/>
      <c r="E5" s="60"/>
      <c r="F5" s="60"/>
      <c r="G5" s="60"/>
      <c r="H5" s="60"/>
      <c r="I5" s="60"/>
      <c r="J5" s="60"/>
      <c r="K5" s="60"/>
      <c r="L5" s="60"/>
      <c r="M5" s="60"/>
      <c r="N5" s="60"/>
      <c r="O5" s="58"/>
    </row>
    <row r="6" spans="2:19">
      <c r="B6" s="108" t="s">
        <v>137</v>
      </c>
      <c r="C6" s="52"/>
      <c r="D6" s="52"/>
      <c r="E6" s="52"/>
      <c r="F6" s="52"/>
      <c r="G6" s="52"/>
      <c r="H6" s="52"/>
      <c r="I6" s="52"/>
      <c r="J6" s="52"/>
      <c r="K6" s="52"/>
      <c r="L6" s="52"/>
      <c r="M6" s="52"/>
      <c r="N6" s="52"/>
      <c r="O6" s="49"/>
    </row>
    <row r="7" spans="2:19">
      <c r="B7" s="108"/>
      <c r="C7" s="52"/>
      <c r="D7" s="52"/>
      <c r="E7" s="52"/>
      <c r="F7" s="52"/>
      <c r="G7" s="52"/>
      <c r="H7" s="52"/>
      <c r="I7" s="52"/>
      <c r="J7" s="52"/>
      <c r="K7" s="52"/>
      <c r="L7" s="52"/>
      <c r="M7" s="52"/>
      <c r="N7" s="52"/>
      <c r="O7" s="49"/>
    </row>
    <row r="8" spans="2:19">
      <c r="B8" s="108"/>
      <c r="C8" s="52"/>
      <c r="D8" s="52"/>
      <c r="E8" s="52"/>
      <c r="F8" s="52"/>
      <c r="G8" s="52"/>
      <c r="H8" s="52"/>
      <c r="I8" s="52"/>
      <c r="J8" s="52"/>
      <c r="K8" s="52"/>
      <c r="L8" s="52"/>
      <c r="M8" s="52"/>
      <c r="N8" s="52"/>
      <c r="O8" s="49"/>
    </row>
    <row r="9" spans="2:19">
      <c r="B9" s="131" t="s">
        <v>147</v>
      </c>
      <c r="C9" s="36" t="s">
        <v>146</v>
      </c>
      <c r="D9" s="52"/>
      <c r="E9" s="52"/>
      <c r="F9" s="52"/>
      <c r="G9" s="52"/>
      <c r="H9" s="52"/>
      <c r="I9" s="52"/>
      <c r="J9" s="52"/>
      <c r="K9" s="52"/>
      <c r="L9" s="52"/>
      <c r="M9" s="52"/>
      <c r="N9" s="52"/>
      <c r="O9" s="49"/>
    </row>
    <row r="10" spans="2:19">
      <c r="B10" s="108"/>
      <c r="C10" s="52"/>
      <c r="D10" s="52"/>
      <c r="E10" s="52"/>
      <c r="F10" s="52"/>
      <c r="G10" s="52"/>
      <c r="H10" s="52"/>
      <c r="I10" s="52"/>
      <c r="J10" s="52"/>
      <c r="K10" s="52"/>
      <c r="L10" s="52"/>
      <c r="M10" s="52"/>
      <c r="N10" s="52"/>
      <c r="O10" s="49"/>
    </row>
    <row r="11" spans="2:19">
      <c r="B11" s="130" t="s">
        <v>67</v>
      </c>
      <c r="C11" s="52"/>
      <c r="D11" s="52"/>
      <c r="E11" s="52"/>
      <c r="F11" s="52"/>
      <c r="G11" s="52"/>
      <c r="H11" s="52"/>
      <c r="I11" s="52"/>
      <c r="J11" s="52"/>
      <c r="K11" s="52"/>
      <c r="L11" s="52"/>
      <c r="M11" s="52"/>
      <c r="N11" s="52"/>
      <c r="O11" s="49"/>
    </row>
    <row r="12" spans="2:19">
      <c r="B12" s="108"/>
      <c r="C12" s="52"/>
      <c r="D12" s="52"/>
      <c r="E12" s="52"/>
      <c r="F12" s="52"/>
      <c r="G12" s="52"/>
      <c r="H12" s="52"/>
      <c r="I12" s="52"/>
      <c r="J12" s="52"/>
      <c r="K12" s="52"/>
      <c r="L12" s="52"/>
      <c r="M12" s="52"/>
      <c r="N12" s="52"/>
      <c r="O12" s="49"/>
    </row>
    <row r="13" spans="2:19">
      <c r="B13" s="108"/>
      <c r="C13" s="52"/>
      <c r="D13" s="52"/>
      <c r="E13" s="52"/>
      <c r="F13" s="52"/>
      <c r="G13" s="52"/>
      <c r="H13" s="52"/>
      <c r="I13" s="52"/>
      <c r="J13" s="52"/>
      <c r="K13" s="52"/>
      <c r="L13" s="52"/>
      <c r="M13" s="52"/>
      <c r="N13" s="52"/>
      <c r="O13" s="49"/>
    </row>
    <row r="14" spans="2:19">
      <c r="B14" s="130" t="s">
        <v>68</v>
      </c>
      <c r="C14" s="52"/>
      <c r="D14" s="52"/>
      <c r="E14" s="52"/>
      <c r="F14" s="52"/>
      <c r="G14" s="52"/>
      <c r="H14" s="52"/>
      <c r="I14" s="52"/>
      <c r="J14" s="52"/>
      <c r="K14" s="52"/>
      <c r="L14" s="52"/>
      <c r="M14" s="52"/>
      <c r="N14" s="52"/>
      <c r="O14" s="49"/>
    </row>
    <row r="15" spans="2:19">
      <c r="B15" s="108"/>
      <c r="C15" s="52"/>
      <c r="D15" s="52"/>
      <c r="E15" s="52"/>
      <c r="F15" s="52"/>
      <c r="G15" s="52"/>
      <c r="H15" s="52"/>
      <c r="I15" s="52"/>
      <c r="J15" s="52"/>
      <c r="K15" s="52"/>
      <c r="L15" s="52"/>
      <c r="M15" s="52"/>
      <c r="N15" s="52"/>
      <c r="O15" s="49"/>
    </row>
    <row r="16" spans="2:19">
      <c r="B16" s="103"/>
      <c r="C16" s="52"/>
      <c r="D16" s="52"/>
      <c r="E16" s="52"/>
      <c r="F16" s="52"/>
      <c r="G16" s="52"/>
      <c r="H16" s="52"/>
      <c r="I16" s="52"/>
      <c r="J16" s="52"/>
      <c r="K16" s="52"/>
      <c r="L16" s="52"/>
      <c r="M16" s="52"/>
      <c r="N16" s="52"/>
      <c r="O16" s="49"/>
    </row>
    <row r="17" spans="2:15" ht="13.5" thickBot="1">
      <c r="B17" s="48"/>
      <c r="C17" s="47"/>
      <c r="D17" s="47"/>
      <c r="E17" s="47"/>
      <c r="F17" s="47"/>
      <c r="G17" s="47"/>
      <c r="H17" s="47"/>
      <c r="I17" s="47"/>
      <c r="J17" s="47"/>
      <c r="K17" s="47"/>
      <c r="L17" s="47"/>
      <c r="M17" s="47"/>
      <c r="N17" s="47"/>
      <c r="O17" s="65"/>
    </row>
    <row r="19" spans="2:15" ht="13.5" thickBot="1">
      <c r="B19" s="129" t="s">
        <v>69</v>
      </c>
      <c r="E19" s="128"/>
      <c r="F19" s="128"/>
      <c r="G19" s="128"/>
    </row>
    <row r="20" spans="2:15">
      <c r="B20" s="63"/>
      <c r="C20" s="85"/>
      <c r="D20" s="141"/>
      <c r="E20" s="60"/>
      <c r="F20" s="60"/>
      <c r="G20" s="60"/>
      <c r="H20" s="60"/>
      <c r="I20" s="60" t="s">
        <v>70</v>
      </c>
      <c r="J20" s="58" t="s">
        <v>71</v>
      </c>
    </row>
    <row r="21" spans="2:15">
      <c r="B21" s="84"/>
      <c r="C21" s="83" t="s">
        <v>72</v>
      </c>
      <c r="D21" s="82">
        <v>2015</v>
      </c>
      <c r="E21" s="81">
        <v>2020</v>
      </c>
      <c r="F21" s="81">
        <v>2035</v>
      </c>
      <c r="G21" s="81">
        <v>2050</v>
      </c>
      <c r="H21" s="81" t="s">
        <v>73</v>
      </c>
      <c r="I21" s="127"/>
      <c r="J21" s="79"/>
    </row>
    <row r="22" spans="2:15">
      <c r="B22" s="103" t="s">
        <v>74</v>
      </c>
      <c r="C22" s="93"/>
      <c r="D22" s="147"/>
      <c r="E22" s="126"/>
      <c r="F22" s="126"/>
      <c r="G22" s="126"/>
      <c r="H22" s="126"/>
      <c r="I22" s="52"/>
      <c r="J22" s="49"/>
    </row>
    <row r="23" spans="2:15">
      <c r="B23" s="120" t="s">
        <v>75</v>
      </c>
      <c r="C23" s="93" t="s">
        <v>106</v>
      </c>
      <c r="D23" s="225">
        <f>D79</f>
        <v>0.19</v>
      </c>
      <c r="E23" s="224">
        <f>E79</f>
        <v>0.2</v>
      </c>
      <c r="F23" s="224">
        <f>F79</f>
        <v>0.22</v>
      </c>
      <c r="G23" s="224">
        <f>G79</f>
        <v>0.24</v>
      </c>
      <c r="H23" s="122"/>
      <c r="I23" s="152"/>
      <c r="J23" s="49"/>
      <c r="K23" s="209"/>
    </row>
    <row r="24" spans="2:15">
      <c r="B24" s="120" t="s">
        <v>76</v>
      </c>
      <c r="C24" s="93" t="s">
        <v>106</v>
      </c>
      <c r="D24" s="119">
        <f>D23</f>
        <v>0.19</v>
      </c>
      <c r="E24" s="118">
        <f>E23</f>
        <v>0.2</v>
      </c>
      <c r="F24" s="118">
        <f>F23</f>
        <v>0.22</v>
      </c>
      <c r="G24" s="118">
        <f>G23</f>
        <v>0.24</v>
      </c>
      <c r="H24" s="122"/>
      <c r="I24" s="152"/>
      <c r="J24" s="49"/>
      <c r="K24" s="209"/>
    </row>
    <row r="25" spans="2:15">
      <c r="B25" s="120" t="s">
        <v>77</v>
      </c>
      <c r="C25" s="93" t="s">
        <v>78</v>
      </c>
      <c r="D25" s="169">
        <f>D93*'EU varebil el'!D25/'EU varebil diesel'!D25</f>
        <v>5.109977650337199</v>
      </c>
      <c r="E25" s="169">
        <f>E93*'EU varebil el'!E25/'EU varebil diesel'!E25</f>
        <v>4.6056069783784297</v>
      </c>
      <c r="F25" s="169">
        <f>F93*'EU varebil el'!F25/'EU varebil diesel'!F25</f>
        <v>4.1283931605379749</v>
      </c>
      <c r="G25" s="169">
        <f>G93*'EU varebil el'!G25/'EU varebil diesel'!G25</f>
        <v>3.7147104254770293</v>
      </c>
      <c r="H25" s="117"/>
      <c r="I25" s="74" t="s">
        <v>240</v>
      </c>
      <c r="J25" s="49"/>
      <c r="K25" s="209"/>
    </row>
    <row r="26" spans="2:15">
      <c r="B26" s="120" t="s">
        <v>79</v>
      </c>
      <c r="C26" s="93" t="s">
        <v>78</v>
      </c>
      <c r="D26" s="119"/>
      <c r="E26" s="118"/>
      <c r="F26" s="118"/>
      <c r="G26" s="118"/>
      <c r="H26" s="117"/>
      <c r="I26" s="74"/>
      <c r="J26" s="49"/>
      <c r="K26" s="209"/>
    </row>
    <row r="27" spans="2:15">
      <c r="B27" s="108" t="s">
        <v>80</v>
      </c>
      <c r="C27" s="93" t="s">
        <v>81</v>
      </c>
      <c r="D27" s="115">
        <f>D87</f>
        <v>3.9749999999999996</v>
      </c>
      <c r="E27" s="115">
        <f>E87</f>
        <v>6</v>
      </c>
      <c r="F27" s="115">
        <f>F87</f>
        <v>6</v>
      </c>
      <c r="G27" s="115">
        <f>G87</f>
        <v>6</v>
      </c>
      <c r="H27" s="100"/>
      <c r="I27" s="74" t="s">
        <v>217</v>
      </c>
      <c r="J27" s="49"/>
      <c r="K27" s="209"/>
    </row>
    <row r="28" spans="2:15">
      <c r="B28" s="108" t="s">
        <v>82</v>
      </c>
      <c r="C28" s="93" t="s">
        <v>83</v>
      </c>
      <c r="D28" s="146">
        <f>+D75*D76/1000</f>
        <v>126.63500000000002</v>
      </c>
      <c r="E28" s="114">
        <f>+E75*E76/1000</f>
        <v>120.90000000000002</v>
      </c>
      <c r="F28" s="114">
        <f>+F75*F76/1000</f>
        <v>115.17000000000002</v>
      </c>
      <c r="G28" s="114">
        <f>+G75*G76/1000</f>
        <v>113.03999999999999</v>
      </c>
      <c r="H28" s="113"/>
      <c r="I28" s="74"/>
      <c r="J28" s="49"/>
      <c r="K28" s="209"/>
    </row>
    <row r="29" spans="2:15">
      <c r="B29" s="53"/>
      <c r="C29" s="112"/>
      <c r="D29" s="109"/>
      <c r="E29" s="73"/>
      <c r="F29" s="73"/>
      <c r="G29" s="73"/>
      <c r="H29" s="73"/>
      <c r="I29" s="54"/>
      <c r="J29" s="49"/>
      <c r="K29" s="209"/>
    </row>
    <row r="30" spans="2:15">
      <c r="B30" s="103" t="s">
        <v>84</v>
      </c>
      <c r="C30" s="93"/>
      <c r="D30" s="109"/>
      <c r="E30" s="73"/>
      <c r="F30" s="73"/>
      <c r="G30" s="73"/>
      <c r="H30" s="73"/>
      <c r="I30" s="54"/>
      <c r="J30" s="49"/>
      <c r="K30" s="209"/>
    </row>
    <row r="31" spans="2:15">
      <c r="B31" s="108" t="s">
        <v>85</v>
      </c>
      <c r="C31" s="93" t="s">
        <v>15</v>
      </c>
      <c r="D31" s="111">
        <f>D39+D84</f>
        <v>1575666.4638884454</v>
      </c>
      <c r="E31" s="111">
        <f>E39+E84</f>
        <v>1948246.8396617253</v>
      </c>
      <c r="F31" s="111">
        <f>F39+F84</f>
        <v>1055693.5013576373</v>
      </c>
      <c r="G31" s="111">
        <f>G39+G84</f>
        <v>1028057.196418149</v>
      </c>
      <c r="H31" s="110">
        <v>2015</v>
      </c>
      <c r="I31" s="54"/>
      <c r="J31" s="49" t="s">
        <v>239</v>
      </c>
    </row>
    <row r="32" spans="2:15">
      <c r="B32" s="53" t="s">
        <v>16</v>
      </c>
      <c r="C32" s="93" t="s">
        <v>17</v>
      </c>
      <c r="D32" s="111">
        <v>2492.6013469287059</v>
      </c>
      <c r="E32" s="111">
        <v>2610.8401287701954</v>
      </c>
      <c r="F32" s="111">
        <v>2740.736055989551</v>
      </c>
      <c r="G32" s="111">
        <v>2792.3794370870196</v>
      </c>
      <c r="H32" s="110">
        <v>2015</v>
      </c>
      <c r="I32" s="54"/>
      <c r="J32" s="49"/>
    </row>
    <row r="33" spans="2:11">
      <c r="B33" s="104" t="s">
        <v>18</v>
      </c>
      <c r="C33" s="93" t="s">
        <v>17</v>
      </c>
      <c r="D33" s="111">
        <v>1213.3511438994574</v>
      </c>
      <c r="E33" s="111">
        <v>1270.9075443152008</v>
      </c>
      <c r="F33" s="111">
        <v>1334.1384223991297</v>
      </c>
      <c r="G33" s="111">
        <v>1359.2774425664172</v>
      </c>
      <c r="H33" s="110">
        <v>2015</v>
      </c>
      <c r="I33" s="54"/>
      <c r="J33" s="49"/>
    </row>
    <row r="34" spans="2:11">
      <c r="B34" s="104" t="s">
        <v>19</v>
      </c>
      <c r="C34" s="93" t="s">
        <v>17</v>
      </c>
      <c r="D34" s="111">
        <v>1279.2502030292483</v>
      </c>
      <c r="E34" s="111">
        <v>1339.9325844549946</v>
      </c>
      <c r="F34" s="111">
        <v>1406.5976335904218</v>
      </c>
      <c r="G34" s="111">
        <v>1433.1019945206024</v>
      </c>
      <c r="H34" s="110">
        <v>2015</v>
      </c>
      <c r="I34" s="54"/>
      <c r="J34" s="49"/>
    </row>
    <row r="35" spans="2:11">
      <c r="B35" s="104"/>
      <c r="C35" s="93"/>
      <c r="D35" s="111"/>
      <c r="E35" s="111"/>
      <c r="F35" s="111"/>
      <c r="G35" s="111"/>
      <c r="H35" s="110"/>
      <c r="I35" s="54"/>
      <c r="J35" s="49"/>
    </row>
    <row r="36" spans="2:11">
      <c r="B36" s="104" t="s">
        <v>86</v>
      </c>
      <c r="C36" s="93" t="s">
        <v>17</v>
      </c>
      <c r="D36" s="111">
        <v>0</v>
      </c>
      <c r="E36" s="111">
        <v>0</v>
      </c>
      <c r="F36" s="111">
        <v>0</v>
      </c>
      <c r="G36" s="111">
        <v>0</v>
      </c>
      <c r="H36" s="110">
        <v>2015</v>
      </c>
      <c r="I36" s="54"/>
      <c r="J36" s="49"/>
    </row>
    <row r="37" spans="2:11">
      <c r="B37" s="104"/>
      <c r="C37" s="93"/>
      <c r="D37" s="111"/>
      <c r="E37" s="111"/>
      <c r="F37" s="111"/>
      <c r="G37" s="111"/>
      <c r="H37" s="110"/>
      <c r="I37" s="54"/>
      <c r="J37" s="49"/>
    </row>
    <row r="38" spans="2:11">
      <c r="B38" s="103" t="s">
        <v>84</v>
      </c>
      <c r="C38" s="93"/>
      <c r="D38" s="109"/>
      <c r="E38" s="73"/>
      <c r="F38" s="73"/>
      <c r="G38" s="73"/>
      <c r="H38" s="73"/>
      <c r="I38" s="54"/>
      <c r="J38" s="49"/>
      <c r="K38" s="209"/>
    </row>
    <row r="39" spans="2:11">
      <c r="B39" s="108" t="s">
        <v>85</v>
      </c>
      <c r="C39" s="93" t="s">
        <v>15</v>
      </c>
      <c r="D39" s="111">
        <v>779893.90271614201</v>
      </c>
      <c r="E39" s="111">
        <v>779893.90271614201</v>
      </c>
      <c r="F39" s="111">
        <v>779893.90271614201</v>
      </c>
      <c r="G39" s="111">
        <v>779893.90271614201</v>
      </c>
      <c r="H39" s="110">
        <v>2015</v>
      </c>
      <c r="I39" s="54"/>
      <c r="J39" s="49"/>
    </row>
    <row r="40" spans="2:11">
      <c r="B40" s="53" t="s">
        <v>16</v>
      </c>
      <c r="C40" s="93" t="s">
        <v>17</v>
      </c>
      <c r="D40" s="111">
        <v>2492.6013469287059</v>
      </c>
      <c r="E40" s="111">
        <v>2610.8401287701954</v>
      </c>
      <c r="F40" s="111">
        <v>2740.736055989551</v>
      </c>
      <c r="G40" s="111">
        <v>2792.3794370870196</v>
      </c>
      <c r="H40" s="110">
        <v>2015</v>
      </c>
      <c r="I40" s="54"/>
      <c r="J40" s="49"/>
    </row>
    <row r="41" spans="2:11">
      <c r="B41" s="104" t="s">
        <v>18</v>
      </c>
      <c r="C41" s="93" t="s">
        <v>17</v>
      </c>
      <c r="D41" s="111">
        <v>1213.3511438994574</v>
      </c>
      <c r="E41" s="111">
        <v>1270.9075443152008</v>
      </c>
      <c r="F41" s="111">
        <v>1334.1384223991297</v>
      </c>
      <c r="G41" s="111">
        <v>1359.2774425664172</v>
      </c>
      <c r="H41" s="110">
        <v>2015</v>
      </c>
      <c r="I41" s="54"/>
      <c r="J41" s="49"/>
    </row>
    <row r="42" spans="2:11">
      <c r="B42" s="104" t="s">
        <v>19</v>
      </c>
      <c r="C42" s="93" t="s">
        <v>17</v>
      </c>
      <c r="D42" s="111">
        <v>1279.2502030292483</v>
      </c>
      <c r="E42" s="111">
        <v>1339.9325844549946</v>
      </c>
      <c r="F42" s="111">
        <v>1406.5976335904218</v>
      </c>
      <c r="G42" s="111">
        <v>1433.1019945206024</v>
      </c>
      <c r="H42" s="110">
        <v>2015</v>
      </c>
      <c r="I42" s="54"/>
      <c r="J42" s="49"/>
    </row>
    <row r="43" spans="2:11">
      <c r="B43" s="104"/>
      <c r="C43" s="93"/>
      <c r="D43" s="111"/>
      <c r="E43" s="111"/>
      <c r="F43" s="111"/>
      <c r="G43" s="111"/>
      <c r="H43" s="110"/>
      <c r="I43" s="54"/>
      <c r="J43" s="49"/>
    </row>
    <row r="44" spans="2:11">
      <c r="B44" s="104" t="s">
        <v>86</v>
      </c>
      <c r="C44" s="93" t="s">
        <v>17</v>
      </c>
      <c r="D44" s="111">
        <v>0</v>
      </c>
      <c r="E44" s="111">
        <v>0</v>
      </c>
      <c r="F44" s="111">
        <v>0</v>
      </c>
      <c r="G44" s="111">
        <v>0</v>
      </c>
      <c r="H44" s="110">
        <v>2015</v>
      </c>
      <c r="I44" s="54"/>
      <c r="J44" s="49"/>
    </row>
    <row r="45" spans="2:11">
      <c r="B45" s="103"/>
      <c r="C45" s="93"/>
      <c r="D45" s="109"/>
      <c r="E45" s="73"/>
      <c r="F45" s="73"/>
      <c r="G45" s="73"/>
      <c r="H45" s="73"/>
      <c r="I45" s="54"/>
      <c r="J45" s="49"/>
    </row>
    <row r="46" spans="2:11">
      <c r="B46" s="108" t="s">
        <v>85</v>
      </c>
      <c r="C46" s="93" t="s">
        <v>15</v>
      </c>
      <c r="D46" s="218">
        <v>751018.91308317415</v>
      </c>
      <c r="E46" s="218">
        <v>751018.91308317415</v>
      </c>
      <c r="F46" s="218">
        <v>751018.91308317415</v>
      </c>
      <c r="G46" s="218">
        <v>751018.91308317415</v>
      </c>
      <c r="H46" s="105">
        <v>2013</v>
      </c>
      <c r="I46" s="74" t="s">
        <v>219</v>
      </c>
      <c r="J46" s="49"/>
      <c r="K46" s="209"/>
    </row>
    <row r="47" spans="2:11">
      <c r="B47" s="53" t="s">
        <v>16</v>
      </c>
      <c r="C47" s="93" t="s">
        <v>17</v>
      </c>
      <c r="D47" s="222">
        <f>+SUM(D48:D51)</f>
        <v>2400.3146425436294</v>
      </c>
      <c r="E47" s="223">
        <f>+SUM(E48:E51)</f>
        <v>2514.1757217412114</v>
      </c>
      <c r="F47" s="223">
        <f>+SUM(F48:F51)</f>
        <v>2639.2623492099719</v>
      </c>
      <c r="G47" s="223">
        <f>+SUM(G48:G51)</f>
        <v>2688.9936726690776</v>
      </c>
      <c r="H47" s="105">
        <v>2013</v>
      </c>
      <c r="I47" s="74"/>
      <c r="J47" s="49"/>
      <c r="K47" s="209"/>
    </row>
    <row r="48" spans="2:11">
      <c r="B48" s="104" t="s">
        <v>18</v>
      </c>
      <c r="C48" s="93" t="s">
        <v>17</v>
      </c>
      <c r="D48" s="222">
        <v>1168.4277234454339</v>
      </c>
      <c r="E48" s="223">
        <v>1223.8531410960506</v>
      </c>
      <c r="F48" s="223">
        <v>1284.742943114635</v>
      </c>
      <c r="G48" s="223">
        <v>1308.9512098240671</v>
      </c>
      <c r="H48" s="105">
        <v>2013</v>
      </c>
      <c r="I48" s="74"/>
      <c r="J48" s="49"/>
      <c r="K48" s="209"/>
    </row>
    <row r="49" spans="2:11">
      <c r="B49" s="104" t="s">
        <v>19</v>
      </c>
      <c r="C49" s="93" t="s">
        <v>17</v>
      </c>
      <c r="D49" s="222">
        <f>(D76*D77)/D28</f>
        <v>1231.8869190981954</v>
      </c>
      <c r="E49" s="223">
        <f>(E76*E77)/E28</f>
        <v>1290.322580645161</v>
      </c>
      <c r="F49" s="223">
        <f>(F76*F77)/F28</f>
        <v>1354.5194060953372</v>
      </c>
      <c r="G49" s="223">
        <f>(G76*G77)/G28</f>
        <v>1380.0424628450107</v>
      </c>
      <c r="H49" s="105">
        <v>2013</v>
      </c>
      <c r="I49" s="74"/>
      <c r="J49" s="94" t="s">
        <v>125</v>
      </c>
      <c r="K49" s="209"/>
    </row>
    <row r="50" spans="2:11">
      <c r="B50" s="104"/>
      <c r="C50" s="93"/>
      <c r="D50" s="109"/>
      <c r="E50" s="73"/>
      <c r="F50" s="73"/>
      <c r="G50" s="73"/>
      <c r="H50" s="105"/>
      <c r="I50" s="74"/>
      <c r="J50" s="49"/>
      <c r="K50" s="209"/>
    </row>
    <row r="51" spans="2:11">
      <c r="B51" s="104" t="s">
        <v>86</v>
      </c>
      <c r="C51" s="93" t="s">
        <v>17</v>
      </c>
      <c r="D51" s="222">
        <v>0</v>
      </c>
      <c r="E51" s="221">
        <v>0</v>
      </c>
      <c r="F51" s="221">
        <v>0</v>
      </c>
      <c r="G51" s="221">
        <v>0</v>
      </c>
      <c r="H51" s="105">
        <v>2013</v>
      </c>
      <c r="I51" s="74"/>
      <c r="J51" s="94"/>
      <c r="K51" s="209"/>
    </row>
    <row r="52" spans="2:11">
      <c r="B52" s="104"/>
      <c r="C52" s="93"/>
      <c r="D52" s="109"/>
      <c r="E52" s="73"/>
      <c r="F52" s="73"/>
      <c r="G52" s="73"/>
      <c r="H52" s="73"/>
      <c r="I52" s="74"/>
      <c r="J52" s="49"/>
      <c r="K52" s="209"/>
    </row>
    <row r="53" spans="2:11">
      <c r="B53" s="103" t="s">
        <v>87</v>
      </c>
      <c r="C53" s="93"/>
      <c r="D53" s="109"/>
      <c r="E53" s="73"/>
      <c r="F53" s="73"/>
      <c r="G53" s="73"/>
      <c r="H53" s="102"/>
      <c r="I53" s="74"/>
      <c r="J53" s="49"/>
      <c r="K53" s="209"/>
    </row>
    <row r="54" spans="2:11">
      <c r="B54" s="98" t="s">
        <v>30</v>
      </c>
      <c r="C54" s="93"/>
      <c r="D54" s="109"/>
      <c r="E54" s="73"/>
      <c r="F54" s="73"/>
      <c r="G54" s="73"/>
      <c r="H54" s="101"/>
      <c r="I54" s="74"/>
      <c r="J54" s="49"/>
      <c r="K54" s="209"/>
    </row>
    <row r="55" spans="2:11">
      <c r="B55" s="53" t="s">
        <v>20</v>
      </c>
      <c r="C55" s="93" t="s">
        <v>107</v>
      </c>
      <c r="D55" s="220"/>
      <c r="E55" s="96"/>
      <c r="F55" s="96"/>
      <c r="G55" s="96"/>
      <c r="H55" s="101"/>
      <c r="I55" s="74"/>
      <c r="J55" s="94" t="s">
        <v>88</v>
      </c>
      <c r="K55" s="209"/>
    </row>
    <row r="56" spans="2:11">
      <c r="B56" s="53" t="s">
        <v>21</v>
      </c>
      <c r="C56" s="93" t="s">
        <v>107</v>
      </c>
      <c r="D56" s="99">
        <f t="shared" ref="D56:G60" si="0">D96/D$93</f>
        <v>5.70067229895981E-4</v>
      </c>
      <c r="E56" s="99">
        <f t="shared" si="0"/>
        <v>1.6299243669067753E-4</v>
      </c>
      <c r="F56" s="99">
        <f t="shared" si="0"/>
        <v>1.6299243669067753E-4</v>
      </c>
      <c r="G56" s="99">
        <f t="shared" si="0"/>
        <v>1.6299243669067753E-4</v>
      </c>
      <c r="H56" s="95"/>
      <c r="I56" s="74"/>
      <c r="J56" s="49"/>
      <c r="K56" s="209"/>
    </row>
    <row r="57" spans="2:11">
      <c r="B57" s="53" t="s">
        <v>22</v>
      </c>
      <c r="C57" s="93" t="s">
        <v>107</v>
      </c>
      <c r="D57" s="99">
        <f t="shared" si="0"/>
        <v>3.3862691824031407E-3</v>
      </c>
      <c r="E57" s="99">
        <f t="shared" si="0"/>
        <v>3.3862691824031407E-3</v>
      </c>
      <c r="F57" s="99">
        <f t="shared" si="0"/>
        <v>3.3862691824031407E-3</v>
      </c>
      <c r="G57" s="99">
        <f t="shared" si="0"/>
        <v>3.3862691824031407E-3</v>
      </c>
      <c r="H57" s="73"/>
      <c r="I57" s="74"/>
      <c r="J57" s="49"/>
      <c r="K57" s="209"/>
    </row>
    <row r="58" spans="2:11">
      <c r="B58" s="53" t="s">
        <v>23</v>
      </c>
      <c r="C58" s="93" t="s">
        <v>107</v>
      </c>
      <c r="D58" s="99">
        <f t="shared" si="0"/>
        <v>4.6837408023728819E-4</v>
      </c>
      <c r="E58" s="99">
        <f t="shared" si="0"/>
        <v>4.6837408023728814E-4</v>
      </c>
      <c r="F58" s="99">
        <f t="shared" si="0"/>
        <v>4.6837408023728825E-4</v>
      </c>
      <c r="G58" s="99">
        <f t="shared" si="0"/>
        <v>4.6837408023728819E-4</v>
      </c>
      <c r="H58" s="100"/>
      <c r="I58" s="74"/>
      <c r="J58" s="49"/>
      <c r="K58" s="209"/>
    </row>
    <row r="59" spans="2:11">
      <c r="B59" s="53" t="s">
        <v>89</v>
      </c>
      <c r="C59" s="93" t="s">
        <v>107</v>
      </c>
      <c r="D59" s="99">
        <f t="shared" si="0"/>
        <v>0.3488992416652627</v>
      </c>
      <c r="E59" s="99">
        <f t="shared" si="0"/>
        <v>3.6446302941253436E-2</v>
      </c>
      <c r="F59" s="99">
        <f t="shared" si="0"/>
        <v>3.6446302941253436E-2</v>
      </c>
      <c r="G59" s="99">
        <f t="shared" si="0"/>
        <v>3.6446302941253436E-2</v>
      </c>
      <c r="H59" s="73"/>
      <c r="I59" s="74"/>
      <c r="J59" s="49"/>
      <c r="K59" s="209"/>
    </row>
    <row r="60" spans="2:11">
      <c r="B60" s="53" t="s">
        <v>24</v>
      </c>
      <c r="C60" s="93" t="s">
        <v>107</v>
      </c>
      <c r="D60" s="99">
        <f t="shared" si="0"/>
        <v>3.2979813853448933E-3</v>
      </c>
      <c r="E60" s="99">
        <f t="shared" si="0"/>
        <v>3.6064433411829615E-4</v>
      </c>
      <c r="F60" s="99">
        <f t="shared" si="0"/>
        <v>3.6064433411829615E-4</v>
      </c>
      <c r="G60" s="99">
        <f t="shared" si="0"/>
        <v>3.6064433411829615E-4</v>
      </c>
      <c r="H60" s="73"/>
      <c r="I60" s="74"/>
      <c r="J60" s="49"/>
      <c r="K60" s="209"/>
    </row>
    <row r="61" spans="2:11">
      <c r="B61" s="53"/>
      <c r="C61" s="93"/>
      <c r="D61" s="97"/>
      <c r="E61" s="52"/>
      <c r="F61" s="52"/>
      <c r="G61" s="52"/>
      <c r="H61" s="73"/>
      <c r="I61" s="74"/>
      <c r="J61" s="49"/>
      <c r="K61" s="209"/>
    </row>
    <row r="62" spans="2:11">
      <c r="B62" s="98" t="s">
        <v>31</v>
      </c>
      <c r="C62" s="93"/>
      <c r="D62" s="109"/>
      <c r="E62" s="73"/>
      <c r="F62" s="73"/>
      <c r="G62" s="73"/>
      <c r="H62" s="95"/>
      <c r="I62" s="74"/>
      <c r="J62" s="49"/>
      <c r="K62" s="209"/>
    </row>
    <row r="63" spans="2:11">
      <c r="B63" s="53" t="s">
        <v>20</v>
      </c>
      <c r="C63" s="93" t="s">
        <v>107</v>
      </c>
      <c r="D63" s="220"/>
      <c r="E63" s="96"/>
      <c r="F63" s="96"/>
      <c r="G63" s="96"/>
      <c r="H63" s="162"/>
      <c r="I63" s="74"/>
      <c r="J63" s="94" t="s">
        <v>88</v>
      </c>
      <c r="K63" s="209"/>
    </row>
    <row r="64" spans="2:11">
      <c r="B64" s="53" t="s">
        <v>21</v>
      </c>
      <c r="C64" s="93" t="s">
        <v>107</v>
      </c>
      <c r="D64" s="92">
        <f t="shared" ref="D64:G68" si="1">D56</f>
        <v>5.70067229895981E-4</v>
      </c>
      <c r="E64" s="92">
        <f t="shared" si="1"/>
        <v>1.6299243669067753E-4</v>
      </c>
      <c r="F64" s="92">
        <f t="shared" si="1"/>
        <v>1.6299243669067753E-4</v>
      </c>
      <c r="G64" s="92">
        <f t="shared" si="1"/>
        <v>1.6299243669067753E-4</v>
      </c>
      <c r="H64" s="162"/>
      <c r="I64" s="74"/>
      <c r="J64" s="49"/>
      <c r="K64" s="209"/>
    </row>
    <row r="65" spans="2:11">
      <c r="B65" s="53" t="s">
        <v>22</v>
      </c>
      <c r="C65" s="93" t="s">
        <v>107</v>
      </c>
      <c r="D65" s="92">
        <f t="shared" si="1"/>
        <v>3.3862691824031407E-3</v>
      </c>
      <c r="E65" s="92">
        <f t="shared" si="1"/>
        <v>3.3862691824031407E-3</v>
      </c>
      <c r="F65" s="92">
        <f t="shared" si="1"/>
        <v>3.3862691824031407E-3</v>
      </c>
      <c r="G65" s="92">
        <f t="shared" si="1"/>
        <v>3.3862691824031407E-3</v>
      </c>
      <c r="H65" s="162"/>
      <c r="I65" s="74"/>
      <c r="J65" s="49"/>
      <c r="K65" s="209"/>
    </row>
    <row r="66" spans="2:11">
      <c r="B66" s="53" t="s">
        <v>23</v>
      </c>
      <c r="C66" s="93" t="s">
        <v>107</v>
      </c>
      <c r="D66" s="92">
        <f t="shared" si="1"/>
        <v>4.6837408023728819E-4</v>
      </c>
      <c r="E66" s="92">
        <f t="shared" si="1"/>
        <v>4.6837408023728814E-4</v>
      </c>
      <c r="F66" s="92">
        <f t="shared" si="1"/>
        <v>4.6837408023728825E-4</v>
      </c>
      <c r="G66" s="92">
        <f t="shared" si="1"/>
        <v>4.6837408023728819E-4</v>
      </c>
      <c r="H66" s="162"/>
      <c r="I66" s="74"/>
      <c r="J66" s="49"/>
      <c r="K66" s="209"/>
    </row>
    <row r="67" spans="2:11">
      <c r="B67" s="53" t="s">
        <v>89</v>
      </c>
      <c r="C67" s="93" t="s">
        <v>107</v>
      </c>
      <c r="D67" s="92">
        <f t="shared" si="1"/>
        <v>0.3488992416652627</v>
      </c>
      <c r="E67" s="92">
        <f t="shared" si="1"/>
        <v>3.6446302941253436E-2</v>
      </c>
      <c r="F67" s="92">
        <f t="shared" si="1"/>
        <v>3.6446302941253436E-2</v>
      </c>
      <c r="G67" s="92">
        <f t="shared" si="1"/>
        <v>3.6446302941253436E-2</v>
      </c>
      <c r="H67" s="162"/>
      <c r="I67" s="74"/>
      <c r="J67" s="49"/>
      <c r="K67" s="209"/>
    </row>
    <row r="68" spans="2:11">
      <c r="B68" s="53" t="s">
        <v>24</v>
      </c>
      <c r="C68" s="93" t="s">
        <v>107</v>
      </c>
      <c r="D68" s="92">
        <f t="shared" si="1"/>
        <v>3.2979813853448933E-3</v>
      </c>
      <c r="E68" s="92">
        <f t="shared" si="1"/>
        <v>3.6064433411829615E-4</v>
      </c>
      <c r="F68" s="92">
        <f t="shared" si="1"/>
        <v>3.6064433411829615E-4</v>
      </c>
      <c r="G68" s="92">
        <f t="shared" si="1"/>
        <v>3.6064433411829615E-4</v>
      </c>
      <c r="H68" s="110"/>
      <c r="I68" s="74"/>
      <c r="J68" s="49"/>
      <c r="K68" s="209"/>
    </row>
    <row r="69" spans="2:11" ht="13.5" thickBot="1">
      <c r="B69" s="90"/>
      <c r="C69" s="89"/>
      <c r="D69" s="88"/>
      <c r="E69" s="47"/>
      <c r="F69" s="47"/>
      <c r="G69" s="47"/>
      <c r="H69" s="73"/>
      <c r="I69" s="86"/>
      <c r="J69" s="65"/>
      <c r="K69" s="209"/>
    </row>
    <row r="70" spans="2:11">
      <c r="I70" s="44"/>
      <c r="K70" s="209"/>
    </row>
    <row r="71" spans="2:11">
      <c r="I71" s="44"/>
      <c r="K71" s="209"/>
    </row>
    <row r="72" spans="2:11" ht="16.5" thickBot="1">
      <c r="B72" s="64" t="s">
        <v>90</v>
      </c>
      <c r="I72" s="44"/>
      <c r="K72" s="209"/>
    </row>
    <row r="73" spans="2:11">
      <c r="B73" s="63"/>
      <c r="C73" s="85"/>
      <c r="D73" s="60"/>
      <c r="E73" s="60"/>
      <c r="F73" s="60"/>
      <c r="G73" s="60"/>
      <c r="H73" s="60"/>
      <c r="I73" s="59"/>
      <c r="J73" s="58"/>
      <c r="K73" s="209"/>
    </row>
    <row r="74" spans="2:11">
      <c r="B74" s="84"/>
      <c r="C74" s="83" t="s">
        <v>72</v>
      </c>
      <c r="D74" s="82">
        <v>2015</v>
      </c>
      <c r="E74" s="81">
        <v>2020</v>
      </c>
      <c r="F74" s="81">
        <v>2035</v>
      </c>
      <c r="G74" s="81">
        <v>2050</v>
      </c>
      <c r="H74" s="81"/>
      <c r="I74" s="80"/>
      <c r="J74" s="79"/>
      <c r="K74" s="209"/>
    </row>
    <row r="75" spans="2:11">
      <c r="B75" s="53" t="s">
        <v>25</v>
      </c>
      <c r="C75" s="70" t="s">
        <v>124</v>
      </c>
      <c r="D75" s="219">
        <f>D79*D93</f>
        <v>2.5327000000000002</v>
      </c>
      <c r="E75" s="219">
        <f>E79*E93</f>
        <v>2.4180000000000001</v>
      </c>
      <c r="F75" s="219">
        <f>F79*F93</f>
        <v>2.3034000000000003</v>
      </c>
      <c r="G75" s="219">
        <f>G79*G93</f>
        <v>2.2607999999999997</v>
      </c>
      <c r="H75" s="219"/>
      <c r="I75" s="54"/>
      <c r="J75" s="49"/>
      <c r="K75" s="209"/>
    </row>
    <row r="76" spans="2:11">
      <c r="B76" s="53" t="s">
        <v>94</v>
      </c>
      <c r="C76" s="70" t="s">
        <v>95</v>
      </c>
      <c r="D76" s="218">
        <v>50000</v>
      </c>
      <c r="E76" s="218">
        <v>50000</v>
      </c>
      <c r="F76" s="218">
        <v>50000</v>
      </c>
      <c r="G76" s="218">
        <v>50000</v>
      </c>
      <c r="H76" s="218"/>
      <c r="I76" s="74" t="s">
        <v>217</v>
      </c>
      <c r="J76" s="49"/>
      <c r="K76" s="209"/>
    </row>
    <row r="77" spans="2:11">
      <c r="B77" s="53" t="s">
        <v>97</v>
      </c>
      <c r="C77" s="167" t="s">
        <v>35</v>
      </c>
      <c r="D77" s="217">
        <f>156000/D76</f>
        <v>3.12</v>
      </c>
      <c r="E77" s="217">
        <f>156000/E76</f>
        <v>3.12</v>
      </c>
      <c r="F77" s="217">
        <f>156000/F76</f>
        <v>3.12</v>
      </c>
      <c r="G77" s="217">
        <f>156000/G76</f>
        <v>3.12</v>
      </c>
      <c r="H77" s="217"/>
      <c r="I77" s="74" t="s">
        <v>217</v>
      </c>
      <c r="J77" s="94"/>
      <c r="K77" s="209"/>
    </row>
    <row r="78" spans="2:11">
      <c r="B78" s="139" t="s">
        <v>126</v>
      </c>
      <c r="C78" s="167" t="s">
        <v>127</v>
      </c>
      <c r="D78" s="216">
        <v>2.6907726931732934</v>
      </c>
      <c r="E78" s="216">
        <v>2.9667493796526059</v>
      </c>
      <c r="F78" s="216">
        <v>3.4257879656160459</v>
      </c>
      <c r="G78" s="216">
        <v>3.8076433121019111</v>
      </c>
      <c r="H78" s="215"/>
      <c r="I78" s="74"/>
      <c r="J78" s="49"/>
      <c r="K78" s="209"/>
    </row>
    <row r="79" spans="2:11">
      <c r="B79" s="139" t="s">
        <v>128</v>
      </c>
      <c r="C79" s="167" t="s">
        <v>26</v>
      </c>
      <c r="D79" s="214">
        <v>0.19</v>
      </c>
      <c r="E79" s="214">
        <v>0.2</v>
      </c>
      <c r="F79" s="214">
        <v>0.22</v>
      </c>
      <c r="G79" s="214">
        <v>0.24</v>
      </c>
      <c r="H79" s="214"/>
      <c r="I79" s="54" t="s">
        <v>215</v>
      </c>
      <c r="J79" s="94"/>
      <c r="K79" s="209"/>
    </row>
    <row r="80" spans="2:11" ht="13.5" thickBot="1">
      <c r="B80" s="213"/>
      <c r="C80" s="212"/>
      <c r="D80" s="211"/>
      <c r="E80" s="211"/>
      <c r="F80" s="211"/>
      <c r="G80" s="211"/>
      <c r="H80" s="211"/>
      <c r="I80" s="74"/>
      <c r="J80" s="65"/>
      <c r="K80" s="209"/>
    </row>
    <row r="81" spans="2:11" ht="16.5" thickBot="1">
      <c r="B81" s="64" t="s">
        <v>90</v>
      </c>
      <c r="H81" s="44"/>
      <c r="I81" s="44"/>
    </row>
    <row r="82" spans="2:11">
      <c r="B82" s="63"/>
      <c r="C82" s="85"/>
      <c r="D82" s="60"/>
      <c r="E82" s="60"/>
      <c r="F82" s="60"/>
      <c r="G82" s="60"/>
      <c r="H82" s="59"/>
      <c r="I82" s="59" t="s">
        <v>70</v>
      </c>
      <c r="J82" s="58" t="s">
        <v>71</v>
      </c>
    </row>
    <row r="83" spans="2:11">
      <c r="B83" s="139"/>
      <c r="C83" s="167"/>
      <c r="D83" s="73"/>
      <c r="E83" s="73"/>
      <c r="F83" s="73"/>
      <c r="G83" s="73"/>
      <c r="H83" s="54"/>
      <c r="I83" s="54"/>
      <c r="J83" s="94"/>
    </row>
    <row r="84" spans="2:11">
      <c r="B84" s="53" t="s">
        <v>115</v>
      </c>
      <c r="C84" s="70" t="s">
        <v>15</v>
      </c>
      <c r="D84" s="150">
        <f>D85*D86+(D44-D87)/D87*D86*(E85+F85)/2</f>
        <v>795772.56117230339</v>
      </c>
      <c r="E84" s="150">
        <f>E85*E86</f>
        <v>1168352.9369455834</v>
      </c>
      <c r="F84" s="150">
        <f>F85*F86</f>
        <v>275799.59864149522</v>
      </c>
      <c r="G84" s="150">
        <f>G85*G86</f>
        <v>248163.29370200707</v>
      </c>
      <c r="H84" s="54"/>
      <c r="I84" s="54"/>
      <c r="J84" s="49"/>
    </row>
    <row r="85" spans="2:11">
      <c r="B85" s="53" t="s">
        <v>117</v>
      </c>
      <c r="C85" s="70" t="s">
        <v>118</v>
      </c>
      <c r="D85" s="295">
        <f>'EU varebil el'!D81</f>
        <v>2275</v>
      </c>
      <c r="E85" s="295">
        <f>'EU varebil el'!E81</f>
        <v>1826.5</v>
      </c>
      <c r="F85" s="295">
        <f>'EU varebil el'!F81</f>
        <v>481</v>
      </c>
      <c r="G85" s="295">
        <f>'EU varebil el'!G81</f>
        <v>481</v>
      </c>
      <c r="H85" s="74"/>
      <c r="I85" s="74" t="s">
        <v>235</v>
      </c>
      <c r="J85" s="160"/>
    </row>
    <row r="86" spans="2:11">
      <c r="B86" s="53" t="s">
        <v>119</v>
      </c>
      <c r="C86" s="70" t="s">
        <v>120</v>
      </c>
      <c r="D86" s="67">
        <f>500*D25/3.6</f>
        <v>709.71911810238873</v>
      </c>
      <c r="E86" s="67">
        <f>500*E25/3.6</f>
        <v>639.66763588589299</v>
      </c>
      <c r="F86" s="67">
        <f>500*F25/3.6</f>
        <v>573.38793896360755</v>
      </c>
      <c r="G86" s="67">
        <f>500*G25/3.6</f>
        <v>515.93200353847624</v>
      </c>
      <c r="H86" s="74"/>
      <c r="I86" s="74" t="s">
        <v>241</v>
      </c>
      <c r="J86" s="49"/>
    </row>
    <row r="87" spans="2:11">
      <c r="B87" s="53" t="s">
        <v>152</v>
      </c>
      <c r="C87" s="70" t="s">
        <v>151</v>
      </c>
      <c r="D87" s="67">
        <f>10.6/16*E87</f>
        <v>3.9749999999999996</v>
      </c>
      <c r="E87" s="67">
        <v>6</v>
      </c>
      <c r="F87" s="67">
        <v>6</v>
      </c>
      <c r="G87" s="67">
        <v>6</v>
      </c>
      <c r="H87" s="74"/>
      <c r="I87" s="74"/>
      <c r="J87" s="49"/>
    </row>
    <row r="88" spans="2:11">
      <c r="B88" s="53" t="s">
        <v>121</v>
      </c>
      <c r="C88" s="70" t="s">
        <v>122</v>
      </c>
      <c r="D88" s="121">
        <f>D42/3.6</f>
        <v>355.34727861923562</v>
      </c>
      <c r="E88" s="121">
        <f>E42/3.6</f>
        <v>372.20349568194297</v>
      </c>
      <c r="F88" s="121">
        <f>F42/3.6</f>
        <v>390.72156488622824</v>
      </c>
      <c r="G88" s="121">
        <f>G42/3.6</f>
        <v>398.08388736683401</v>
      </c>
      <c r="H88" s="74"/>
      <c r="I88" s="74" t="s">
        <v>168</v>
      </c>
      <c r="J88" s="49"/>
    </row>
    <row r="89" spans="2:11">
      <c r="B89" s="53" t="s">
        <v>158</v>
      </c>
      <c r="C89" s="70" t="s">
        <v>157</v>
      </c>
      <c r="D89" s="121">
        <v>8.9285714285714288</v>
      </c>
      <c r="E89" s="165">
        <v>6.25</v>
      </c>
      <c r="F89" s="165">
        <v>5</v>
      </c>
      <c r="G89" s="165">
        <v>4.5454545454545459</v>
      </c>
      <c r="H89" s="74"/>
      <c r="I89" s="74" t="s">
        <v>216</v>
      </c>
      <c r="J89" s="49"/>
    </row>
    <row r="90" spans="2:11" ht="13.5" thickBot="1">
      <c r="B90" s="48" t="s">
        <v>156</v>
      </c>
      <c r="C90" s="66" t="s">
        <v>92</v>
      </c>
      <c r="D90" s="159">
        <f>D86*D89</f>
        <v>6336.7778401998994</v>
      </c>
      <c r="E90" s="159">
        <f>E86*E89</f>
        <v>3997.922724286831</v>
      </c>
      <c r="F90" s="159">
        <f>F86*F89</f>
        <v>2866.9396948180379</v>
      </c>
      <c r="G90" s="159">
        <f>G86*G89</f>
        <v>2345.1454706294376</v>
      </c>
      <c r="H90" s="158"/>
      <c r="I90" s="158"/>
      <c r="J90" s="65"/>
    </row>
    <row r="91" spans="2:11">
      <c r="D91" s="157"/>
      <c r="E91" s="157"/>
      <c r="F91" s="157"/>
      <c r="G91" s="157"/>
      <c r="H91" s="157"/>
      <c r="K91" s="209"/>
    </row>
    <row r="92" spans="2:11" ht="16.5" thickBot="1">
      <c r="B92" s="64" t="s">
        <v>99</v>
      </c>
      <c r="K92" s="209"/>
    </row>
    <row r="93" spans="2:11">
      <c r="B93" s="63" t="s">
        <v>123</v>
      </c>
      <c r="C93" s="60"/>
      <c r="D93" s="149">
        <v>13.33</v>
      </c>
      <c r="E93" s="149">
        <v>12.09</v>
      </c>
      <c r="F93" s="149">
        <v>10.47</v>
      </c>
      <c r="G93" s="149">
        <v>9.42</v>
      </c>
      <c r="H93" s="149"/>
      <c r="I93" s="60" t="s">
        <v>215</v>
      </c>
      <c r="J93" s="58"/>
      <c r="K93" s="209"/>
    </row>
    <row r="94" spans="2:11">
      <c r="B94" s="53"/>
      <c r="C94" s="52"/>
      <c r="D94" s="210"/>
      <c r="E94" s="210"/>
      <c r="F94" s="210"/>
      <c r="G94" s="210"/>
      <c r="H94" s="210"/>
      <c r="I94" s="52"/>
      <c r="J94" s="49"/>
      <c r="K94" s="209"/>
    </row>
    <row r="95" spans="2:11">
      <c r="B95" s="53" t="s">
        <v>20</v>
      </c>
      <c r="C95" s="52" t="s">
        <v>27</v>
      </c>
      <c r="D95" s="208"/>
      <c r="E95" s="208"/>
      <c r="F95" s="208"/>
      <c r="G95" s="208"/>
      <c r="H95" s="208"/>
      <c r="I95" s="52"/>
      <c r="J95" s="49"/>
      <c r="K95" s="209"/>
    </row>
    <row r="96" spans="2:11">
      <c r="B96" s="53" t="s">
        <v>21</v>
      </c>
      <c r="C96" s="52" t="s">
        <v>27</v>
      </c>
      <c r="D96" s="208">
        <f t="shared" ref="D96:G100" si="2">D106/1000*D$93</f>
        <v>7.5989961745134265E-3</v>
      </c>
      <c r="E96" s="208">
        <f t="shared" si="2"/>
        <v>1.9705785595902914E-3</v>
      </c>
      <c r="F96" s="208">
        <f t="shared" si="2"/>
        <v>1.7065308121513938E-3</v>
      </c>
      <c r="G96" s="208">
        <f t="shared" si="2"/>
        <v>1.5353887536261822E-3</v>
      </c>
      <c r="H96" s="208"/>
      <c r="I96" s="52"/>
      <c r="J96" s="49"/>
      <c r="K96" s="209"/>
    </row>
    <row r="97" spans="2:13">
      <c r="B97" s="53" t="s">
        <v>22</v>
      </c>
      <c r="C97" s="52" t="s">
        <v>27</v>
      </c>
      <c r="D97" s="208">
        <f t="shared" si="2"/>
        <v>4.5138968201433864E-2</v>
      </c>
      <c r="E97" s="208">
        <f t="shared" si="2"/>
        <v>4.093999441525397E-2</v>
      </c>
      <c r="F97" s="208">
        <f t="shared" si="2"/>
        <v>3.5454238339760885E-2</v>
      </c>
      <c r="G97" s="208">
        <f t="shared" si="2"/>
        <v>3.1898655698237584E-2</v>
      </c>
      <c r="H97" s="208"/>
      <c r="I97" s="52"/>
      <c r="J97" s="49"/>
      <c r="K97" s="209"/>
    </row>
    <row r="98" spans="2:13">
      <c r="B98" s="53" t="s">
        <v>23</v>
      </c>
      <c r="C98" s="52" t="s">
        <v>27</v>
      </c>
      <c r="D98" s="208">
        <f t="shared" si="2"/>
        <v>6.2434264895630514E-3</v>
      </c>
      <c r="E98" s="208">
        <f t="shared" si="2"/>
        <v>5.6626426300688138E-3</v>
      </c>
      <c r="F98" s="208">
        <f t="shared" si="2"/>
        <v>4.903876620084408E-3</v>
      </c>
      <c r="G98" s="208">
        <f t="shared" si="2"/>
        <v>4.412083835835255E-3</v>
      </c>
      <c r="H98" s="208"/>
      <c r="I98" s="52"/>
      <c r="J98" s="49"/>
      <c r="K98" s="209"/>
    </row>
    <row r="99" spans="2:13">
      <c r="B99" s="139" t="s">
        <v>36</v>
      </c>
      <c r="C99" s="52" t="s">
        <v>27</v>
      </c>
      <c r="D99" s="208">
        <f t="shared" si="2"/>
        <v>4.6508268913979522</v>
      </c>
      <c r="E99" s="208">
        <f t="shared" si="2"/>
        <v>0.44063580255975404</v>
      </c>
      <c r="F99" s="208">
        <f t="shared" si="2"/>
        <v>0.3815927917949235</v>
      </c>
      <c r="G99" s="208">
        <f t="shared" si="2"/>
        <v>0.34332417370660734</v>
      </c>
      <c r="H99" s="208"/>
      <c r="I99" s="52"/>
      <c r="J99" s="94"/>
      <c r="K99" s="209"/>
    </row>
    <row r="100" spans="2:13">
      <c r="B100" s="53" t="s">
        <v>24</v>
      </c>
      <c r="C100" s="52" t="s">
        <v>27</v>
      </c>
      <c r="D100" s="208">
        <f t="shared" si="2"/>
        <v>4.3962091866647429E-2</v>
      </c>
      <c r="E100" s="208">
        <f t="shared" si="2"/>
        <v>4.3601899994902002E-3</v>
      </c>
      <c r="F100" s="208">
        <f t="shared" si="2"/>
        <v>3.7759461782185611E-3</v>
      </c>
      <c r="G100" s="208">
        <f t="shared" si="2"/>
        <v>3.3972696273943497E-3</v>
      </c>
      <c r="H100" s="208"/>
      <c r="I100" s="52"/>
      <c r="J100" s="94"/>
    </row>
    <row r="101" spans="2:13" ht="13.5" thickBot="1">
      <c r="B101" s="48"/>
      <c r="C101" s="47"/>
      <c r="D101" s="207"/>
      <c r="E101" s="207"/>
      <c r="F101" s="207"/>
      <c r="G101" s="207"/>
      <c r="H101" s="207"/>
      <c r="I101" s="47"/>
      <c r="J101" s="65"/>
    </row>
    <row r="103" spans="2:13" ht="13.5" thickBot="1">
      <c r="B103" s="129" t="s">
        <v>129</v>
      </c>
    </row>
    <row r="104" spans="2:13">
      <c r="B104" s="63"/>
      <c r="C104" s="60"/>
      <c r="D104" s="206">
        <v>2015</v>
      </c>
      <c r="E104" s="206">
        <v>2020</v>
      </c>
      <c r="F104" s="206">
        <v>2035</v>
      </c>
      <c r="G104" s="206">
        <v>2050</v>
      </c>
      <c r="H104" s="206"/>
    </row>
    <row r="105" spans="2:13">
      <c r="B105" s="205" t="s">
        <v>20</v>
      </c>
      <c r="C105" s="110" t="s">
        <v>130</v>
      </c>
      <c r="D105" s="203"/>
      <c r="E105" s="203"/>
      <c r="F105" s="203"/>
      <c r="G105" s="203"/>
      <c r="H105" s="203"/>
    </row>
    <row r="106" spans="2:13">
      <c r="B106" s="205" t="s">
        <v>21</v>
      </c>
      <c r="C106" s="52" t="s">
        <v>130</v>
      </c>
      <c r="D106" s="204">
        <f>'EU Lastbil El'!D125</f>
        <v>0.57006722989598102</v>
      </c>
      <c r="E106" s="204">
        <f>'EU Lastbil El'!E125</f>
        <v>0.16299243669067753</v>
      </c>
      <c r="F106" s="204">
        <f>'EU Lastbil El'!F125</f>
        <v>0.16299243669067753</v>
      </c>
      <c r="G106" s="203">
        <f>F106</f>
        <v>0.16299243669067753</v>
      </c>
      <c r="H106" s="204"/>
      <c r="J106" s="153"/>
      <c r="K106" s="153"/>
      <c r="L106" s="153"/>
      <c r="M106" s="153"/>
    </row>
    <row r="107" spans="2:13">
      <c r="B107" s="205" t="s">
        <v>22</v>
      </c>
      <c r="C107" s="52" t="s">
        <v>130</v>
      </c>
      <c r="D107" s="204">
        <f>'EU Lastbil El'!D126</f>
        <v>3.3862691824031406</v>
      </c>
      <c r="E107" s="204">
        <f>'EU Lastbil El'!E126</f>
        <v>3.3862691824031406</v>
      </c>
      <c r="F107" s="204">
        <f>'EU Lastbil El'!F126</f>
        <v>3.3862691824031406</v>
      </c>
      <c r="G107" s="203">
        <f>F107</f>
        <v>3.3862691824031406</v>
      </c>
      <c r="H107" s="204"/>
      <c r="J107" s="153"/>
      <c r="K107" s="153"/>
      <c r="L107" s="153"/>
      <c r="M107" s="153"/>
    </row>
    <row r="108" spans="2:13">
      <c r="B108" s="205" t="s">
        <v>23</v>
      </c>
      <c r="C108" s="52" t="s">
        <v>130</v>
      </c>
      <c r="D108" s="204">
        <f>'EU Lastbil El'!D127</f>
        <v>0.46837408023728822</v>
      </c>
      <c r="E108" s="204">
        <f>'EU Lastbil El'!E127</f>
        <v>0.46837408023728822</v>
      </c>
      <c r="F108" s="204">
        <f>'EU Lastbil El'!F127</f>
        <v>0.46837408023728822</v>
      </c>
      <c r="G108" s="203">
        <f>F108</f>
        <v>0.46837408023728822</v>
      </c>
      <c r="H108" s="204"/>
      <c r="J108" s="153"/>
      <c r="K108" s="153"/>
      <c r="L108" s="153"/>
      <c r="M108" s="153"/>
    </row>
    <row r="109" spans="2:13">
      <c r="B109" s="108" t="s">
        <v>36</v>
      </c>
      <c r="C109" s="52" t="s">
        <v>130</v>
      </c>
      <c r="D109" s="203">
        <f>'EU Lastbil El'!D128</f>
        <v>348.89924166526276</v>
      </c>
      <c r="E109" s="203">
        <f>'EU Lastbil El'!E128</f>
        <v>36.446302941253435</v>
      </c>
      <c r="F109" s="203">
        <f>'EU Lastbil El'!F128</f>
        <v>36.446302941253435</v>
      </c>
      <c r="G109" s="203">
        <f>F109</f>
        <v>36.446302941253435</v>
      </c>
      <c r="H109" s="203"/>
      <c r="J109" s="153"/>
      <c r="K109" s="153"/>
      <c r="L109" s="153"/>
      <c r="M109" s="153"/>
    </row>
    <row r="110" spans="2:13" ht="13.5" thickBot="1">
      <c r="B110" s="202" t="s">
        <v>24</v>
      </c>
      <c r="C110" s="47" t="s">
        <v>130</v>
      </c>
      <c r="D110" s="201">
        <f>'EU Lastbil El'!D129</f>
        <v>3.2979813853448934</v>
      </c>
      <c r="E110" s="201">
        <f>'EU Lastbil El'!E129</f>
        <v>0.36064433411829616</v>
      </c>
      <c r="F110" s="201">
        <f>'EU Lastbil El'!F129</f>
        <v>0.36064433411829616</v>
      </c>
      <c r="G110" s="201">
        <f>F110</f>
        <v>0.36064433411829616</v>
      </c>
      <c r="H110" s="201"/>
      <c r="J110" s="153"/>
      <c r="K110" s="153"/>
      <c r="L110" s="153"/>
      <c r="M110" s="153"/>
    </row>
    <row r="113" spans="2:7">
      <c r="B113" s="200"/>
      <c r="C113" s="186"/>
      <c r="D113" s="186"/>
      <c r="E113" s="186"/>
      <c r="F113" s="186"/>
      <c r="G113" s="186"/>
    </row>
    <row r="114" spans="2:7">
      <c r="B114" s="200" t="s">
        <v>185</v>
      </c>
      <c r="C114" s="186"/>
      <c r="D114" s="186"/>
      <c r="E114" s="186"/>
      <c r="F114" s="186"/>
      <c r="G114" s="186"/>
    </row>
    <row r="115" spans="2:7">
      <c r="B115" s="197"/>
      <c r="C115" s="197"/>
      <c r="D115" s="199">
        <v>2015</v>
      </c>
      <c r="E115" s="199">
        <v>2020</v>
      </c>
      <c r="F115" s="199">
        <v>2035</v>
      </c>
      <c r="G115" s="186"/>
    </row>
    <row r="116" spans="2:7">
      <c r="B116" s="188"/>
      <c r="C116" s="188"/>
      <c r="D116" s="198" t="s">
        <v>184</v>
      </c>
      <c r="E116" s="198" t="s">
        <v>154</v>
      </c>
      <c r="F116" s="198" t="s">
        <v>154</v>
      </c>
      <c r="G116" s="186"/>
    </row>
    <row r="117" spans="2:7">
      <c r="B117" s="197" t="s">
        <v>183</v>
      </c>
      <c r="C117" s="197" t="s">
        <v>124</v>
      </c>
      <c r="D117" s="196">
        <v>8.8593075104294687</v>
      </c>
      <c r="E117" s="196">
        <v>8.8593075104294687</v>
      </c>
      <c r="F117" s="196">
        <v>8.8593075104294687</v>
      </c>
      <c r="G117" s="186"/>
    </row>
    <row r="118" spans="2:7">
      <c r="B118" s="190" t="s">
        <v>20</v>
      </c>
      <c r="C118" s="190" t="s">
        <v>27</v>
      </c>
      <c r="D118" s="195">
        <v>655.58875577178071</v>
      </c>
      <c r="E118" s="195">
        <v>655.58875577178071</v>
      </c>
      <c r="F118" s="195">
        <v>655.58875577178071</v>
      </c>
      <c r="G118" s="186"/>
    </row>
    <row r="119" spans="2:7">
      <c r="B119" s="190" t="s">
        <v>21</v>
      </c>
      <c r="C119" s="190" t="s">
        <v>27</v>
      </c>
      <c r="D119" s="194">
        <v>5.0504008912671868E-3</v>
      </c>
      <c r="E119" s="194">
        <v>1.4440001185169191E-3</v>
      </c>
      <c r="F119" s="194">
        <v>1.4440001185169191E-3</v>
      </c>
      <c r="G119" s="186"/>
    </row>
    <row r="120" spans="2:7">
      <c r="B120" s="190" t="s">
        <v>22</v>
      </c>
      <c r="C120" s="190" t="s">
        <v>27</v>
      </c>
      <c r="D120" s="194">
        <v>0.03</v>
      </c>
      <c r="E120" s="194">
        <v>0.03</v>
      </c>
      <c r="F120" s="194">
        <v>0.03</v>
      </c>
      <c r="G120" s="186"/>
    </row>
    <row r="121" spans="2:7">
      <c r="B121" s="190" t="s">
        <v>23</v>
      </c>
      <c r="C121" s="190" t="s">
        <v>27</v>
      </c>
      <c r="D121" s="194">
        <v>4.1494700067367021E-3</v>
      </c>
      <c r="E121" s="194">
        <v>4.1494700067367021E-3</v>
      </c>
      <c r="F121" s="194">
        <v>4.1494700067367021E-3</v>
      </c>
      <c r="G121" s="186"/>
    </row>
    <row r="122" spans="2:7">
      <c r="B122" s="190" t="s">
        <v>36</v>
      </c>
      <c r="C122" s="190" t="s">
        <v>27</v>
      </c>
      <c r="D122" s="194">
        <v>3.0910056720682086</v>
      </c>
      <c r="E122" s="194">
        <v>0.32288900537483423</v>
      </c>
      <c r="F122" s="194">
        <v>0.32288900537483423</v>
      </c>
      <c r="G122" s="186"/>
    </row>
    <row r="123" spans="2:7">
      <c r="B123" s="188" t="s">
        <v>182</v>
      </c>
      <c r="C123" s="188" t="s">
        <v>27</v>
      </c>
      <c r="D123" s="193">
        <v>2.9217831256442596E-2</v>
      </c>
      <c r="E123" s="193">
        <v>3.1950590578480559E-3</v>
      </c>
      <c r="F123" s="193">
        <v>3.1950590578480559E-3</v>
      </c>
      <c r="G123" s="186"/>
    </row>
    <row r="124" spans="2:7">
      <c r="B124" s="190" t="s">
        <v>20</v>
      </c>
      <c r="C124" s="190" t="s">
        <v>130</v>
      </c>
      <c r="D124" s="192">
        <f t="shared" ref="D124:F129" si="3">1000*D118/D$117</f>
        <v>74000</v>
      </c>
      <c r="E124" s="192">
        <f t="shared" si="3"/>
        <v>74000</v>
      </c>
      <c r="F124" s="192">
        <f t="shared" si="3"/>
        <v>74000</v>
      </c>
      <c r="G124" s="186"/>
    </row>
    <row r="125" spans="2:7">
      <c r="B125" s="190" t="s">
        <v>21</v>
      </c>
      <c r="C125" s="190" t="s">
        <v>130</v>
      </c>
      <c r="D125" s="191">
        <f t="shared" si="3"/>
        <v>0.57006722989598102</v>
      </c>
      <c r="E125" s="191">
        <f t="shared" si="3"/>
        <v>0.16299243669067753</v>
      </c>
      <c r="F125" s="191">
        <f t="shared" si="3"/>
        <v>0.16299243669067753</v>
      </c>
      <c r="G125" s="186"/>
    </row>
    <row r="126" spans="2:7">
      <c r="B126" s="190" t="s">
        <v>22</v>
      </c>
      <c r="C126" s="190" t="s">
        <v>130</v>
      </c>
      <c r="D126" s="191">
        <f t="shared" si="3"/>
        <v>3.3862691824031406</v>
      </c>
      <c r="E126" s="191">
        <f t="shared" si="3"/>
        <v>3.3862691824031406</v>
      </c>
      <c r="F126" s="191">
        <f t="shared" si="3"/>
        <v>3.3862691824031406</v>
      </c>
      <c r="G126" s="186"/>
    </row>
    <row r="127" spans="2:7">
      <c r="B127" s="190" t="s">
        <v>23</v>
      </c>
      <c r="C127" s="190" t="s">
        <v>130</v>
      </c>
      <c r="D127" s="191">
        <f t="shared" si="3"/>
        <v>0.46837408023728822</v>
      </c>
      <c r="E127" s="191">
        <f t="shared" si="3"/>
        <v>0.46837408023728822</v>
      </c>
      <c r="F127" s="191">
        <f t="shared" si="3"/>
        <v>0.46837408023728822</v>
      </c>
      <c r="G127" s="186"/>
    </row>
    <row r="128" spans="2:7">
      <c r="B128" s="190" t="s">
        <v>36</v>
      </c>
      <c r="C128" s="190" t="s">
        <v>130</v>
      </c>
      <c r="D128" s="189">
        <f t="shared" si="3"/>
        <v>348.89924166526276</v>
      </c>
      <c r="E128" s="189">
        <f t="shared" si="3"/>
        <v>36.446302941253435</v>
      </c>
      <c r="F128" s="189">
        <f t="shared" si="3"/>
        <v>36.446302941253435</v>
      </c>
      <c r="G128" s="186"/>
    </row>
    <row r="129" spans="2:7">
      <c r="B129" s="188" t="s">
        <v>182</v>
      </c>
      <c r="C129" s="188" t="s">
        <v>130</v>
      </c>
      <c r="D129" s="187">
        <f t="shared" si="3"/>
        <v>3.2979813853448934</v>
      </c>
      <c r="E129" s="187">
        <f t="shared" si="3"/>
        <v>0.36064433411829616</v>
      </c>
      <c r="F129" s="187">
        <f t="shared" si="3"/>
        <v>0.36064433411829616</v>
      </c>
      <c r="G129" s="186"/>
    </row>
    <row r="130" spans="2:7">
      <c r="B130" s="186" t="s">
        <v>181</v>
      </c>
      <c r="C130" s="186"/>
      <c r="D130" s="186"/>
      <c r="E130" s="186"/>
      <c r="F130" s="186"/>
      <c r="G130" s="18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53EBD-4A8F-4710-A127-93E5DEF6BE55}">
  <sheetPr>
    <tabColor rgb="FF002060"/>
  </sheetPr>
  <dimension ref="B1:U130"/>
  <sheetViews>
    <sheetView topLeftCell="A11" zoomScale="70" zoomScaleNormal="70" workbookViewId="0">
      <selection activeCell="AB59" sqref="AB59"/>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1" width="9" style="40" customWidth="1"/>
    <col min="12" max="12" width="10.85546875" style="40" customWidth="1"/>
    <col min="13" max="13" width="29.7109375" style="40" customWidth="1"/>
    <col min="14" max="14" width="15.42578125" style="40" customWidth="1"/>
    <col min="15" max="15" width="10.7109375" style="40" customWidth="1"/>
    <col min="16" max="16" width="12.28515625" style="40" customWidth="1"/>
    <col min="17" max="18" width="8.85546875" style="40"/>
    <col min="19" max="19" width="9.140625" style="40" customWidth="1"/>
    <col min="20" max="16384" width="8.85546875" style="40"/>
  </cols>
  <sheetData>
    <row r="1" spans="2:19" s="37" customFormat="1" ht="21">
      <c r="B1" s="37" t="s">
        <v>33</v>
      </c>
      <c r="Q1" s="37">
        <v>0</v>
      </c>
      <c r="R1" s="39">
        <v>0</v>
      </c>
      <c r="S1" s="38"/>
    </row>
    <row r="2" spans="2:19">
      <c r="R2" s="133"/>
      <c r="S2" s="133"/>
    </row>
    <row r="4" spans="2:19" ht="13.5" thickBot="1">
      <c r="B4" s="129" t="s">
        <v>65</v>
      </c>
    </row>
    <row r="5" spans="2:19">
      <c r="B5" s="132" t="s">
        <v>66</v>
      </c>
      <c r="C5" s="60"/>
      <c r="D5" s="60"/>
      <c r="E5" s="60"/>
      <c r="F5" s="60"/>
      <c r="G5" s="60"/>
      <c r="H5" s="60"/>
      <c r="I5" s="60"/>
      <c r="J5" s="60"/>
      <c r="K5" s="60"/>
      <c r="L5" s="60"/>
      <c r="M5" s="60"/>
      <c r="N5" s="60"/>
      <c r="O5" s="58"/>
    </row>
    <row r="6" spans="2:19">
      <c r="B6" s="108" t="s">
        <v>137</v>
      </c>
      <c r="C6" s="52"/>
      <c r="D6" s="52"/>
      <c r="E6" s="52"/>
      <c r="F6" s="52"/>
      <c r="G6" s="52"/>
      <c r="H6" s="52"/>
      <c r="I6" s="52"/>
      <c r="J6" s="52"/>
      <c r="K6" s="52"/>
      <c r="L6" s="52"/>
      <c r="M6" s="52"/>
      <c r="N6" s="52"/>
      <c r="O6" s="49"/>
    </row>
    <row r="7" spans="2:19">
      <c r="B7" s="108"/>
      <c r="C7" s="52"/>
      <c r="D7" s="52"/>
      <c r="E7" s="52"/>
      <c r="F7" s="52"/>
      <c r="G7" s="52"/>
      <c r="H7" s="52"/>
      <c r="I7" s="52"/>
      <c r="J7" s="52"/>
      <c r="K7" s="52"/>
      <c r="L7" s="52"/>
      <c r="M7" s="52"/>
      <c r="N7" s="52"/>
      <c r="O7" s="49"/>
    </row>
    <row r="8" spans="2:19">
      <c r="B8" s="108"/>
      <c r="C8" s="52"/>
      <c r="D8" s="52"/>
      <c r="E8" s="52"/>
      <c r="F8" s="52"/>
      <c r="G8" s="52"/>
      <c r="H8" s="52"/>
      <c r="I8" s="52"/>
      <c r="J8" s="52"/>
      <c r="K8" s="52"/>
      <c r="L8" s="52"/>
      <c r="M8" s="52"/>
      <c r="N8" s="52"/>
      <c r="O8" s="49"/>
    </row>
    <row r="9" spans="2:19">
      <c r="B9" s="131" t="s">
        <v>147</v>
      </c>
      <c r="C9" s="410" t="s">
        <v>146</v>
      </c>
      <c r="D9" s="52"/>
      <c r="E9" s="52"/>
      <c r="F9" s="52"/>
      <c r="G9" s="52"/>
      <c r="H9" s="52"/>
      <c r="I9" s="52"/>
      <c r="J9" s="52"/>
      <c r="K9" s="52"/>
      <c r="L9" s="52"/>
      <c r="M9" s="52"/>
      <c r="N9" s="52"/>
      <c r="O9" s="49"/>
    </row>
    <row r="10" spans="2:19">
      <c r="B10" s="108"/>
      <c r="C10" s="52"/>
      <c r="D10" s="52"/>
      <c r="E10" s="52"/>
      <c r="F10" s="52"/>
      <c r="G10" s="52"/>
      <c r="H10" s="52"/>
      <c r="I10" s="52"/>
      <c r="J10" s="52"/>
      <c r="K10" s="52"/>
      <c r="L10" s="52"/>
      <c r="M10" s="52"/>
      <c r="N10" s="52"/>
      <c r="O10" s="49"/>
    </row>
    <row r="11" spans="2:19">
      <c r="B11" s="130" t="s">
        <v>67</v>
      </c>
      <c r="C11" s="52"/>
      <c r="D11" s="52"/>
      <c r="E11" s="52"/>
      <c r="F11" s="52"/>
      <c r="G11" s="52"/>
      <c r="H11" s="52"/>
      <c r="I11" s="52"/>
      <c r="J11" s="52"/>
      <c r="K11" s="52"/>
      <c r="L11" s="52"/>
      <c r="M11" s="52"/>
      <c r="N11" s="52"/>
      <c r="O11" s="49"/>
    </row>
    <row r="12" spans="2:19">
      <c r="B12" s="108"/>
      <c r="C12" s="52"/>
      <c r="D12" s="52"/>
      <c r="E12" s="52"/>
      <c r="F12" s="52"/>
      <c r="G12" s="52"/>
      <c r="H12" s="52"/>
      <c r="I12" s="52"/>
      <c r="J12" s="52"/>
      <c r="K12" s="52"/>
      <c r="L12" s="52"/>
      <c r="M12" s="52"/>
      <c r="N12" s="52"/>
      <c r="O12" s="49"/>
    </row>
    <row r="13" spans="2:19">
      <c r="B13" s="108"/>
      <c r="C13" s="52"/>
      <c r="D13" s="52"/>
      <c r="E13" s="52"/>
      <c r="F13" s="52"/>
      <c r="G13" s="52"/>
      <c r="H13" s="52"/>
      <c r="I13" s="52"/>
      <c r="J13" s="52"/>
      <c r="K13" s="52"/>
      <c r="L13" s="52"/>
      <c r="M13" s="52"/>
      <c r="N13" s="52"/>
      <c r="O13" s="49"/>
    </row>
    <row r="14" spans="2:19">
      <c r="B14" s="130" t="s">
        <v>68</v>
      </c>
      <c r="C14" s="52"/>
      <c r="D14" s="52"/>
      <c r="E14" s="52"/>
      <c r="F14" s="52"/>
      <c r="G14" s="52"/>
      <c r="H14" s="52"/>
      <c r="I14" s="52"/>
      <c r="J14" s="52"/>
      <c r="K14" s="52"/>
      <c r="L14" s="52"/>
      <c r="M14" s="52"/>
      <c r="N14" s="52"/>
      <c r="O14" s="49"/>
    </row>
    <row r="15" spans="2:19">
      <c r="B15" s="108"/>
      <c r="C15" s="52"/>
      <c r="D15" s="52"/>
      <c r="E15" s="52"/>
      <c r="F15" s="52"/>
      <c r="G15" s="52"/>
      <c r="H15" s="52"/>
      <c r="I15" s="52"/>
      <c r="J15" s="52"/>
      <c r="K15" s="52"/>
      <c r="L15" s="52"/>
      <c r="M15" s="52"/>
      <c r="N15" s="52"/>
      <c r="O15" s="49"/>
    </row>
    <row r="16" spans="2:19">
      <c r="B16" s="103"/>
      <c r="C16" s="52"/>
      <c r="D16" s="52"/>
      <c r="E16" s="52"/>
      <c r="F16" s="52"/>
      <c r="G16" s="52"/>
      <c r="H16" s="52"/>
      <c r="I16" s="52"/>
      <c r="J16" s="52"/>
      <c r="K16" s="52"/>
      <c r="L16" s="52"/>
      <c r="M16" s="52"/>
      <c r="N16" s="52"/>
      <c r="O16" s="49"/>
    </row>
    <row r="17" spans="2:21" ht="13.5" thickBot="1">
      <c r="B17" s="411"/>
      <c r="C17" s="412"/>
      <c r="D17" s="412"/>
      <c r="E17" s="412"/>
      <c r="F17" s="412"/>
      <c r="G17" s="412"/>
      <c r="H17" s="412"/>
      <c r="I17" s="412"/>
      <c r="J17" s="412"/>
      <c r="K17" s="412"/>
      <c r="L17" s="412"/>
      <c r="M17" s="412"/>
      <c r="N17" s="412"/>
      <c r="O17" s="413"/>
    </row>
    <row r="18" spans="2:21" ht="19.5">
      <c r="M18" s="414" t="s">
        <v>459</v>
      </c>
    </row>
    <row r="19" spans="2:21" ht="13.5" thickBot="1">
      <c r="B19" s="129" t="s">
        <v>69</v>
      </c>
      <c r="E19" s="128"/>
      <c r="F19" s="128"/>
      <c r="G19" s="128"/>
      <c r="M19" s="415" t="s">
        <v>69</v>
      </c>
      <c r="N19" s="416"/>
      <c r="O19" s="416"/>
      <c r="P19" s="417"/>
      <c r="Q19" s="417"/>
      <c r="R19" s="417"/>
      <c r="S19" s="416"/>
      <c r="T19" s="416"/>
      <c r="U19" s="416"/>
    </row>
    <row r="20" spans="2:21">
      <c r="B20" s="63"/>
      <c r="C20" s="85"/>
      <c r="D20" s="141"/>
      <c r="E20" s="60"/>
      <c r="F20" s="60"/>
      <c r="G20" s="60"/>
      <c r="H20" s="60"/>
      <c r="I20" s="60" t="s">
        <v>70</v>
      </c>
      <c r="J20" s="58" t="s">
        <v>71</v>
      </c>
      <c r="M20" s="418"/>
      <c r="N20" s="419"/>
      <c r="O20" s="420"/>
      <c r="P20" s="421"/>
      <c r="Q20" s="421"/>
      <c r="R20" s="421"/>
      <c r="S20" s="421"/>
      <c r="T20" s="421" t="s">
        <v>70</v>
      </c>
      <c r="U20" s="422" t="s">
        <v>71</v>
      </c>
    </row>
    <row r="21" spans="2:21">
      <c r="B21" s="84"/>
      <c r="C21" s="83" t="s">
        <v>72</v>
      </c>
      <c r="D21" s="82">
        <v>2015</v>
      </c>
      <c r="E21" s="81">
        <v>2020</v>
      </c>
      <c r="F21" s="81">
        <v>2035</v>
      </c>
      <c r="G21" s="81">
        <v>2050</v>
      </c>
      <c r="H21" s="81" t="s">
        <v>73</v>
      </c>
      <c r="I21" s="127"/>
      <c r="J21" s="79"/>
      <c r="M21" s="423"/>
      <c r="N21" s="424" t="s">
        <v>72</v>
      </c>
      <c r="O21" s="425">
        <v>2015</v>
      </c>
      <c r="P21" s="426">
        <v>2020</v>
      </c>
      <c r="Q21" s="426">
        <v>2035</v>
      </c>
      <c r="R21" s="426">
        <v>2050</v>
      </c>
      <c r="S21" s="426" t="s">
        <v>73</v>
      </c>
      <c r="T21" s="427"/>
      <c r="U21" s="428"/>
    </row>
    <row r="22" spans="2:21">
      <c r="B22" s="103" t="s">
        <v>74</v>
      </c>
      <c r="C22" s="93"/>
      <c r="D22" s="147"/>
      <c r="E22" s="126"/>
      <c r="F22" s="126"/>
      <c r="G22" s="126"/>
      <c r="H22" s="126"/>
      <c r="I22" s="52"/>
      <c r="J22" s="49"/>
      <c r="M22" s="429" t="s">
        <v>74</v>
      </c>
      <c r="N22" s="430"/>
      <c r="O22" s="431"/>
      <c r="P22" s="432"/>
      <c r="Q22" s="432"/>
      <c r="R22" s="432"/>
      <c r="S22" s="432"/>
      <c r="T22" s="433"/>
      <c r="U22" s="434"/>
    </row>
    <row r="23" spans="2:21">
      <c r="B23" s="120" t="s">
        <v>75</v>
      </c>
      <c r="C23" s="93" t="s">
        <v>106</v>
      </c>
      <c r="D23" s="225">
        <f>D79</f>
        <v>0.19</v>
      </c>
      <c r="E23" s="224">
        <f>E79</f>
        <v>0.2</v>
      </c>
      <c r="F23" s="224">
        <f>F79</f>
        <v>0.22</v>
      </c>
      <c r="G23" s="224">
        <f>G79</f>
        <v>0.24</v>
      </c>
      <c r="H23" s="122"/>
      <c r="I23" s="152"/>
      <c r="J23" s="49"/>
      <c r="K23" s="209"/>
      <c r="M23" s="435" t="s">
        <v>75</v>
      </c>
      <c r="N23" s="430" t="s">
        <v>106</v>
      </c>
      <c r="O23" s="436">
        <v>0.19</v>
      </c>
      <c r="P23" s="437">
        <v>0.2</v>
      </c>
      <c r="Q23" s="437">
        <v>0.22</v>
      </c>
      <c r="R23" s="437">
        <v>0.24</v>
      </c>
      <c r="S23" s="438"/>
      <c r="T23" s="439"/>
      <c r="U23" s="434"/>
    </row>
    <row r="24" spans="2:21">
      <c r="B24" s="120" t="s">
        <v>76</v>
      </c>
      <c r="C24" s="93" t="s">
        <v>106</v>
      </c>
      <c r="D24" s="119">
        <f>D23</f>
        <v>0.19</v>
      </c>
      <c r="E24" s="118">
        <f>E23</f>
        <v>0.2</v>
      </c>
      <c r="F24" s="118">
        <f>F23</f>
        <v>0.22</v>
      </c>
      <c r="G24" s="118">
        <f>G23</f>
        <v>0.24</v>
      </c>
      <c r="H24" s="122"/>
      <c r="I24" s="152"/>
      <c r="J24" s="49"/>
      <c r="K24" s="209"/>
      <c r="M24" s="435" t="s">
        <v>76</v>
      </c>
      <c r="N24" s="430" t="s">
        <v>106</v>
      </c>
      <c r="O24" s="440">
        <v>0.19</v>
      </c>
      <c r="P24" s="441">
        <v>0.2</v>
      </c>
      <c r="Q24" s="441">
        <v>0.22</v>
      </c>
      <c r="R24" s="441">
        <v>0.24</v>
      </c>
      <c r="S24" s="438"/>
      <c r="T24" s="439"/>
      <c r="U24" s="434"/>
    </row>
    <row r="25" spans="2:21">
      <c r="B25" s="120" t="s">
        <v>77</v>
      </c>
      <c r="C25" s="93" t="s">
        <v>78</v>
      </c>
      <c r="D25" s="169">
        <f>D93*'[9]EU varebil el'!D25/'[9]EU varebil diesel'!D25</f>
        <v>5.109977650337199</v>
      </c>
      <c r="E25" s="169">
        <f>E93*'[9]EU varebil el'!E25/'[9]EU varebil diesel'!E25</f>
        <v>4.6056069783784297</v>
      </c>
      <c r="F25" s="169">
        <f>F93*'[9]EU varebil el'!F25/'[9]EU varebil diesel'!F25</f>
        <v>4.1283931605379749</v>
      </c>
      <c r="G25" s="169">
        <f>G93*'[9]EU varebil el'!G25/'[9]EU varebil diesel'!G25</f>
        <v>3.7147104254770293</v>
      </c>
      <c r="H25" s="117"/>
      <c r="I25" s="74" t="s">
        <v>240</v>
      </c>
      <c r="J25" s="49"/>
      <c r="K25" s="209"/>
      <c r="M25" s="435" t="s">
        <v>77</v>
      </c>
      <c r="N25" s="430" t="s">
        <v>78</v>
      </c>
      <c r="O25" s="442">
        <v>6.4285714285714297</v>
      </c>
      <c r="P25" s="443">
        <v>6.4285714285714297</v>
      </c>
      <c r="Q25" s="443">
        <v>5.8974321626564397</v>
      </c>
      <c r="R25" s="443">
        <v>5.4083283087707121</v>
      </c>
      <c r="S25" s="444"/>
      <c r="T25" s="445" t="s">
        <v>460</v>
      </c>
      <c r="U25" s="434"/>
    </row>
    <row r="26" spans="2:21">
      <c r="B26" s="120" t="s">
        <v>79</v>
      </c>
      <c r="C26" s="93" t="s">
        <v>78</v>
      </c>
      <c r="D26" s="119"/>
      <c r="E26" s="118"/>
      <c r="F26" s="118"/>
      <c r="G26" s="118"/>
      <c r="H26" s="117"/>
      <c r="I26" s="74"/>
      <c r="J26" s="49"/>
      <c r="K26" s="209"/>
      <c r="M26" s="435" t="s">
        <v>79</v>
      </c>
      <c r="N26" s="430" t="s">
        <v>78</v>
      </c>
      <c r="O26" s="440"/>
      <c r="P26" s="441"/>
      <c r="Q26" s="441"/>
      <c r="R26" s="441"/>
      <c r="S26" s="444"/>
      <c r="T26" s="445"/>
      <c r="U26" s="434"/>
    </row>
    <row r="27" spans="2:21">
      <c r="B27" s="108" t="s">
        <v>80</v>
      </c>
      <c r="C27" s="93" t="s">
        <v>81</v>
      </c>
      <c r="D27" s="115">
        <f>D87</f>
        <v>3.9749999999999996</v>
      </c>
      <c r="E27" s="115">
        <f t="shared" ref="E27:G27" si="0">E87</f>
        <v>6</v>
      </c>
      <c r="F27" s="115">
        <f t="shared" si="0"/>
        <v>6</v>
      </c>
      <c r="G27" s="115">
        <f t="shared" si="0"/>
        <v>6</v>
      </c>
      <c r="H27" s="100"/>
      <c r="I27" s="74" t="s">
        <v>217</v>
      </c>
      <c r="J27" s="49"/>
      <c r="K27" s="209"/>
      <c r="M27" s="446" t="s">
        <v>80</v>
      </c>
      <c r="N27" s="430" t="s">
        <v>81</v>
      </c>
      <c r="O27" s="447">
        <v>3.9749999999999996</v>
      </c>
      <c r="P27" s="447">
        <v>6</v>
      </c>
      <c r="Q27" s="447">
        <v>6</v>
      </c>
      <c r="R27" s="447">
        <v>6</v>
      </c>
      <c r="S27" s="448"/>
      <c r="T27" s="445" t="s">
        <v>217</v>
      </c>
      <c r="U27" s="434"/>
    </row>
    <row r="28" spans="2:21">
      <c r="B28" s="108" t="s">
        <v>82</v>
      </c>
      <c r="C28" s="93" t="s">
        <v>83</v>
      </c>
      <c r="D28" s="146">
        <f>+D75*D76/1000</f>
        <v>126.63500000000002</v>
      </c>
      <c r="E28" s="114">
        <f>+E75*E76/1000</f>
        <v>120.90000000000002</v>
      </c>
      <c r="F28" s="114">
        <f>+F75*F76/1000</f>
        <v>115.17000000000002</v>
      </c>
      <c r="G28" s="114">
        <f>+G75*G76/1000</f>
        <v>113.03999999999999</v>
      </c>
      <c r="H28" s="113"/>
      <c r="I28" s="74"/>
      <c r="J28" s="49"/>
      <c r="K28" s="209"/>
      <c r="M28" s="446" t="s">
        <v>82</v>
      </c>
      <c r="N28" s="430" t="s">
        <v>83</v>
      </c>
      <c r="O28" s="449">
        <v>126.63500000000002</v>
      </c>
      <c r="P28" s="450">
        <v>120.90000000000002</v>
      </c>
      <c r="Q28" s="450">
        <v>115.17000000000002</v>
      </c>
      <c r="R28" s="450">
        <v>113.03999999999999</v>
      </c>
      <c r="S28" s="450"/>
      <c r="T28" s="445"/>
      <c r="U28" s="434"/>
    </row>
    <row r="29" spans="2:21">
      <c r="B29" s="53"/>
      <c r="C29" s="112"/>
      <c r="D29" s="109"/>
      <c r="E29" s="73"/>
      <c r="F29" s="73"/>
      <c r="G29" s="73"/>
      <c r="H29" s="73"/>
      <c r="I29" s="54"/>
      <c r="J29" s="49"/>
      <c r="K29" s="209"/>
      <c r="M29" s="451"/>
      <c r="N29" s="452"/>
      <c r="O29" s="453"/>
      <c r="P29" s="454"/>
      <c r="Q29" s="454"/>
      <c r="R29" s="454"/>
      <c r="S29" s="454"/>
      <c r="T29" s="433"/>
      <c r="U29" s="434"/>
    </row>
    <row r="30" spans="2:21">
      <c r="B30" s="103" t="s">
        <v>84</v>
      </c>
      <c r="C30" s="93"/>
      <c r="D30" s="109"/>
      <c r="E30" s="73"/>
      <c r="F30" s="73"/>
      <c r="G30" s="73"/>
      <c r="H30" s="73"/>
      <c r="I30" s="54"/>
      <c r="J30" s="49"/>
      <c r="K30" s="209"/>
      <c r="M30" s="429" t="s">
        <v>84</v>
      </c>
      <c r="N30" s="430"/>
      <c r="O30" s="453"/>
      <c r="P30" s="454"/>
      <c r="Q30" s="454"/>
      <c r="R30" s="454"/>
      <c r="S30" s="454"/>
      <c r="T30" s="433"/>
      <c r="U30" s="434"/>
    </row>
    <row r="31" spans="2:21">
      <c r="B31" s="108" t="s">
        <v>85</v>
      </c>
      <c r="C31" s="93" t="s">
        <v>15</v>
      </c>
      <c r="D31" s="111">
        <f>D39+D84</f>
        <v>1947026.9924355205</v>
      </c>
      <c r="E31" s="111">
        <f>E39+E84</f>
        <v>1278834.6587071386</v>
      </c>
      <c r="F31" s="111">
        <f>F39+F84</f>
        <v>1055693.5013576373</v>
      </c>
      <c r="G31" s="111">
        <f>G39+G84</f>
        <v>1028057.196418149</v>
      </c>
      <c r="H31" s="110">
        <v>2015</v>
      </c>
      <c r="I31" s="54"/>
      <c r="J31" s="49" t="s">
        <v>239</v>
      </c>
      <c r="M31" s="446" t="s">
        <v>85</v>
      </c>
      <c r="N31" s="430" t="s">
        <v>15</v>
      </c>
      <c r="O31" s="455">
        <v>2248197.4741447135</v>
      </c>
      <c r="P31" s="456">
        <v>1170000</v>
      </c>
      <c r="Q31" s="456">
        <v>867552.6605488935</v>
      </c>
      <c r="R31" s="456">
        <v>834877.80586569419</v>
      </c>
      <c r="S31" s="445">
        <v>2015</v>
      </c>
      <c r="T31" s="433"/>
      <c r="U31" s="434" t="s">
        <v>461</v>
      </c>
    </row>
    <row r="32" spans="2:21">
      <c r="B32" s="53" t="s">
        <v>16</v>
      </c>
      <c r="C32" s="93" t="s">
        <v>17</v>
      </c>
      <c r="D32" s="111">
        <v>2492.6013469287059</v>
      </c>
      <c r="E32" s="111">
        <v>2610.8401287701954</v>
      </c>
      <c r="F32" s="111">
        <v>2740.736055989551</v>
      </c>
      <c r="G32" s="111">
        <v>2792.3794370870196</v>
      </c>
      <c r="H32" s="110">
        <v>2015</v>
      </c>
      <c r="I32" s="54"/>
      <c r="J32" s="49"/>
      <c r="M32" s="446" t="s">
        <v>462</v>
      </c>
      <c r="N32" s="430" t="s">
        <v>15</v>
      </c>
      <c r="O32" s="456"/>
      <c r="P32" s="456">
        <f>P42+P72</f>
        <v>1940608.1884304276</v>
      </c>
      <c r="Q32" s="456">
        <f>Q42+Q72</f>
        <v>1205819.5589079959</v>
      </c>
      <c r="R32" s="456"/>
      <c r="S32" s="456"/>
      <c r="T32" s="433"/>
      <c r="U32" s="434"/>
    </row>
    <row r="33" spans="2:21">
      <c r="B33" s="104" t="s">
        <v>18</v>
      </c>
      <c r="C33" s="93" t="s">
        <v>17</v>
      </c>
      <c r="D33" s="111">
        <v>1213.3511438994574</v>
      </c>
      <c r="E33" s="111">
        <v>1270.9075443152008</v>
      </c>
      <c r="F33" s="111">
        <v>1334.1384223991297</v>
      </c>
      <c r="G33" s="111">
        <v>1359.2774425664172</v>
      </c>
      <c r="H33" s="110">
        <v>2015</v>
      </c>
      <c r="I33" s="54"/>
      <c r="J33" s="49"/>
      <c r="M33" s="446" t="s">
        <v>463</v>
      </c>
      <c r="N33" s="430" t="s">
        <v>15</v>
      </c>
      <c r="O33" s="456"/>
      <c r="P33" s="456">
        <f>P42+P73</f>
        <v>1940608.1884304276</v>
      </c>
      <c r="Q33" s="456">
        <f>Q42+Q73</f>
        <v>1579225.3053401927</v>
      </c>
      <c r="R33" s="433"/>
      <c r="S33" s="433"/>
      <c r="T33" s="433"/>
      <c r="U33" s="434"/>
    </row>
    <row r="34" spans="2:21">
      <c r="B34" s="104" t="s">
        <v>19</v>
      </c>
      <c r="C34" s="93" t="s">
        <v>17</v>
      </c>
      <c r="D34" s="111">
        <v>1279.2502030292483</v>
      </c>
      <c r="E34" s="111">
        <v>1339.9325844549946</v>
      </c>
      <c r="F34" s="111">
        <v>1406.5976335904218</v>
      </c>
      <c r="G34" s="111">
        <v>1433.1019945206024</v>
      </c>
      <c r="H34" s="110">
        <v>2015</v>
      </c>
      <c r="I34" s="54"/>
      <c r="J34" s="49"/>
      <c r="M34" s="446" t="s">
        <v>464</v>
      </c>
      <c r="N34" s="430" t="s">
        <v>15</v>
      </c>
      <c r="O34" s="433"/>
      <c r="P34" s="456">
        <f>P42+P74</f>
        <v>1940608.1884304276</v>
      </c>
      <c r="Q34" s="456">
        <f>Q42+Q74</f>
        <v>1392522.4321240946</v>
      </c>
      <c r="R34" s="456"/>
      <c r="S34" s="456"/>
      <c r="T34" s="456"/>
      <c r="U34" s="434"/>
    </row>
    <row r="35" spans="2:21">
      <c r="B35" s="104"/>
      <c r="C35" s="93"/>
      <c r="D35" s="111"/>
      <c r="E35" s="111"/>
      <c r="F35" s="111"/>
      <c r="G35" s="111"/>
      <c r="H35" s="110"/>
      <c r="I35" s="54"/>
      <c r="J35" s="49"/>
      <c r="M35" s="451" t="s">
        <v>16</v>
      </c>
      <c r="N35" s="430" t="s">
        <v>17</v>
      </c>
      <c r="O35" s="455">
        <v>2492.6013469287059</v>
      </c>
      <c r="P35" s="456">
        <v>2610.8401287701954</v>
      </c>
      <c r="Q35" s="456">
        <v>2740.736055989551</v>
      </c>
      <c r="R35" s="456">
        <v>2792.3794370870196</v>
      </c>
      <c r="S35" s="445">
        <v>2015</v>
      </c>
      <c r="T35" s="433"/>
      <c r="U35" s="434"/>
    </row>
    <row r="36" spans="2:21">
      <c r="B36" s="104" t="s">
        <v>86</v>
      </c>
      <c r="C36" s="93" t="s">
        <v>17</v>
      </c>
      <c r="D36" s="111">
        <v>0</v>
      </c>
      <c r="E36" s="111">
        <v>0</v>
      </c>
      <c r="F36" s="111">
        <v>0</v>
      </c>
      <c r="G36" s="111">
        <v>0</v>
      </c>
      <c r="H36" s="110">
        <v>2015</v>
      </c>
      <c r="I36" s="54"/>
      <c r="J36" s="49"/>
      <c r="M36" s="457" t="s">
        <v>18</v>
      </c>
      <c r="N36" s="430" t="s">
        <v>17</v>
      </c>
      <c r="O36" s="455">
        <v>1213.3511438994574</v>
      </c>
      <c r="P36" s="456">
        <v>1270.9075443152008</v>
      </c>
      <c r="Q36" s="456">
        <v>1334.1384223991297</v>
      </c>
      <c r="R36" s="456">
        <v>1359.2774425664172</v>
      </c>
      <c r="S36" s="445">
        <v>2015</v>
      </c>
      <c r="T36" s="433"/>
      <c r="U36" s="434"/>
    </row>
    <row r="37" spans="2:21">
      <c r="B37" s="104"/>
      <c r="C37" s="93"/>
      <c r="D37" s="111"/>
      <c r="E37" s="111"/>
      <c r="F37" s="111"/>
      <c r="G37" s="111"/>
      <c r="H37" s="110"/>
      <c r="I37" s="54"/>
      <c r="J37" s="49"/>
      <c r="M37" s="457" t="s">
        <v>19</v>
      </c>
      <c r="N37" s="430" t="s">
        <v>17</v>
      </c>
      <c r="O37" s="455">
        <v>1279.2502030292483</v>
      </c>
      <c r="P37" s="456">
        <v>1339.9325844549946</v>
      </c>
      <c r="Q37" s="456">
        <v>1406.5976335904218</v>
      </c>
      <c r="R37" s="456">
        <v>1433.1019945206024</v>
      </c>
      <c r="S37" s="445">
        <v>2015</v>
      </c>
      <c r="T37" s="433"/>
      <c r="U37" s="434"/>
    </row>
    <row r="38" spans="2:21">
      <c r="B38" s="103" t="s">
        <v>84</v>
      </c>
      <c r="C38" s="93"/>
      <c r="D38" s="109"/>
      <c r="E38" s="73"/>
      <c r="F38" s="73"/>
      <c r="G38" s="73"/>
      <c r="H38" s="73"/>
      <c r="I38" s="54"/>
      <c r="J38" s="49"/>
      <c r="K38" s="209"/>
      <c r="M38" s="457"/>
      <c r="N38" s="430"/>
      <c r="O38" s="456"/>
      <c r="P38" s="456"/>
      <c r="Q38" s="456"/>
      <c r="R38" s="456"/>
      <c r="S38" s="445"/>
      <c r="T38" s="433"/>
      <c r="U38" s="434"/>
    </row>
    <row r="39" spans="2:21">
      <c r="B39" s="108" t="s">
        <v>85</v>
      </c>
      <c r="C39" s="93" t="s">
        <v>15</v>
      </c>
      <c r="D39" s="111">
        <v>779893.90271614201</v>
      </c>
      <c r="E39" s="111">
        <v>779893.90271614201</v>
      </c>
      <c r="F39" s="111">
        <v>779893.90271614201</v>
      </c>
      <c r="G39" s="111">
        <v>779893.90271614201</v>
      </c>
      <c r="H39" s="110">
        <v>2015</v>
      </c>
      <c r="I39" s="54"/>
      <c r="J39" s="49"/>
      <c r="M39" s="457" t="s">
        <v>86</v>
      </c>
      <c r="N39" s="430" t="s">
        <v>17</v>
      </c>
      <c r="O39" s="456">
        <v>0</v>
      </c>
      <c r="P39" s="456">
        <v>0</v>
      </c>
      <c r="Q39" s="456">
        <v>0</v>
      </c>
      <c r="R39" s="456">
        <v>0</v>
      </c>
      <c r="S39" s="445">
        <v>2015</v>
      </c>
      <c r="T39" s="433"/>
      <c r="U39" s="434"/>
    </row>
    <row r="40" spans="2:21">
      <c r="B40" s="53" t="s">
        <v>16</v>
      </c>
      <c r="C40" s="93" t="s">
        <v>17</v>
      </c>
      <c r="D40" s="111">
        <v>2492.6013469287059</v>
      </c>
      <c r="E40" s="111">
        <v>2610.8401287701954</v>
      </c>
      <c r="F40" s="111">
        <v>2740.736055989551</v>
      </c>
      <c r="G40" s="111">
        <v>2792.3794370870196</v>
      </c>
      <c r="H40" s="110">
        <v>2015</v>
      </c>
      <c r="I40" s="54"/>
      <c r="J40" s="49"/>
      <c r="M40" s="457"/>
      <c r="N40" s="430"/>
      <c r="O40" s="456"/>
      <c r="P40" s="456"/>
      <c r="Q40" s="456"/>
      <c r="R40" s="456"/>
      <c r="S40" s="445"/>
      <c r="T40" s="433"/>
      <c r="U40" s="434"/>
    </row>
    <row r="41" spans="2:21">
      <c r="B41" s="104" t="s">
        <v>18</v>
      </c>
      <c r="C41" s="93" t="s">
        <v>17</v>
      </c>
      <c r="D41" s="111">
        <v>1213.3511438994574</v>
      </c>
      <c r="E41" s="111">
        <v>1270.9075443152008</v>
      </c>
      <c r="F41" s="111">
        <v>1334.1384223991297</v>
      </c>
      <c r="G41" s="111">
        <v>1359.2774425664172</v>
      </c>
      <c r="H41" s="110">
        <v>2015</v>
      </c>
      <c r="I41" s="54"/>
      <c r="J41" s="49"/>
      <c r="M41" s="429" t="s">
        <v>465</v>
      </c>
      <c r="N41" s="430"/>
      <c r="O41" s="453"/>
      <c r="P41" s="454"/>
      <c r="Q41" s="454"/>
      <c r="R41" s="454"/>
      <c r="S41" s="454"/>
      <c r="T41" s="433"/>
      <c r="U41" s="434"/>
    </row>
    <row r="42" spans="2:21">
      <c r="B42" s="104" t="s">
        <v>19</v>
      </c>
      <c r="C42" s="93" t="s">
        <v>17</v>
      </c>
      <c r="D42" s="111">
        <v>1279.2502030292483</v>
      </c>
      <c r="E42" s="111">
        <v>1339.9325844549946</v>
      </c>
      <c r="F42" s="111">
        <v>1406.5976335904218</v>
      </c>
      <c r="G42" s="111">
        <v>1433.1019945206024</v>
      </c>
      <c r="H42" s="110">
        <v>2015</v>
      </c>
      <c r="I42" s="54"/>
      <c r="J42" s="49"/>
      <c r="M42" s="446" t="s">
        <v>85</v>
      </c>
      <c r="N42" s="430" t="s">
        <v>15</v>
      </c>
      <c r="O42" s="456">
        <v>779893.90271614201</v>
      </c>
      <c r="P42" s="456">
        <v>779893.90271614201</v>
      </c>
      <c r="Q42" s="456">
        <v>779893.90271614201</v>
      </c>
      <c r="R42" s="456">
        <v>779893.90271614201</v>
      </c>
      <c r="S42" s="445">
        <v>2015</v>
      </c>
      <c r="T42" s="433"/>
      <c r="U42" s="434"/>
    </row>
    <row r="43" spans="2:21">
      <c r="B43" s="104"/>
      <c r="C43" s="93"/>
      <c r="D43" s="111"/>
      <c r="E43" s="111"/>
      <c r="F43" s="111"/>
      <c r="G43" s="111"/>
      <c r="H43" s="110"/>
      <c r="I43" s="54"/>
      <c r="J43" s="49"/>
      <c r="M43" s="451" t="s">
        <v>16</v>
      </c>
      <c r="N43" s="430" t="s">
        <v>17</v>
      </c>
      <c r="O43" s="456">
        <v>2492.6013469287059</v>
      </c>
      <c r="P43" s="456">
        <v>2610.8401287701954</v>
      </c>
      <c r="Q43" s="456">
        <v>2740.736055989551</v>
      </c>
      <c r="R43" s="456">
        <v>2792.3794370870196</v>
      </c>
      <c r="S43" s="445">
        <v>2015</v>
      </c>
      <c r="T43" s="433"/>
      <c r="U43" s="434"/>
    </row>
    <row r="44" spans="2:21">
      <c r="B44" s="104" t="s">
        <v>86</v>
      </c>
      <c r="C44" s="93" t="s">
        <v>17</v>
      </c>
      <c r="D44" s="111">
        <v>0</v>
      </c>
      <c r="E44" s="111">
        <v>0</v>
      </c>
      <c r="F44" s="111">
        <v>0</v>
      </c>
      <c r="G44" s="111">
        <v>0</v>
      </c>
      <c r="H44" s="110">
        <v>2015</v>
      </c>
      <c r="I44" s="54"/>
      <c r="J44" s="49"/>
      <c r="M44" s="457" t="s">
        <v>18</v>
      </c>
      <c r="N44" s="430" t="s">
        <v>17</v>
      </c>
      <c r="O44" s="456">
        <v>1213.3511438994574</v>
      </c>
      <c r="P44" s="456">
        <v>1270.9075443152008</v>
      </c>
      <c r="Q44" s="456">
        <v>1334.1384223991297</v>
      </c>
      <c r="R44" s="456">
        <v>1359.2774425664172</v>
      </c>
      <c r="S44" s="445">
        <v>2015</v>
      </c>
      <c r="T44" s="433"/>
      <c r="U44" s="434"/>
    </row>
    <row r="45" spans="2:21">
      <c r="B45" s="103"/>
      <c r="C45" s="93"/>
      <c r="D45" s="109"/>
      <c r="E45" s="73"/>
      <c r="F45" s="73"/>
      <c r="G45" s="73"/>
      <c r="H45" s="73"/>
      <c r="I45" s="54"/>
      <c r="J45" s="49"/>
      <c r="M45" s="457" t="s">
        <v>19</v>
      </c>
      <c r="N45" s="430" t="s">
        <v>17</v>
      </c>
      <c r="O45" s="456">
        <v>1279.2502030292483</v>
      </c>
      <c r="P45" s="456">
        <v>1339.9325844549946</v>
      </c>
      <c r="Q45" s="456">
        <v>1406.5976335904218</v>
      </c>
      <c r="R45" s="456">
        <v>1433.1019945206024</v>
      </c>
      <c r="S45" s="445">
        <v>2015</v>
      </c>
      <c r="T45" s="433"/>
      <c r="U45" s="434"/>
    </row>
    <row r="46" spans="2:21">
      <c r="B46" s="108" t="s">
        <v>85</v>
      </c>
      <c r="C46" s="93" t="s">
        <v>15</v>
      </c>
      <c r="D46" s="218">
        <v>751018.91308317415</v>
      </c>
      <c r="E46" s="218">
        <v>751018.91308317415</v>
      </c>
      <c r="F46" s="218">
        <v>751018.91308317415</v>
      </c>
      <c r="G46" s="218">
        <v>751018.91308317415</v>
      </c>
      <c r="H46" s="105">
        <v>2013</v>
      </c>
      <c r="I46" s="74" t="s">
        <v>219</v>
      </c>
      <c r="J46" s="49"/>
      <c r="K46" s="209"/>
      <c r="M46" s="457"/>
      <c r="N46" s="430"/>
      <c r="O46" s="456"/>
      <c r="P46" s="456"/>
      <c r="Q46" s="456"/>
      <c r="R46" s="456"/>
      <c r="S46" s="445"/>
      <c r="T46" s="433"/>
      <c r="U46" s="434"/>
    </row>
    <row r="47" spans="2:21">
      <c r="B47" s="53" t="s">
        <v>16</v>
      </c>
      <c r="C47" s="93" t="s">
        <v>17</v>
      </c>
      <c r="D47" s="222">
        <f>+SUM(D48:D51)</f>
        <v>2400.3146425436294</v>
      </c>
      <c r="E47" s="223">
        <f>+SUM(E48:E51)</f>
        <v>2514.1757217412114</v>
      </c>
      <c r="F47" s="223">
        <f>+SUM(F48:F51)</f>
        <v>2639.2623492099719</v>
      </c>
      <c r="G47" s="223">
        <f>+SUM(G48:G51)</f>
        <v>2688.9936726690776</v>
      </c>
      <c r="H47" s="105">
        <v>2013</v>
      </c>
      <c r="I47" s="74"/>
      <c r="J47" s="49"/>
      <c r="K47" s="209"/>
      <c r="M47" s="457" t="s">
        <v>86</v>
      </c>
      <c r="N47" s="430" t="s">
        <v>17</v>
      </c>
      <c r="O47" s="456">
        <v>0</v>
      </c>
      <c r="P47" s="456">
        <v>0</v>
      </c>
      <c r="Q47" s="456">
        <v>0</v>
      </c>
      <c r="R47" s="456">
        <v>0</v>
      </c>
      <c r="S47" s="445">
        <v>2015</v>
      </c>
      <c r="T47" s="433"/>
      <c r="U47" s="434"/>
    </row>
    <row r="48" spans="2:21">
      <c r="B48" s="104" t="s">
        <v>18</v>
      </c>
      <c r="C48" s="93" t="s">
        <v>17</v>
      </c>
      <c r="D48" s="222">
        <v>1168.4277234454339</v>
      </c>
      <c r="E48" s="223">
        <v>1223.8531410960506</v>
      </c>
      <c r="F48" s="223">
        <v>1284.742943114635</v>
      </c>
      <c r="G48" s="223">
        <v>1308.9512098240671</v>
      </c>
      <c r="H48" s="105">
        <v>2013</v>
      </c>
      <c r="I48" s="74"/>
      <c r="J48" s="49"/>
      <c r="K48" s="209"/>
      <c r="M48" s="429"/>
      <c r="N48" s="430"/>
      <c r="O48" s="453"/>
      <c r="P48" s="454"/>
      <c r="Q48" s="454"/>
      <c r="R48" s="454"/>
      <c r="S48" s="454"/>
      <c r="T48" s="433"/>
      <c r="U48" s="434"/>
    </row>
    <row r="49" spans="2:21">
      <c r="B49" s="104" t="s">
        <v>19</v>
      </c>
      <c r="C49" s="93" t="s">
        <v>17</v>
      </c>
      <c r="D49" s="222">
        <f>(D76*D77)/D28</f>
        <v>1231.8869190981954</v>
      </c>
      <c r="E49" s="223">
        <f>(E76*E77)/E28</f>
        <v>1290.322580645161</v>
      </c>
      <c r="F49" s="223">
        <f>(F76*F77)/F28</f>
        <v>1354.5194060953372</v>
      </c>
      <c r="G49" s="223">
        <f>(G76*G77)/G28</f>
        <v>1380.0424628450107</v>
      </c>
      <c r="H49" s="105">
        <v>2013</v>
      </c>
      <c r="I49" s="74"/>
      <c r="J49" s="94" t="s">
        <v>125</v>
      </c>
      <c r="K49" s="209"/>
      <c r="M49" s="446" t="s">
        <v>85</v>
      </c>
      <c r="N49" s="430" t="s">
        <v>15</v>
      </c>
      <c r="O49" s="458">
        <v>751018.91308317415</v>
      </c>
      <c r="P49" s="458">
        <v>751018.91308317415</v>
      </c>
      <c r="Q49" s="458">
        <v>751018.91308317415</v>
      </c>
      <c r="R49" s="458">
        <v>751018.91308317415</v>
      </c>
      <c r="S49" s="459">
        <v>2013</v>
      </c>
      <c r="T49" s="445" t="s">
        <v>219</v>
      </c>
      <c r="U49" s="434"/>
    </row>
    <row r="50" spans="2:21">
      <c r="B50" s="104"/>
      <c r="C50" s="93"/>
      <c r="D50" s="109"/>
      <c r="E50" s="73"/>
      <c r="F50" s="73"/>
      <c r="G50" s="73"/>
      <c r="H50" s="105"/>
      <c r="I50" s="74"/>
      <c r="J50" s="49"/>
      <c r="K50" s="209"/>
      <c r="M50" s="451" t="s">
        <v>16</v>
      </c>
      <c r="N50" s="430" t="s">
        <v>17</v>
      </c>
      <c r="O50" s="460">
        <v>2400.3146425436294</v>
      </c>
      <c r="P50" s="461">
        <v>2514.1757217412114</v>
      </c>
      <c r="Q50" s="461">
        <v>2639.2623492099719</v>
      </c>
      <c r="R50" s="461">
        <v>2688.9936726690776</v>
      </c>
      <c r="S50" s="459">
        <v>2013</v>
      </c>
      <c r="T50" s="445"/>
      <c r="U50" s="434"/>
    </row>
    <row r="51" spans="2:21">
      <c r="B51" s="104" t="s">
        <v>86</v>
      </c>
      <c r="C51" s="93" t="s">
        <v>17</v>
      </c>
      <c r="D51" s="222">
        <v>0</v>
      </c>
      <c r="E51" s="221">
        <v>0</v>
      </c>
      <c r="F51" s="221">
        <v>0</v>
      </c>
      <c r="G51" s="221">
        <v>0</v>
      </c>
      <c r="H51" s="105">
        <v>2013</v>
      </c>
      <c r="I51" s="74"/>
      <c r="J51" s="94"/>
      <c r="K51" s="209"/>
      <c r="M51" s="457" t="s">
        <v>18</v>
      </c>
      <c r="N51" s="430" t="s">
        <v>17</v>
      </c>
      <c r="O51" s="460">
        <v>1168.4277234454339</v>
      </c>
      <c r="P51" s="461">
        <v>1223.8531410960506</v>
      </c>
      <c r="Q51" s="461">
        <v>1284.742943114635</v>
      </c>
      <c r="R51" s="461">
        <v>1308.9512098240671</v>
      </c>
      <c r="S51" s="459">
        <v>2013</v>
      </c>
      <c r="T51" s="445"/>
      <c r="U51" s="434"/>
    </row>
    <row r="52" spans="2:21">
      <c r="B52" s="104"/>
      <c r="C52" s="93"/>
      <c r="D52" s="109"/>
      <c r="E52" s="73"/>
      <c r="F52" s="73"/>
      <c r="G52" s="73"/>
      <c r="H52" s="73"/>
      <c r="I52" s="74"/>
      <c r="J52" s="49"/>
      <c r="K52" s="209"/>
      <c r="M52" s="457" t="s">
        <v>19</v>
      </c>
      <c r="N52" s="430" t="s">
        <v>17</v>
      </c>
      <c r="O52" s="460">
        <v>1231.8869190981954</v>
      </c>
      <c r="P52" s="461">
        <v>1290.322580645161</v>
      </c>
      <c r="Q52" s="461">
        <v>1354.5194060953372</v>
      </c>
      <c r="R52" s="461">
        <v>1380.0424628450107</v>
      </c>
      <c r="S52" s="459">
        <v>2013</v>
      </c>
      <c r="T52" s="445"/>
      <c r="U52" s="462" t="s">
        <v>125</v>
      </c>
    </row>
    <row r="53" spans="2:21">
      <c r="B53" s="103" t="s">
        <v>87</v>
      </c>
      <c r="C53" s="93"/>
      <c r="D53" s="109"/>
      <c r="E53" s="73"/>
      <c r="F53" s="73"/>
      <c r="G53" s="73"/>
      <c r="H53" s="102"/>
      <c r="I53" s="74"/>
      <c r="J53" s="49"/>
      <c r="K53" s="209"/>
      <c r="M53" s="457"/>
      <c r="N53" s="430"/>
      <c r="O53" s="453"/>
      <c r="P53" s="454"/>
      <c r="Q53" s="454"/>
      <c r="R53" s="454"/>
      <c r="S53" s="459"/>
      <c r="T53" s="445"/>
      <c r="U53" s="434"/>
    </row>
    <row r="54" spans="2:21">
      <c r="B54" s="98" t="s">
        <v>30</v>
      </c>
      <c r="C54" s="93"/>
      <c r="D54" s="109"/>
      <c r="E54" s="73"/>
      <c r="F54" s="73"/>
      <c r="G54" s="73"/>
      <c r="H54" s="101"/>
      <c r="I54" s="74"/>
      <c r="J54" s="49"/>
      <c r="K54" s="209"/>
      <c r="M54" s="457" t="s">
        <v>86</v>
      </c>
      <c r="N54" s="430" t="s">
        <v>17</v>
      </c>
      <c r="O54" s="460">
        <v>0</v>
      </c>
      <c r="P54" s="463">
        <v>0</v>
      </c>
      <c r="Q54" s="463">
        <v>0</v>
      </c>
      <c r="R54" s="463">
        <v>0</v>
      </c>
      <c r="S54" s="459">
        <v>2013</v>
      </c>
      <c r="T54" s="445"/>
      <c r="U54" s="462"/>
    </row>
    <row r="55" spans="2:21">
      <c r="B55" s="53" t="s">
        <v>20</v>
      </c>
      <c r="C55" s="93" t="s">
        <v>107</v>
      </c>
      <c r="D55" s="220"/>
      <c r="E55" s="96"/>
      <c r="F55" s="96"/>
      <c r="G55" s="96"/>
      <c r="H55" s="101"/>
      <c r="I55" s="74"/>
      <c r="J55" s="94" t="s">
        <v>88</v>
      </c>
      <c r="K55" s="209"/>
    </row>
    <row r="56" spans="2:21">
      <c r="B56" s="53" t="s">
        <v>21</v>
      </c>
      <c r="C56" s="93" t="s">
        <v>107</v>
      </c>
      <c r="D56" s="99">
        <f t="shared" ref="D56:G60" si="1">D96/D$93</f>
        <v>5.70067229895981E-4</v>
      </c>
      <c r="E56" s="99">
        <f t="shared" si="1"/>
        <v>1.6299243669067753E-4</v>
      </c>
      <c r="F56" s="99">
        <f t="shared" si="1"/>
        <v>1.6299243669067753E-4</v>
      </c>
      <c r="G56" s="99">
        <f t="shared" si="1"/>
        <v>1.6299243669067753E-4</v>
      </c>
      <c r="H56" s="95"/>
      <c r="I56" s="74"/>
      <c r="J56" s="49"/>
      <c r="K56" s="209"/>
    </row>
    <row r="57" spans="2:21">
      <c r="B57" s="53" t="s">
        <v>22</v>
      </c>
      <c r="C57" s="93" t="s">
        <v>107</v>
      </c>
      <c r="D57" s="99">
        <f t="shared" si="1"/>
        <v>3.3862691824031407E-3</v>
      </c>
      <c r="E57" s="99">
        <f t="shared" si="1"/>
        <v>3.3862691824031407E-3</v>
      </c>
      <c r="F57" s="99">
        <f t="shared" si="1"/>
        <v>3.3862691824031407E-3</v>
      </c>
      <c r="G57" s="99">
        <f t="shared" si="1"/>
        <v>3.3862691824031407E-3</v>
      </c>
      <c r="H57" s="73"/>
      <c r="I57" s="74"/>
      <c r="J57" s="49"/>
      <c r="K57" s="209"/>
    </row>
    <row r="58" spans="2:21">
      <c r="B58" s="53" t="s">
        <v>23</v>
      </c>
      <c r="C58" s="93" t="s">
        <v>107</v>
      </c>
      <c r="D58" s="99">
        <f t="shared" si="1"/>
        <v>4.6837408023728819E-4</v>
      </c>
      <c r="E58" s="99">
        <f t="shared" si="1"/>
        <v>4.6837408023728814E-4</v>
      </c>
      <c r="F58" s="99">
        <f t="shared" si="1"/>
        <v>4.6837408023728825E-4</v>
      </c>
      <c r="G58" s="99">
        <f t="shared" si="1"/>
        <v>4.6837408023728819E-4</v>
      </c>
      <c r="H58" s="100"/>
      <c r="I58" s="74"/>
      <c r="J58" s="49"/>
      <c r="K58" s="209"/>
    </row>
    <row r="59" spans="2:21" ht="16.5" thickBot="1">
      <c r="B59" s="53" t="s">
        <v>89</v>
      </c>
      <c r="C59" s="93" t="s">
        <v>107</v>
      </c>
      <c r="D59" s="99">
        <f t="shared" si="1"/>
        <v>0.3488992416652627</v>
      </c>
      <c r="E59" s="99">
        <f t="shared" si="1"/>
        <v>3.6446302941253436E-2</v>
      </c>
      <c r="F59" s="99">
        <f t="shared" si="1"/>
        <v>3.6446302941253436E-2</v>
      </c>
      <c r="G59" s="99">
        <f t="shared" si="1"/>
        <v>3.6446302941253436E-2</v>
      </c>
      <c r="H59" s="73"/>
      <c r="I59" s="74"/>
      <c r="J59" s="49"/>
      <c r="K59" s="209"/>
      <c r="M59" s="464" t="s">
        <v>90</v>
      </c>
      <c r="N59" s="416"/>
      <c r="O59" s="416"/>
      <c r="P59" s="416"/>
      <c r="Q59" s="416"/>
      <c r="R59" s="416"/>
      <c r="S59" s="416"/>
      <c r="T59" s="416"/>
      <c r="U59" s="416"/>
    </row>
    <row r="60" spans="2:21">
      <c r="B60" s="53" t="s">
        <v>24</v>
      </c>
      <c r="C60" s="93" t="s">
        <v>107</v>
      </c>
      <c r="D60" s="99">
        <f t="shared" si="1"/>
        <v>3.2979813853448933E-3</v>
      </c>
      <c r="E60" s="99">
        <f t="shared" si="1"/>
        <v>3.6064433411829615E-4</v>
      </c>
      <c r="F60" s="99">
        <f t="shared" si="1"/>
        <v>3.6064433411829615E-4</v>
      </c>
      <c r="G60" s="99">
        <f t="shared" si="1"/>
        <v>3.6064433411829615E-4</v>
      </c>
      <c r="H60" s="73"/>
      <c r="I60" s="74"/>
      <c r="J60" s="49"/>
      <c r="K60" s="209"/>
      <c r="M60" s="418"/>
      <c r="N60" s="419"/>
      <c r="O60" s="421"/>
      <c r="P60" s="421"/>
      <c r="Q60" s="421"/>
      <c r="R60" s="421"/>
      <c r="S60" s="421"/>
      <c r="T60" s="421"/>
      <c r="U60" s="422"/>
    </row>
    <row r="61" spans="2:21">
      <c r="B61" s="53"/>
      <c r="C61" s="93"/>
      <c r="D61" s="97"/>
      <c r="E61" s="52"/>
      <c r="F61" s="52"/>
      <c r="G61" s="52"/>
      <c r="H61" s="73"/>
      <c r="I61" s="74"/>
      <c r="J61" s="49"/>
      <c r="K61" s="209"/>
      <c r="M61" s="423"/>
      <c r="N61" s="424" t="s">
        <v>72</v>
      </c>
      <c r="O61" s="425">
        <v>2015</v>
      </c>
      <c r="P61" s="426">
        <v>2020</v>
      </c>
      <c r="Q61" s="426">
        <v>2035</v>
      </c>
      <c r="R61" s="426">
        <v>2050</v>
      </c>
      <c r="S61" s="426"/>
      <c r="T61" s="427"/>
      <c r="U61" s="428"/>
    </row>
    <row r="62" spans="2:21">
      <c r="B62" s="98" t="s">
        <v>31</v>
      </c>
      <c r="C62" s="93"/>
      <c r="D62" s="109"/>
      <c r="E62" s="73"/>
      <c r="F62" s="73"/>
      <c r="G62" s="73"/>
      <c r="H62" s="95"/>
      <c r="I62" s="74"/>
      <c r="J62" s="49"/>
      <c r="K62" s="209"/>
      <c r="M62" s="451" t="s">
        <v>25</v>
      </c>
      <c r="N62" s="465" t="s">
        <v>124</v>
      </c>
      <c r="O62" s="466">
        <v>2.5327000000000002</v>
      </c>
      <c r="P62" s="466">
        <v>2.4180000000000001</v>
      </c>
      <c r="Q62" s="466">
        <v>2.3034000000000003</v>
      </c>
      <c r="R62" s="466">
        <v>2.2607999999999997</v>
      </c>
      <c r="S62" s="466"/>
      <c r="T62" s="433"/>
      <c r="U62" s="434"/>
    </row>
    <row r="63" spans="2:21">
      <c r="B63" s="53" t="s">
        <v>20</v>
      </c>
      <c r="C63" s="93" t="s">
        <v>107</v>
      </c>
      <c r="D63" s="220"/>
      <c r="E63" s="96"/>
      <c r="F63" s="96"/>
      <c r="G63" s="96"/>
      <c r="H63" s="162"/>
      <c r="I63" s="74"/>
      <c r="J63" s="94" t="s">
        <v>88</v>
      </c>
      <c r="K63" s="209"/>
      <c r="M63" s="451" t="s">
        <v>94</v>
      </c>
      <c r="N63" s="465" t="s">
        <v>95</v>
      </c>
      <c r="O63" s="458">
        <v>50000</v>
      </c>
      <c r="P63" s="458">
        <v>50000</v>
      </c>
      <c r="Q63" s="458">
        <v>50000</v>
      </c>
      <c r="R63" s="458">
        <v>50000</v>
      </c>
      <c r="S63" s="458"/>
      <c r="T63" s="445" t="s">
        <v>217</v>
      </c>
      <c r="U63" s="434"/>
    </row>
    <row r="64" spans="2:21">
      <c r="B64" s="53" t="s">
        <v>21</v>
      </c>
      <c r="C64" s="93" t="s">
        <v>107</v>
      </c>
      <c r="D64" s="92">
        <f t="shared" ref="D64:G68" si="2">D56</f>
        <v>5.70067229895981E-4</v>
      </c>
      <c r="E64" s="92">
        <f t="shared" si="2"/>
        <v>1.6299243669067753E-4</v>
      </c>
      <c r="F64" s="92">
        <f t="shared" si="2"/>
        <v>1.6299243669067753E-4</v>
      </c>
      <c r="G64" s="92">
        <f t="shared" si="2"/>
        <v>1.6299243669067753E-4</v>
      </c>
      <c r="H64" s="162"/>
      <c r="I64" s="74"/>
      <c r="J64" s="49"/>
      <c r="K64" s="209"/>
      <c r="M64" s="451" t="s">
        <v>97</v>
      </c>
      <c r="N64" s="467" t="s">
        <v>35</v>
      </c>
      <c r="O64" s="468">
        <v>3.12</v>
      </c>
      <c r="P64" s="468">
        <v>3.12</v>
      </c>
      <c r="Q64" s="468">
        <v>3.12</v>
      </c>
      <c r="R64" s="468">
        <v>3.12</v>
      </c>
      <c r="S64" s="468"/>
      <c r="T64" s="445" t="s">
        <v>217</v>
      </c>
      <c r="U64" s="462"/>
    </row>
    <row r="65" spans="2:21">
      <c r="B65" s="53" t="s">
        <v>22</v>
      </c>
      <c r="C65" s="93" t="s">
        <v>107</v>
      </c>
      <c r="D65" s="92">
        <f t="shared" si="2"/>
        <v>3.3862691824031407E-3</v>
      </c>
      <c r="E65" s="92">
        <f t="shared" si="2"/>
        <v>3.3862691824031407E-3</v>
      </c>
      <c r="F65" s="92">
        <f t="shared" si="2"/>
        <v>3.3862691824031407E-3</v>
      </c>
      <c r="G65" s="92">
        <f t="shared" si="2"/>
        <v>3.3862691824031407E-3</v>
      </c>
      <c r="H65" s="162"/>
      <c r="I65" s="74"/>
      <c r="J65" s="49"/>
      <c r="K65" s="209"/>
      <c r="M65" s="446" t="s">
        <v>126</v>
      </c>
      <c r="N65" s="467" t="s">
        <v>127</v>
      </c>
      <c r="O65" s="469">
        <v>2.6907726931732934</v>
      </c>
      <c r="P65" s="469">
        <v>2.9667493796526059</v>
      </c>
      <c r="Q65" s="469">
        <v>3.4257879656160459</v>
      </c>
      <c r="R65" s="469">
        <v>3.8076433121019111</v>
      </c>
      <c r="S65" s="470"/>
      <c r="T65" s="445"/>
      <c r="U65" s="434"/>
    </row>
    <row r="66" spans="2:21">
      <c r="B66" s="53" t="s">
        <v>23</v>
      </c>
      <c r="C66" s="93" t="s">
        <v>107</v>
      </c>
      <c r="D66" s="92">
        <f t="shared" si="2"/>
        <v>4.6837408023728819E-4</v>
      </c>
      <c r="E66" s="92">
        <f t="shared" si="2"/>
        <v>4.6837408023728814E-4</v>
      </c>
      <c r="F66" s="92">
        <f t="shared" si="2"/>
        <v>4.6837408023728825E-4</v>
      </c>
      <c r="G66" s="92">
        <f t="shared" si="2"/>
        <v>4.6837408023728819E-4</v>
      </c>
      <c r="H66" s="162"/>
      <c r="I66" s="74"/>
      <c r="J66" s="49"/>
      <c r="K66" s="209"/>
      <c r="M66" s="446" t="s">
        <v>128</v>
      </c>
      <c r="N66" s="467" t="s">
        <v>26</v>
      </c>
      <c r="O66" s="471">
        <v>0.19</v>
      </c>
      <c r="P66" s="471">
        <v>0.2</v>
      </c>
      <c r="Q66" s="471">
        <v>0.22</v>
      </c>
      <c r="R66" s="471">
        <v>0.24</v>
      </c>
      <c r="S66" s="471"/>
      <c r="T66" s="433" t="s">
        <v>215</v>
      </c>
      <c r="U66" s="462"/>
    </row>
    <row r="67" spans="2:21" ht="13.5" thickBot="1">
      <c r="B67" s="53" t="s">
        <v>89</v>
      </c>
      <c r="C67" s="93" t="s">
        <v>107</v>
      </c>
      <c r="D67" s="92">
        <f t="shared" si="2"/>
        <v>0.3488992416652627</v>
      </c>
      <c r="E67" s="92">
        <f t="shared" si="2"/>
        <v>3.6446302941253436E-2</v>
      </c>
      <c r="F67" s="92">
        <f t="shared" si="2"/>
        <v>3.6446302941253436E-2</v>
      </c>
      <c r="G67" s="92">
        <f t="shared" si="2"/>
        <v>3.6446302941253436E-2</v>
      </c>
      <c r="H67" s="162"/>
      <c r="I67" s="74"/>
      <c r="J67" s="49"/>
      <c r="K67" s="209"/>
      <c r="M67" s="472"/>
      <c r="N67" s="473"/>
      <c r="O67" s="474"/>
      <c r="P67" s="474"/>
      <c r="Q67" s="474"/>
      <c r="R67" s="474"/>
      <c r="S67" s="474"/>
      <c r="T67" s="445"/>
      <c r="U67" s="475"/>
    </row>
    <row r="68" spans="2:21" ht="16.5" thickBot="1">
      <c r="B68" s="53" t="s">
        <v>24</v>
      </c>
      <c r="C68" s="93" t="s">
        <v>107</v>
      </c>
      <c r="D68" s="92">
        <f t="shared" si="2"/>
        <v>3.2979813853448933E-3</v>
      </c>
      <c r="E68" s="92">
        <f t="shared" si="2"/>
        <v>3.6064433411829615E-4</v>
      </c>
      <c r="F68" s="92">
        <f t="shared" si="2"/>
        <v>3.6064433411829615E-4</v>
      </c>
      <c r="G68" s="92">
        <f t="shared" si="2"/>
        <v>3.6064433411829615E-4</v>
      </c>
      <c r="H68" s="110"/>
      <c r="I68" s="74"/>
      <c r="J68" s="49"/>
      <c r="K68" s="209"/>
      <c r="M68" s="464" t="s">
        <v>90</v>
      </c>
      <c r="N68" s="416"/>
      <c r="O68" s="416"/>
      <c r="P68" s="416"/>
      <c r="Q68" s="416"/>
      <c r="R68" s="416"/>
      <c r="S68" s="416"/>
      <c r="T68" s="416"/>
      <c r="U68" s="416"/>
    </row>
    <row r="69" spans="2:21" ht="13.5" thickBot="1">
      <c r="B69" s="476"/>
      <c r="C69" s="477"/>
      <c r="D69" s="478"/>
      <c r="E69" s="412"/>
      <c r="F69" s="412"/>
      <c r="G69" s="412"/>
      <c r="H69" s="73"/>
      <c r="I69" s="479"/>
      <c r="J69" s="413"/>
      <c r="K69" s="209"/>
      <c r="M69" s="418"/>
      <c r="N69" s="419"/>
      <c r="O69" s="421"/>
      <c r="P69" s="421"/>
      <c r="Q69" s="421"/>
      <c r="R69" s="421"/>
      <c r="S69" s="421"/>
      <c r="T69" s="421" t="s">
        <v>70</v>
      </c>
      <c r="U69" s="422" t="s">
        <v>71</v>
      </c>
    </row>
    <row r="70" spans="2:21">
      <c r="I70" s="44"/>
      <c r="K70" s="209"/>
      <c r="M70" s="446"/>
      <c r="N70" s="467"/>
      <c r="O70" s="454"/>
      <c r="P70" s="454"/>
      <c r="Q70" s="454"/>
      <c r="R70" s="454"/>
      <c r="S70" s="433"/>
      <c r="T70" s="433"/>
      <c r="U70" s="462"/>
    </row>
    <row r="71" spans="2:21">
      <c r="I71" s="44"/>
      <c r="K71" s="209"/>
      <c r="M71" s="451" t="s">
        <v>115</v>
      </c>
      <c r="N71" s="465" t="s">
        <v>15</v>
      </c>
      <c r="O71" s="480">
        <v>1468303.5714285714</v>
      </c>
      <c r="P71" s="480">
        <f>P75*P79</f>
        <v>696428.57142857148</v>
      </c>
      <c r="Q71" s="480">
        <f>Q75*Q79</f>
        <v>393981.23197746492</v>
      </c>
      <c r="R71" s="480">
        <f>R75*R79</f>
        <v>361306.37729426561</v>
      </c>
      <c r="S71" s="433"/>
      <c r="T71" s="433"/>
      <c r="U71" s="434"/>
    </row>
    <row r="72" spans="2:21" ht="16.5" thickBot="1">
      <c r="B72" s="64" t="s">
        <v>90</v>
      </c>
      <c r="I72" s="44"/>
      <c r="K72" s="209"/>
      <c r="M72" s="451" t="s">
        <v>466</v>
      </c>
      <c r="N72" s="465" t="s">
        <v>15</v>
      </c>
      <c r="O72" s="480">
        <f>O76*O79</f>
        <v>2033098.2142857146</v>
      </c>
      <c r="P72" s="480">
        <f>P76*P79</f>
        <v>1160714.2857142857</v>
      </c>
      <c r="Q72" s="480">
        <f>Q76*Q79</f>
        <v>425925.65619185398</v>
      </c>
      <c r="R72" s="480">
        <f>R76*R79</f>
        <v>390601.48896677367</v>
      </c>
      <c r="S72" s="433"/>
      <c r="T72" s="433"/>
      <c r="U72" s="433" t="s">
        <v>467</v>
      </c>
    </row>
    <row r="73" spans="2:21">
      <c r="B73" s="63"/>
      <c r="C73" s="85"/>
      <c r="D73" s="60"/>
      <c r="E73" s="60"/>
      <c r="F73" s="60"/>
      <c r="G73" s="60"/>
      <c r="H73" s="60"/>
      <c r="I73" s="59"/>
      <c r="J73" s="58"/>
      <c r="K73" s="209"/>
      <c r="M73" s="451" t="s">
        <v>466</v>
      </c>
      <c r="N73" s="465" t="s">
        <v>15</v>
      </c>
      <c r="O73" s="480">
        <f>O77*O79</f>
        <v>2033098.2142857146</v>
      </c>
      <c r="P73" s="480">
        <f>P77*P79</f>
        <v>1160714.2857142857</v>
      </c>
      <c r="Q73" s="480">
        <f>Q77*Q79</f>
        <v>799331.40262405085</v>
      </c>
      <c r="R73" s="480">
        <f>R77*R79</f>
        <v>733038.80971710593</v>
      </c>
      <c r="S73" s="433"/>
      <c r="T73" s="433"/>
      <c r="U73" s="433" t="s">
        <v>468</v>
      </c>
    </row>
    <row r="74" spans="2:21">
      <c r="B74" s="84"/>
      <c r="C74" s="83" t="s">
        <v>72</v>
      </c>
      <c r="D74" s="82">
        <v>2015</v>
      </c>
      <c r="E74" s="81">
        <v>2020</v>
      </c>
      <c r="F74" s="81">
        <v>2035</v>
      </c>
      <c r="G74" s="81">
        <v>2050</v>
      </c>
      <c r="H74" s="81"/>
      <c r="I74" s="80"/>
      <c r="J74" s="79"/>
      <c r="K74" s="209"/>
      <c r="M74" s="451" t="s">
        <v>466</v>
      </c>
      <c r="N74" s="465" t="s">
        <v>15</v>
      </c>
      <c r="O74" s="480">
        <f>O78*O79</f>
        <v>2033098.2142857146</v>
      </c>
      <c r="P74" s="480">
        <f t="shared" ref="P74:R74" si="3">P78*P79</f>
        <v>1160714.2857142857</v>
      </c>
      <c r="Q74" s="480">
        <f t="shared" si="3"/>
        <v>612628.52940795245</v>
      </c>
      <c r="R74" s="480">
        <f t="shared" si="3"/>
        <v>561820.14934193983</v>
      </c>
      <c r="S74" s="433"/>
      <c r="T74" s="433"/>
      <c r="U74" s="433" t="s">
        <v>469</v>
      </c>
    </row>
    <row r="75" spans="2:21">
      <c r="B75" s="53" t="s">
        <v>25</v>
      </c>
      <c r="C75" s="70" t="s">
        <v>124</v>
      </c>
      <c r="D75" s="219">
        <f>D79*D93</f>
        <v>2.5327000000000002</v>
      </c>
      <c r="E75" s="219">
        <f>E79*E93</f>
        <v>2.4180000000000001</v>
      </c>
      <c r="F75" s="219">
        <f>F79*F93</f>
        <v>2.3034000000000003</v>
      </c>
      <c r="G75" s="219">
        <f>G79*G93</f>
        <v>2.2607999999999997</v>
      </c>
      <c r="H75" s="219"/>
      <c r="I75" s="54"/>
      <c r="J75" s="49"/>
      <c r="K75" s="209"/>
      <c r="M75" s="451" t="s">
        <v>117</v>
      </c>
      <c r="N75" s="465" t="s">
        <v>118</v>
      </c>
      <c r="O75" s="481">
        <v>2275</v>
      </c>
      <c r="P75" s="481">
        <f>120*6.5</f>
        <v>780</v>
      </c>
      <c r="Q75" s="481">
        <v>481</v>
      </c>
      <c r="R75" s="481">
        <v>481</v>
      </c>
      <c r="S75" s="445"/>
      <c r="T75" s="445" t="s">
        <v>470</v>
      </c>
      <c r="U75" s="434"/>
    </row>
    <row r="76" spans="2:21">
      <c r="B76" s="53" t="s">
        <v>94</v>
      </c>
      <c r="C76" s="70" t="s">
        <v>95</v>
      </c>
      <c r="D76" s="218">
        <v>50000</v>
      </c>
      <c r="E76" s="218">
        <v>50000</v>
      </c>
      <c r="F76" s="218">
        <v>50000</v>
      </c>
      <c r="G76" s="218">
        <v>50000</v>
      </c>
      <c r="H76" s="218"/>
      <c r="I76" s="74" t="s">
        <v>217</v>
      </c>
      <c r="J76" s="49"/>
      <c r="K76" s="209"/>
      <c r="M76" s="451" t="s">
        <v>117</v>
      </c>
      <c r="N76" s="465" t="s">
        <v>118</v>
      </c>
      <c r="O76" s="481">
        <v>2277.0700000000002</v>
      </c>
      <c r="P76" s="481">
        <v>1300</v>
      </c>
      <c r="Q76" s="481">
        <v>520</v>
      </c>
      <c r="R76" s="481">
        <v>520</v>
      </c>
      <c r="S76" s="445"/>
      <c r="T76" s="445" t="s">
        <v>471</v>
      </c>
      <c r="U76" s="434" t="s">
        <v>467</v>
      </c>
    </row>
    <row r="77" spans="2:21">
      <c r="B77" s="53" t="s">
        <v>97</v>
      </c>
      <c r="C77" s="167" t="s">
        <v>35</v>
      </c>
      <c r="D77" s="217">
        <f>156000/D76</f>
        <v>3.12</v>
      </c>
      <c r="E77" s="217">
        <f>156000/E76</f>
        <v>3.12</v>
      </c>
      <c r="F77" s="217">
        <f>156000/F76</f>
        <v>3.12</v>
      </c>
      <c r="G77" s="217">
        <f>156000/G76</f>
        <v>3.12</v>
      </c>
      <c r="H77" s="217"/>
      <c r="I77" s="74" t="s">
        <v>217</v>
      </c>
      <c r="J77" s="94"/>
      <c r="K77" s="209"/>
      <c r="M77" s="451" t="s">
        <v>117</v>
      </c>
      <c r="N77" s="465" t="s">
        <v>118</v>
      </c>
      <c r="O77" s="481">
        <v>2277.0700000000002</v>
      </c>
      <c r="P77" s="481">
        <v>1300</v>
      </c>
      <c r="Q77" s="481">
        <v>975.88</v>
      </c>
      <c r="R77" s="481">
        <v>975.88</v>
      </c>
      <c r="S77" s="481"/>
      <c r="T77" s="445" t="s">
        <v>471</v>
      </c>
      <c r="U77" s="434" t="s">
        <v>468</v>
      </c>
    </row>
    <row r="78" spans="2:21">
      <c r="B78" s="139" t="s">
        <v>126</v>
      </c>
      <c r="C78" s="167" t="s">
        <v>127</v>
      </c>
      <c r="D78" s="216">
        <v>2.6907726931732934</v>
      </c>
      <c r="E78" s="216">
        <v>2.9667493796526059</v>
      </c>
      <c r="F78" s="216">
        <v>3.4257879656160459</v>
      </c>
      <c r="G78" s="216">
        <v>3.8076433121019111</v>
      </c>
      <c r="H78" s="215"/>
      <c r="I78" s="74"/>
      <c r="J78" s="49"/>
      <c r="K78" s="209"/>
      <c r="M78" s="451" t="s">
        <v>117</v>
      </c>
      <c r="N78" s="465" t="s">
        <v>118</v>
      </c>
      <c r="O78" s="481">
        <v>2277.0700000000002</v>
      </c>
      <c r="P78" s="481">
        <v>1300</v>
      </c>
      <c r="Q78" s="481">
        <f>AVERAGE(Q76:Q77)</f>
        <v>747.94</v>
      </c>
      <c r="R78" s="481">
        <f>AVERAGE(R76:R77)</f>
        <v>747.94</v>
      </c>
      <c r="S78" s="481"/>
      <c r="T78" s="445" t="s">
        <v>471</v>
      </c>
      <c r="U78" s="434" t="s">
        <v>469</v>
      </c>
    </row>
    <row r="79" spans="2:21">
      <c r="B79" s="139" t="s">
        <v>128</v>
      </c>
      <c r="C79" s="167" t="s">
        <v>26</v>
      </c>
      <c r="D79" s="214">
        <v>0.19</v>
      </c>
      <c r="E79" s="214">
        <v>0.2</v>
      </c>
      <c r="F79" s="214">
        <v>0.22</v>
      </c>
      <c r="G79" s="214">
        <v>0.24</v>
      </c>
      <c r="H79" s="214"/>
      <c r="I79" s="54" t="s">
        <v>215</v>
      </c>
      <c r="J79" s="94"/>
      <c r="K79" s="209"/>
      <c r="M79" s="451" t="s">
        <v>119</v>
      </c>
      <c r="N79" s="465" t="s">
        <v>120</v>
      </c>
      <c r="O79" s="481">
        <f>500*O25/3.6</f>
        <v>892.85714285714289</v>
      </c>
      <c r="P79" s="481">
        <f>500*P25/3.6</f>
        <v>892.85714285714289</v>
      </c>
      <c r="Q79" s="481">
        <f>500*Q25/3.6</f>
        <v>819.08780036894996</v>
      </c>
      <c r="R79" s="481">
        <f>500*R25/3.6</f>
        <v>751.15670955148778</v>
      </c>
      <c r="S79" s="445"/>
      <c r="T79" s="445"/>
      <c r="U79" s="434"/>
    </row>
    <row r="80" spans="2:21" ht="13.5" thickBot="1">
      <c r="B80" s="482"/>
      <c r="C80" s="483"/>
      <c r="D80" s="484"/>
      <c r="E80" s="484"/>
      <c r="F80" s="484"/>
      <c r="G80" s="484"/>
      <c r="H80" s="484"/>
      <c r="I80" s="74"/>
      <c r="J80" s="413"/>
      <c r="K80" s="209"/>
      <c r="M80" s="451" t="s">
        <v>152</v>
      </c>
      <c r="N80" s="465" t="s">
        <v>151</v>
      </c>
      <c r="O80" s="481">
        <v>3.9749999999999996</v>
      </c>
      <c r="P80" s="481">
        <v>6</v>
      </c>
      <c r="Q80" s="481">
        <v>6</v>
      </c>
      <c r="R80" s="481">
        <v>6</v>
      </c>
      <c r="S80" s="445"/>
      <c r="T80" s="445"/>
      <c r="U80" s="434"/>
    </row>
    <row r="81" spans="2:21" ht="16.5" thickBot="1">
      <c r="B81" s="64" t="s">
        <v>90</v>
      </c>
      <c r="H81" s="44"/>
      <c r="I81" s="44"/>
      <c r="M81" s="451" t="s">
        <v>121</v>
      </c>
      <c r="N81" s="465" t="s">
        <v>122</v>
      </c>
      <c r="O81" s="485">
        <v>355.34727861923562</v>
      </c>
      <c r="P81" s="485">
        <v>372.20349568194297</v>
      </c>
      <c r="Q81" s="485">
        <v>390.72156488622824</v>
      </c>
      <c r="R81" s="485">
        <v>398.08388736683401</v>
      </c>
      <c r="S81" s="445"/>
      <c r="T81" s="445" t="s">
        <v>168</v>
      </c>
      <c r="U81" s="434"/>
    </row>
    <row r="82" spans="2:21">
      <c r="B82" s="63"/>
      <c r="C82" s="85"/>
      <c r="D82" s="60"/>
      <c r="E82" s="60"/>
      <c r="F82" s="60"/>
      <c r="G82" s="60"/>
      <c r="H82" s="59"/>
      <c r="I82" s="59" t="s">
        <v>70</v>
      </c>
      <c r="J82" s="58" t="s">
        <v>71</v>
      </c>
      <c r="M82" s="451" t="s">
        <v>158</v>
      </c>
      <c r="N82" s="465" t="s">
        <v>157</v>
      </c>
      <c r="O82" s="485">
        <v>8.9285714285714288</v>
      </c>
      <c r="P82" s="486">
        <v>6.25</v>
      </c>
      <c r="Q82" s="486">
        <v>5</v>
      </c>
      <c r="R82" s="486">
        <v>4.5454545454545459</v>
      </c>
      <c r="S82" s="445"/>
      <c r="T82" s="445" t="s">
        <v>216</v>
      </c>
      <c r="U82" s="434"/>
    </row>
    <row r="83" spans="2:21" ht="13.5" thickBot="1">
      <c r="B83" s="139"/>
      <c r="C83" s="167"/>
      <c r="D83" s="73"/>
      <c r="E83" s="73"/>
      <c r="F83" s="73"/>
      <c r="G83" s="73"/>
      <c r="H83" s="54"/>
      <c r="I83" s="54"/>
      <c r="J83" s="94"/>
      <c r="M83" s="487" t="s">
        <v>156</v>
      </c>
      <c r="N83" s="488" t="s">
        <v>92</v>
      </c>
      <c r="O83" s="489">
        <v>7971.9387755102034</v>
      </c>
      <c r="P83" s="489">
        <v>5580.3571428571422</v>
      </c>
      <c r="Q83" s="489">
        <v>4095.4390018447498</v>
      </c>
      <c r="R83" s="489">
        <v>3414.3486797794903</v>
      </c>
      <c r="S83" s="490"/>
      <c r="T83" s="490"/>
      <c r="U83" s="475"/>
    </row>
    <row r="84" spans="2:21">
      <c r="B84" s="53" t="s">
        <v>115</v>
      </c>
      <c r="C84" s="70" t="s">
        <v>15</v>
      </c>
      <c r="D84" s="150">
        <f>D85*D86+(D44-D87)/D87*D86*(E85+F85)/2</f>
        <v>1167133.0897193784</v>
      </c>
      <c r="E84" s="150">
        <f>E85*E86</f>
        <v>498940.75599099655</v>
      </c>
      <c r="F84" s="150">
        <f>F85*F86</f>
        <v>275799.59864149522</v>
      </c>
      <c r="G84" s="150">
        <f>G85*G86</f>
        <v>248163.29370200707</v>
      </c>
      <c r="H84" s="54"/>
      <c r="I84" s="54"/>
      <c r="J84" s="49"/>
    </row>
    <row r="85" spans="2:21">
      <c r="B85" s="53" t="s">
        <v>117</v>
      </c>
      <c r="C85" s="70" t="s">
        <v>118</v>
      </c>
      <c r="D85" s="295">
        <f>'[9]EU varebil el'!D81</f>
        <v>2275</v>
      </c>
      <c r="E85" s="295">
        <f>120*6.5</f>
        <v>780</v>
      </c>
      <c r="F85" s="295">
        <f>'[9]EU varebil el'!F81</f>
        <v>481</v>
      </c>
      <c r="G85" s="295">
        <f>'[9]EU varebil el'!G81</f>
        <v>481</v>
      </c>
      <c r="H85" s="74"/>
      <c r="I85" s="74" t="s">
        <v>235</v>
      </c>
      <c r="J85" s="160"/>
    </row>
    <row r="86" spans="2:21">
      <c r="B86" s="53" t="s">
        <v>119</v>
      </c>
      <c r="C86" s="70" t="s">
        <v>120</v>
      </c>
      <c r="D86" s="67">
        <f>500*D25/3.6</f>
        <v>709.71911810238873</v>
      </c>
      <c r="E86" s="67">
        <f t="shared" ref="E86:G86" si="4">500*E25/3.6</f>
        <v>639.66763588589299</v>
      </c>
      <c r="F86" s="67">
        <f t="shared" si="4"/>
        <v>573.38793896360755</v>
      </c>
      <c r="G86" s="67">
        <f t="shared" si="4"/>
        <v>515.93200353847624</v>
      </c>
      <c r="H86" s="74"/>
      <c r="I86" s="74" t="s">
        <v>241</v>
      </c>
      <c r="J86" s="49"/>
    </row>
    <row r="87" spans="2:21">
      <c r="B87" s="53" t="s">
        <v>152</v>
      </c>
      <c r="C87" s="70" t="s">
        <v>151</v>
      </c>
      <c r="D87" s="67">
        <f>10.6/16*E87</f>
        <v>3.9749999999999996</v>
      </c>
      <c r="E87" s="67">
        <v>6</v>
      </c>
      <c r="F87" s="67">
        <v>6</v>
      </c>
      <c r="G87" s="67">
        <v>6</v>
      </c>
      <c r="H87" s="74"/>
      <c r="I87" s="74"/>
      <c r="J87" s="49"/>
    </row>
    <row r="88" spans="2:21">
      <c r="B88" s="53" t="s">
        <v>121</v>
      </c>
      <c r="C88" s="70" t="s">
        <v>122</v>
      </c>
      <c r="D88" s="121">
        <f>D42/3.6</f>
        <v>355.34727861923562</v>
      </c>
      <c r="E88" s="121">
        <f>E42/3.6</f>
        <v>372.20349568194297</v>
      </c>
      <c r="F88" s="121">
        <f>F42/3.6</f>
        <v>390.72156488622824</v>
      </c>
      <c r="G88" s="121">
        <f>G42/3.6</f>
        <v>398.08388736683401</v>
      </c>
      <c r="H88" s="74"/>
      <c r="I88" s="74" t="s">
        <v>168</v>
      </c>
      <c r="J88" s="49"/>
    </row>
    <row r="89" spans="2:21">
      <c r="B89" s="53" t="s">
        <v>158</v>
      </c>
      <c r="C89" s="70" t="s">
        <v>157</v>
      </c>
      <c r="D89" s="121">
        <v>8.9285714285714288</v>
      </c>
      <c r="E89" s="165">
        <v>6.25</v>
      </c>
      <c r="F89" s="165">
        <v>5</v>
      </c>
      <c r="G89" s="165">
        <v>4.5454545454545459</v>
      </c>
      <c r="H89" s="74"/>
      <c r="I89" s="74" t="s">
        <v>216</v>
      </c>
      <c r="J89" s="49"/>
    </row>
    <row r="90" spans="2:21" ht="13.5" thickBot="1">
      <c r="B90" s="411" t="s">
        <v>156</v>
      </c>
      <c r="C90" s="491" t="s">
        <v>92</v>
      </c>
      <c r="D90" s="492">
        <f>D86*D89</f>
        <v>6336.7778401998994</v>
      </c>
      <c r="E90" s="492">
        <f>E86*E89</f>
        <v>3997.922724286831</v>
      </c>
      <c r="F90" s="492">
        <f>F86*F89</f>
        <v>2866.9396948180379</v>
      </c>
      <c r="G90" s="492">
        <f>G86*G89</f>
        <v>2345.1454706294376</v>
      </c>
      <c r="H90" s="493"/>
      <c r="I90" s="493"/>
      <c r="J90" s="413"/>
    </row>
    <row r="91" spans="2:21">
      <c r="D91" s="157"/>
      <c r="E91" s="157"/>
      <c r="F91" s="157"/>
      <c r="G91" s="157"/>
      <c r="H91" s="157"/>
      <c r="K91" s="209"/>
      <c r="M91" s="416"/>
      <c r="N91" s="416"/>
      <c r="O91" s="494"/>
      <c r="P91" s="494"/>
      <c r="Q91" s="494"/>
      <c r="R91" s="494"/>
      <c r="S91" s="494"/>
      <c r="T91" s="416"/>
      <c r="U91" s="416"/>
    </row>
    <row r="92" spans="2:21" ht="16.5" thickBot="1">
      <c r="B92" s="64" t="s">
        <v>99</v>
      </c>
      <c r="K92" s="209"/>
    </row>
    <row r="93" spans="2:21">
      <c r="B93" s="63" t="s">
        <v>123</v>
      </c>
      <c r="C93" s="60"/>
      <c r="D93" s="149">
        <v>13.33</v>
      </c>
      <c r="E93" s="149">
        <v>12.09</v>
      </c>
      <c r="F93" s="149">
        <v>10.47</v>
      </c>
      <c r="G93" s="149">
        <v>9.42</v>
      </c>
      <c r="H93" s="149"/>
      <c r="I93" s="60" t="s">
        <v>215</v>
      </c>
      <c r="J93" s="58"/>
      <c r="K93" s="209"/>
    </row>
    <row r="94" spans="2:21">
      <c r="B94" s="53"/>
      <c r="C94" s="52"/>
      <c r="D94" s="210"/>
      <c r="E94" s="210"/>
      <c r="F94" s="210"/>
      <c r="G94" s="210"/>
      <c r="H94" s="210"/>
      <c r="I94" s="52"/>
      <c r="J94" s="49"/>
      <c r="K94" s="209"/>
    </row>
    <row r="95" spans="2:21">
      <c r="B95" s="53" t="s">
        <v>20</v>
      </c>
      <c r="C95" s="52" t="s">
        <v>27</v>
      </c>
      <c r="D95" s="208"/>
      <c r="E95" s="208"/>
      <c r="F95" s="208"/>
      <c r="G95" s="208"/>
      <c r="H95" s="208"/>
      <c r="I95" s="52"/>
      <c r="J95" s="49"/>
      <c r="K95" s="209"/>
    </row>
    <row r="96" spans="2:21">
      <c r="B96" s="53" t="s">
        <v>21</v>
      </c>
      <c r="C96" s="52" t="s">
        <v>27</v>
      </c>
      <c r="D96" s="208">
        <f t="shared" ref="D96:G100" si="5">D106/1000*D$93</f>
        <v>7.5989961745134265E-3</v>
      </c>
      <c r="E96" s="208">
        <f t="shared" si="5"/>
        <v>1.9705785595902914E-3</v>
      </c>
      <c r="F96" s="208">
        <f t="shared" si="5"/>
        <v>1.7065308121513938E-3</v>
      </c>
      <c r="G96" s="208">
        <f t="shared" si="5"/>
        <v>1.5353887536261822E-3</v>
      </c>
      <c r="H96" s="208"/>
      <c r="I96" s="52"/>
      <c r="J96" s="49"/>
      <c r="K96" s="209"/>
    </row>
    <row r="97" spans="2:13">
      <c r="B97" s="53" t="s">
        <v>22</v>
      </c>
      <c r="C97" s="52" t="s">
        <v>27</v>
      </c>
      <c r="D97" s="208">
        <f t="shared" si="5"/>
        <v>4.5138968201433864E-2</v>
      </c>
      <c r="E97" s="208">
        <f t="shared" si="5"/>
        <v>4.093999441525397E-2</v>
      </c>
      <c r="F97" s="208">
        <f t="shared" si="5"/>
        <v>3.5454238339760885E-2</v>
      </c>
      <c r="G97" s="208">
        <f t="shared" si="5"/>
        <v>3.1898655698237584E-2</v>
      </c>
      <c r="H97" s="208"/>
      <c r="I97" s="52"/>
      <c r="J97" s="49"/>
      <c r="K97" s="209"/>
    </row>
    <row r="98" spans="2:13">
      <c r="B98" s="53" t="s">
        <v>23</v>
      </c>
      <c r="C98" s="52" t="s">
        <v>27</v>
      </c>
      <c r="D98" s="208">
        <f t="shared" si="5"/>
        <v>6.2434264895630514E-3</v>
      </c>
      <c r="E98" s="208">
        <f t="shared" si="5"/>
        <v>5.6626426300688138E-3</v>
      </c>
      <c r="F98" s="208">
        <f t="shared" si="5"/>
        <v>4.903876620084408E-3</v>
      </c>
      <c r="G98" s="208">
        <f t="shared" si="5"/>
        <v>4.412083835835255E-3</v>
      </c>
      <c r="H98" s="208"/>
      <c r="I98" s="52"/>
      <c r="J98" s="49"/>
      <c r="K98" s="209"/>
    </row>
    <row r="99" spans="2:13">
      <c r="B99" s="139" t="s">
        <v>36</v>
      </c>
      <c r="C99" s="52" t="s">
        <v>27</v>
      </c>
      <c r="D99" s="208">
        <f t="shared" si="5"/>
        <v>4.6508268913979522</v>
      </c>
      <c r="E99" s="208">
        <f t="shared" si="5"/>
        <v>0.44063580255975404</v>
      </c>
      <c r="F99" s="208">
        <f t="shared" si="5"/>
        <v>0.3815927917949235</v>
      </c>
      <c r="G99" s="208">
        <f t="shared" si="5"/>
        <v>0.34332417370660734</v>
      </c>
      <c r="H99" s="208"/>
      <c r="I99" s="52"/>
      <c r="J99" s="94"/>
      <c r="K99" s="209"/>
    </row>
    <row r="100" spans="2:13">
      <c r="B100" s="53" t="s">
        <v>24</v>
      </c>
      <c r="C100" s="52" t="s">
        <v>27</v>
      </c>
      <c r="D100" s="208">
        <f t="shared" si="5"/>
        <v>4.3962091866647429E-2</v>
      </c>
      <c r="E100" s="208">
        <f t="shared" si="5"/>
        <v>4.3601899994902002E-3</v>
      </c>
      <c r="F100" s="208">
        <f t="shared" si="5"/>
        <v>3.7759461782185611E-3</v>
      </c>
      <c r="G100" s="208">
        <f t="shared" si="5"/>
        <v>3.3972696273943497E-3</v>
      </c>
      <c r="H100" s="208"/>
      <c r="I100" s="52"/>
      <c r="J100" s="94"/>
    </row>
    <row r="101" spans="2:13" ht="13.5" thickBot="1">
      <c r="B101" s="411"/>
      <c r="C101" s="412"/>
      <c r="D101" s="495"/>
      <c r="E101" s="495"/>
      <c r="F101" s="495"/>
      <c r="G101" s="495"/>
      <c r="H101" s="495"/>
      <c r="I101" s="412"/>
      <c r="J101" s="413"/>
    </row>
    <row r="103" spans="2:13" ht="13.5" thickBot="1">
      <c r="B103" s="129" t="s">
        <v>129</v>
      </c>
    </row>
    <row r="104" spans="2:13">
      <c r="B104" s="63"/>
      <c r="C104" s="60"/>
      <c r="D104" s="206">
        <v>2015</v>
      </c>
      <c r="E104" s="206">
        <v>2020</v>
      </c>
      <c r="F104" s="206">
        <v>2035</v>
      </c>
      <c r="G104" s="206">
        <v>2050</v>
      </c>
      <c r="H104" s="206"/>
    </row>
    <row r="105" spans="2:13">
      <c r="B105" s="205" t="s">
        <v>20</v>
      </c>
      <c r="C105" s="110" t="s">
        <v>130</v>
      </c>
      <c r="D105" s="203"/>
      <c r="E105" s="203"/>
      <c r="F105" s="203"/>
      <c r="G105" s="203"/>
      <c r="H105" s="203"/>
    </row>
    <row r="106" spans="2:13">
      <c r="B106" s="205" t="s">
        <v>21</v>
      </c>
      <c r="C106" s="52" t="s">
        <v>130</v>
      </c>
      <c r="D106" s="204">
        <f>'[9]EU Lastbil El'!D125</f>
        <v>0.57006722989598102</v>
      </c>
      <c r="E106" s="204">
        <f>'[9]EU Lastbil El'!E125</f>
        <v>0.16299243669067753</v>
      </c>
      <c r="F106" s="204">
        <f>'[9]EU Lastbil El'!F125</f>
        <v>0.16299243669067753</v>
      </c>
      <c r="G106" s="203">
        <f>F106</f>
        <v>0.16299243669067753</v>
      </c>
      <c r="H106" s="204"/>
      <c r="J106" s="153"/>
      <c r="K106" s="153"/>
      <c r="L106" s="153"/>
      <c r="M106" s="153"/>
    </row>
    <row r="107" spans="2:13">
      <c r="B107" s="205" t="s">
        <v>22</v>
      </c>
      <c r="C107" s="52" t="s">
        <v>130</v>
      </c>
      <c r="D107" s="204">
        <f>'[9]EU Lastbil El'!D126</f>
        <v>3.3862691824031406</v>
      </c>
      <c r="E107" s="204">
        <f>'[9]EU Lastbil El'!E126</f>
        <v>3.3862691824031406</v>
      </c>
      <c r="F107" s="204">
        <f>'[9]EU Lastbil El'!F126</f>
        <v>3.3862691824031406</v>
      </c>
      <c r="G107" s="203">
        <f>F107</f>
        <v>3.3862691824031406</v>
      </c>
      <c r="H107" s="204"/>
      <c r="J107" s="153"/>
      <c r="K107" s="153"/>
      <c r="L107" s="153"/>
      <c r="M107" s="153"/>
    </row>
    <row r="108" spans="2:13">
      <c r="B108" s="205" t="s">
        <v>23</v>
      </c>
      <c r="C108" s="52" t="s">
        <v>130</v>
      </c>
      <c r="D108" s="204">
        <f>'[9]EU Lastbil El'!D127</f>
        <v>0.46837408023728822</v>
      </c>
      <c r="E108" s="204">
        <f>'[9]EU Lastbil El'!E127</f>
        <v>0.46837408023728822</v>
      </c>
      <c r="F108" s="204">
        <f>'[9]EU Lastbil El'!F127</f>
        <v>0.46837408023728822</v>
      </c>
      <c r="G108" s="203">
        <f>F108</f>
        <v>0.46837408023728822</v>
      </c>
      <c r="H108" s="204"/>
      <c r="J108" s="153"/>
      <c r="K108" s="153"/>
      <c r="L108" s="153"/>
      <c r="M108" s="153"/>
    </row>
    <row r="109" spans="2:13">
      <c r="B109" s="108" t="s">
        <v>36</v>
      </c>
      <c r="C109" s="52" t="s">
        <v>130</v>
      </c>
      <c r="D109" s="203">
        <f>'[9]EU Lastbil El'!D128</f>
        <v>348.89924166526276</v>
      </c>
      <c r="E109" s="203">
        <f>'[9]EU Lastbil El'!E128</f>
        <v>36.446302941253435</v>
      </c>
      <c r="F109" s="203">
        <f>'[9]EU Lastbil El'!F128</f>
        <v>36.446302941253435</v>
      </c>
      <c r="G109" s="203">
        <f>F109</f>
        <v>36.446302941253435</v>
      </c>
      <c r="H109" s="203"/>
      <c r="J109" s="153"/>
      <c r="K109" s="153"/>
      <c r="L109" s="153"/>
      <c r="M109" s="153"/>
    </row>
    <row r="110" spans="2:13" ht="13.5" thickBot="1">
      <c r="B110" s="496" t="s">
        <v>24</v>
      </c>
      <c r="C110" s="412" t="s">
        <v>130</v>
      </c>
      <c r="D110" s="497">
        <f>'[9]EU Lastbil El'!D129</f>
        <v>3.2979813853448934</v>
      </c>
      <c r="E110" s="497">
        <f>'[9]EU Lastbil El'!E129</f>
        <v>0.36064433411829616</v>
      </c>
      <c r="F110" s="497">
        <f>'[9]EU Lastbil El'!F129</f>
        <v>0.36064433411829616</v>
      </c>
      <c r="G110" s="497">
        <f>F110</f>
        <v>0.36064433411829616</v>
      </c>
      <c r="H110" s="497"/>
      <c r="J110" s="153"/>
      <c r="K110" s="153"/>
      <c r="L110" s="153"/>
      <c r="M110" s="153"/>
    </row>
    <row r="113" spans="2:7">
      <c r="B113" s="200"/>
      <c r="C113" s="186"/>
      <c r="D113" s="186"/>
      <c r="E113" s="186"/>
      <c r="F113" s="186"/>
      <c r="G113" s="186"/>
    </row>
    <row r="114" spans="2:7">
      <c r="B114" s="200" t="s">
        <v>185</v>
      </c>
      <c r="C114" s="186"/>
      <c r="D114" s="186"/>
      <c r="E114" s="186"/>
      <c r="F114" s="186"/>
      <c r="G114" s="186"/>
    </row>
    <row r="115" spans="2:7">
      <c r="B115" s="498"/>
      <c r="C115" s="498"/>
      <c r="D115" s="499">
        <v>2015</v>
      </c>
      <c r="E115" s="499">
        <v>2020</v>
      </c>
      <c r="F115" s="499">
        <v>2035</v>
      </c>
      <c r="G115" s="186"/>
    </row>
    <row r="116" spans="2:7">
      <c r="B116" s="188"/>
      <c r="C116" s="188"/>
      <c r="D116" s="198" t="s">
        <v>184</v>
      </c>
      <c r="E116" s="198" t="s">
        <v>154</v>
      </c>
      <c r="F116" s="198" t="s">
        <v>154</v>
      </c>
      <c r="G116" s="186"/>
    </row>
    <row r="117" spans="2:7">
      <c r="B117" s="498" t="s">
        <v>183</v>
      </c>
      <c r="C117" s="498" t="s">
        <v>124</v>
      </c>
      <c r="D117" s="500">
        <v>8.8593075104294687</v>
      </c>
      <c r="E117" s="500">
        <v>8.8593075104294687</v>
      </c>
      <c r="F117" s="500">
        <v>8.8593075104294687</v>
      </c>
      <c r="G117" s="186"/>
    </row>
    <row r="118" spans="2:7">
      <c r="B118" s="190" t="s">
        <v>20</v>
      </c>
      <c r="C118" s="190" t="s">
        <v>27</v>
      </c>
      <c r="D118" s="195">
        <v>655.58875577178071</v>
      </c>
      <c r="E118" s="195">
        <v>655.58875577178071</v>
      </c>
      <c r="F118" s="195">
        <v>655.58875577178071</v>
      </c>
      <c r="G118" s="186"/>
    </row>
    <row r="119" spans="2:7">
      <c r="B119" s="190" t="s">
        <v>21</v>
      </c>
      <c r="C119" s="190" t="s">
        <v>27</v>
      </c>
      <c r="D119" s="194">
        <v>5.0504008912671868E-3</v>
      </c>
      <c r="E119" s="194">
        <v>1.4440001185169191E-3</v>
      </c>
      <c r="F119" s="194">
        <v>1.4440001185169191E-3</v>
      </c>
      <c r="G119" s="186"/>
    </row>
    <row r="120" spans="2:7">
      <c r="B120" s="190" t="s">
        <v>22</v>
      </c>
      <c r="C120" s="190" t="s">
        <v>27</v>
      </c>
      <c r="D120" s="194">
        <v>0.03</v>
      </c>
      <c r="E120" s="194">
        <v>0.03</v>
      </c>
      <c r="F120" s="194">
        <v>0.03</v>
      </c>
      <c r="G120" s="186"/>
    </row>
    <row r="121" spans="2:7">
      <c r="B121" s="190" t="s">
        <v>23</v>
      </c>
      <c r="C121" s="190" t="s">
        <v>27</v>
      </c>
      <c r="D121" s="194">
        <v>4.1494700067367021E-3</v>
      </c>
      <c r="E121" s="194">
        <v>4.1494700067367021E-3</v>
      </c>
      <c r="F121" s="194">
        <v>4.1494700067367021E-3</v>
      </c>
      <c r="G121" s="186"/>
    </row>
    <row r="122" spans="2:7">
      <c r="B122" s="190" t="s">
        <v>36</v>
      </c>
      <c r="C122" s="190" t="s">
        <v>27</v>
      </c>
      <c r="D122" s="194">
        <v>3.0910056720682086</v>
      </c>
      <c r="E122" s="194">
        <v>0.32288900537483423</v>
      </c>
      <c r="F122" s="194">
        <v>0.32288900537483423</v>
      </c>
      <c r="G122" s="186"/>
    </row>
    <row r="123" spans="2:7">
      <c r="B123" s="188" t="s">
        <v>182</v>
      </c>
      <c r="C123" s="188" t="s">
        <v>27</v>
      </c>
      <c r="D123" s="193">
        <v>2.9217831256442596E-2</v>
      </c>
      <c r="E123" s="193">
        <v>3.1950590578480559E-3</v>
      </c>
      <c r="F123" s="193">
        <v>3.1950590578480559E-3</v>
      </c>
      <c r="G123" s="186"/>
    </row>
    <row r="124" spans="2:7">
      <c r="B124" s="190" t="s">
        <v>20</v>
      </c>
      <c r="C124" s="190" t="s">
        <v>130</v>
      </c>
      <c r="D124" s="192">
        <f t="shared" ref="D124:F129" si="6">1000*D118/D$117</f>
        <v>74000</v>
      </c>
      <c r="E124" s="192">
        <f t="shared" si="6"/>
        <v>74000</v>
      </c>
      <c r="F124" s="192">
        <f t="shared" si="6"/>
        <v>74000</v>
      </c>
      <c r="G124" s="186"/>
    </row>
    <row r="125" spans="2:7">
      <c r="B125" s="190" t="s">
        <v>21</v>
      </c>
      <c r="C125" s="190" t="s">
        <v>130</v>
      </c>
      <c r="D125" s="191">
        <f t="shared" si="6"/>
        <v>0.57006722989598102</v>
      </c>
      <c r="E125" s="191">
        <f t="shared" si="6"/>
        <v>0.16299243669067753</v>
      </c>
      <c r="F125" s="191">
        <f t="shared" si="6"/>
        <v>0.16299243669067753</v>
      </c>
      <c r="G125" s="186"/>
    </row>
    <row r="126" spans="2:7">
      <c r="B126" s="190" t="s">
        <v>22</v>
      </c>
      <c r="C126" s="190" t="s">
        <v>130</v>
      </c>
      <c r="D126" s="191">
        <f t="shared" si="6"/>
        <v>3.3862691824031406</v>
      </c>
      <c r="E126" s="191">
        <f t="shared" si="6"/>
        <v>3.3862691824031406</v>
      </c>
      <c r="F126" s="191">
        <f t="shared" si="6"/>
        <v>3.3862691824031406</v>
      </c>
      <c r="G126" s="186"/>
    </row>
    <row r="127" spans="2:7">
      <c r="B127" s="190" t="s">
        <v>23</v>
      </c>
      <c r="C127" s="190" t="s">
        <v>130</v>
      </c>
      <c r="D127" s="191">
        <f t="shared" si="6"/>
        <v>0.46837408023728822</v>
      </c>
      <c r="E127" s="191">
        <f t="shared" si="6"/>
        <v>0.46837408023728822</v>
      </c>
      <c r="F127" s="191">
        <f t="shared" si="6"/>
        <v>0.46837408023728822</v>
      </c>
      <c r="G127" s="186"/>
    </row>
    <row r="128" spans="2:7">
      <c r="B128" s="190" t="s">
        <v>36</v>
      </c>
      <c r="C128" s="190" t="s">
        <v>130</v>
      </c>
      <c r="D128" s="189">
        <f t="shared" si="6"/>
        <v>348.89924166526276</v>
      </c>
      <c r="E128" s="189">
        <f t="shared" si="6"/>
        <v>36.446302941253435</v>
      </c>
      <c r="F128" s="189">
        <f t="shared" si="6"/>
        <v>36.446302941253435</v>
      </c>
      <c r="G128" s="186"/>
    </row>
    <row r="129" spans="2:7">
      <c r="B129" s="188" t="s">
        <v>182</v>
      </c>
      <c r="C129" s="188" t="s">
        <v>130</v>
      </c>
      <c r="D129" s="187">
        <f t="shared" si="6"/>
        <v>3.2979813853448934</v>
      </c>
      <c r="E129" s="187">
        <f t="shared" si="6"/>
        <v>0.36064433411829616</v>
      </c>
      <c r="F129" s="187">
        <f t="shared" si="6"/>
        <v>0.36064433411829616</v>
      </c>
      <c r="G129" s="186"/>
    </row>
    <row r="130" spans="2:7">
      <c r="B130" s="186" t="s">
        <v>181</v>
      </c>
      <c r="C130" s="186"/>
      <c r="D130" s="186"/>
      <c r="E130" s="186"/>
      <c r="F130" s="186"/>
      <c r="G130" s="186"/>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F6DDB41-F0B9-44CB-8981-FBAB872CA6F7}">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2060"/>
    <pageSetUpPr fitToPage="1"/>
  </sheetPr>
  <dimension ref="B1:S99"/>
  <sheetViews>
    <sheetView topLeftCell="A13" zoomScale="80" zoomScaleNormal="80"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7.140625" style="40" customWidth="1"/>
    <col min="10" max="10" width="37.42578125" style="40" customWidth="1"/>
    <col min="11" max="11" width="9" style="40" customWidth="1"/>
    <col min="12" max="12" width="10.85546875" style="40" customWidth="1"/>
    <col min="13" max="13" width="9.140625" style="40" customWidth="1"/>
    <col min="14" max="14" width="9" style="40" customWidth="1"/>
    <col min="15" max="15" width="8.85546875" style="40"/>
    <col min="16" max="16" width="37.85546875" style="40" customWidth="1"/>
    <col min="17" max="18" width="8.85546875" style="40"/>
    <col min="19" max="19" width="9.140625" style="40" customWidth="1"/>
    <col min="20" max="16384" width="8.85546875" style="40"/>
  </cols>
  <sheetData>
    <row r="1" spans="2:19" s="37" customFormat="1" ht="21">
      <c r="B1" s="37" t="s">
        <v>189</v>
      </c>
      <c r="Q1" s="37">
        <v>0</v>
      </c>
      <c r="R1" s="39">
        <v>0</v>
      </c>
      <c r="S1" s="38"/>
    </row>
    <row r="2" spans="2:19">
      <c r="R2" s="133"/>
      <c r="S2" s="133"/>
    </row>
    <row r="4" spans="2:19" ht="13.5" thickBot="1">
      <c r="B4" s="129" t="s">
        <v>65</v>
      </c>
    </row>
    <row r="5" spans="2:19">
      <c r="B5" s="132" t="s">
        <v>66</v>
      </c>
      <c r="C5" s="60"/>
      <c r="D5" s="60"/>
      <c r="E5" s="60"/>
      <c r="F5" s="60"/>
      <c r="G5" s="60"/>
      <c r="H5" s="60"/>
      <c r="I5" s="60"/>
      <c r="J5" s="60"/>
      <c r="K5" s="60"/>
      <c r="L5" s="60"/>
      <c r="M5" s="60"/>
      <c r="N5" s="60"/>
      <c r="O5" s="58"/>
    </row>
    <row r="6" spans="2:19">
      <c r="B6" s="108" t="s">
        <v>137</v>
      </c>
      <c r="C6" s="52"/>
      <c r="D6" s="52"/>
      <c r="E6" s="52"/>
      <c r="F6" s="52"/>
      <c r="G6" s="52"/>
      <c r="H6" s="52"/>
      <c r="I6" s="52"/>
      <c r="J6" s="52"/>
      <c r="K6" s="52"/>
      <c r="L6" s="52"/>
      <c r="M6" s="52"/>
      <c r="N6" s="52"/>
      <c r="O6" s="49"/>
    </row>
    <row r="7" spans="2:19">
      <c r="B7" s="108"/>
      <c r="C7" s="52"/>
      <c r="D7" s="52"/>
      <c r="E7" s="52"/>
      <c r="F7" s="52"/>
      <c r="G7" s="52"/>
      <c r="H7" s="52"/>
      <c r="I7" s="52"/>
      <c r="J7" s="52"/>
      <c r="K7" s="52"/>
      <c r="L7" s="52"/>
      <c r="M7" s="52"/>
      <c r="N7" s="52"/>
      <c r="O7" s="49"/>
    </row>
    <row r="8" spans="2:19">
      <c r="B8" s="108"/>
      <c r="C8" s="52"/>
      <c r="D8" s="52"/>
      <c r="E8" s="52"/>
      <c r="F8" s="52"/>
      <c r="G8" s="52"/>
      <c r="H8" s="52"/>
      <c r="I8" s="52"/>
      <c r="J8" s="52"/>
      <c r="K8" s="52"/>
      <c r="L8" s="52"/>
      <c r="M8" s="52"/>
      <c r="N8" s="52"/>
      <c r="O8" s="49"/>
    </row>
    <row r="9" spans="2:19">
      <c r="B9" s="131" t="s">
        <v>147</v>
      </c>
      <c r="C9" s="36" t="s">
        <v>153</v>
      </c>
      <c r="D9" s="52"/>
      <c r="E9" s="52"/>
      <c r="F9" s="52"/>
      <c r="G9" s="52"/>
      <c r="H9" s="52"/>
      <c r="I9" s="52"/>
      <c r="J9" s="52"/>
      <c r="K9" s="52"/>
      <c r="L9" s="52"/>
      <c r="M9" s="52"/>
      <c r="N9" s="52"/>
      <c r="O9" s="49"/>
    </row>
    <row r="10" spans="2:19">
      <c r="B10" s="108"/>
      <c r="C10" s="52"/>
      <c r="D10" s="52"/>
      <c r="E10" s="52"/>
      <c r="F10" s="52"/>
      <c r="G10" s="52"/>
      <c r="H10" s="52"/>
      <c r="I10" s="52"/>
      <c r="J10" s="52"/>
      <c r="K10" s="52"/>
      <c r="L10" s="52"/>
      <c r="M10" s="52"/>
      <c r="N10" s="52"/>
      <c r="O10" s="49"/>
    </row>
    <row r="11" spans="2:19">
      <c r="B11" s="130" t="s">
        <v>67</v>
      </c>
      <c r="C11" s="52"/>
      <c r="D11" s="52"/>
      <c r="E11" s="52"/>
      <c r="F11" s="52"/>
      <c r="G11" s="52"/>
      <c r="H11" s="52"/>
      <c r="I11" s="52"/>
      <c r="J11" s="52"/>
      <c r="K11" s="52"/>
      <c r="L11" s="52"/>
      <c r="M11" s="52"/>
      <c r="N11" s="52"/>
      <c r="O11" s="49"/>
    </row>
    <row r="12" spans="2:19">
      <c r="B12" s="108" t="s">
        <v>188</v>
      </c>
      <c r="C12" s="52"/>
      <c r="D12" s="52"/>
      <c r="E12" s="52"/>
      <c r="F12" s="52"/>
      <c r="G12" s="52"/>
      <c r="H12" s="52"/>
      <c r="I12" s="52"/>
      <c r="J12" s="52"/>
      <c r="K12" s="52"/>
      <c r="L12" s="52"/>
      <c r="M12" s="52"/>
      <c r="N12" s="52"/>
      <c r="O12" s="49"/>
    </row>
    <row r="13" spans="2:19">
      <c r="B13" s="108" t="s">
        <v>187</v>
      </c>
      <c r="C13" s="52"/>
      <c r="D13" s="52"/>
      <c r="E13" s="52"/>
      <c r="F13" s="52"/>
      <c r="G13" s="52"/>
      <c r="H13" s="52"/>
      <c r="I13" s="52"/>
      <c r="J13" s="52"/>
      <c r="K13" s="52"/>
      <c r="L13" s="52"/>
      <c r="M13" s="52"/>
      <c r="N13" s="52"/>
      <c r="O13" s="49"/>
    </row>
    <row r="14" spans="2:19">
      <c r="B14" s="130" t="s">
        <v>68</v>
      </c>
      <c r="C14" s="52"/>
      <c r="D14" s="52"/>
      <c r="E14" s="52"/>
      <c r="F14" s="52"/>
      <c r="G14" s="52"/>
      <c r="H14" s="52"/>
      <c r="I14" s="52"/>
      <c r="J14" s="52"/>
      <c r="K14" s="52"/>
      <c r="L14" s="52"/>
      <c r="M14" s="52"/>
      <c r="N14" s="52"/>
      <c r="O14" s="49"/>
    </row>
    <row r="15" spans="2:19">
      <c r="B15" s="108"/>
      <c r="C15" s="52"/>
      <c r="D15" s="52"/>
      <c r="E15" s="52"/>
      <c r="F15" s="52"/>
      <c r="G15" s="52"/>
      <c r="H15" s="52"/>
      <c r="I15" s="52"/>
      <c r="J15" s="52"/>
      <c r="K15" s="52"/>
      <c r="L15" s="52"/>
      <c r="M15" s="52"/>
      <c r="N15" s="52"/>
      <c r="O15" s="49"/>
    </row>
    <row r="16" spans="2:19">
      <c r="B16" s="103"/>
      <c r="C16" s="52"/>
      <c r="D16" s="52"/>
      <c r="E16" s="52"/>
      <c r="F16" s="52"/>
      <c r="G16" s="52"/>
      <c r="H16" s="52"/>
      <c r="I16" s="52"/>
      <c r="J16" s="52"/>
      <c r="K16" s="52"/>
      <c r="L16" s="52"/>
      <c r="M16" s="52"/>
      <c r="N16" s="52"/>
      <c r="O16" s="49"/>
    </row>
    <row r="17" spans="2:15" ht="13.5" thickBot="1">
      <c r="B17" s="48"/>
      <c r="C17" s="47"/>
      <c r="D17" s="47"/>
      <c r="E17" s="47"/>
      <c r="F17" s="47"/>
      <c r="G17" s="47"/>
      <c r="H17" s="47"/>
      <c r="I17" s="47"/>
      <c r="J17" s="47"/>
      <c r="K17" s="47"/>
      <c r="L17" s="47"/>
      <c r="M17" s="47"/>
      <c r="N17" s="47"/>
      <c r="O17" s="65"/>
    </row>
    <row r="19" spans="2:15" ht="13.5" thickBot="1">
      <c r="B19" s="129" t="s">
        <v>69</v>
      </c>
      <c r="E19" s="128"/>
      <c r="F19" s="128"/>
      <c r="G19" s="128"/>
    </row>
    <row r="20" spans="2:15">
      <c r="B20" s="63"/>
      <c r="C20" s="85"/>
      <c r="D20" s="141"/>
      <c r="E20" s="60"/>
      <c r="F20" s="60"/>
      <c r="G20" s="60"/>
      <c r="H20" s="60"/>
      <c r="I20" s="60" t="s">
        <v>70</v>
      </c>
      <c r="J20" s="58" t="s">
        <v>71</v>
      </c>
    </row>
    <row r="21" spans="2:15">
      <c r="B21" s="84"/>
      <c r="C21" s="83" t="s">
        <v>72</v>
      </c>
      <c r="D21" s="82">
        <v>2015</v>
      </c>
      <c r="E21" s="81">
        <v>2020</v>
      </c>
      <c r="F21" s="81">
        <v>2035</v>
      </c>
      <c r="G21" s="81"/>
      <c r="H21" s="81" t="s">
        <v>73</v>
      </c>
      <c r="I21" s="127"/>
      <c r="J21" s="79"/>
    </row>
    <row r="22" spans="2:15">
      <c r="B22" s="103" t="s">
        <v>74</v>
      </c>
      <c r="C22" s="93"/>
      <c r="D22" s="147"/>
      <c r="E22" s="126"/>
      <c r="F22" s="126"/>
      <c r="G22" s="126"/>
      <c r="H22" s="126"/>
      <c r="I22" s="52"/>
      <c r="J22" s="49"/>
    </row>
    <row r="23" spans="2:15">
      <c r="B23" s="120" t="s">
        <v>75</v>
      </c>
      <c r="C23" s="93" t="s">
        <v>149</v>
      </c>
      <c r="D23" s="225">
        <f>D71</f>
        <v>0.192</v>
      </c>
      <c r="E23" s="224">
        <f>E71</f>
        <v>0.20200000000000001</v>
      </c>
      <c r="F23" s="224">
        <f>F71</f>
        <v>0.222</v>
      </c>
      <c r="G23" s="224">
        <f>G71</f>
        <v>0.24199999999999999</v>
      </c>
      <c r="H23" s="122"/>
      <c r="I23" s="152"/>
      <c r="J23" s="49"/>
      <c r="K23" s="209"/>
    </row>
    <row r="24" spans="2:15">
      <c r="B24" s="120" t="s">
        <v>76</v>
      </c>
      <c r="C24" s="93" t="s">
        <v>149</v>
      </c>
      <c r="D24" s="119">
        <f>D23</f>
        <v>0.192</v>
      </c>
      <c r="E24" s="118">
        <f>E23</f>
        <v>0.20200000000000001</v>
      </c>
      <c r="F24" s="118">
        <f>F23</f>
        <v>0.222</v>
      </c>
      <c r="G24" s="118">
        <f>G23</f>
        <v>0.24199999999999999</v>
      </c>
      <c r="H24" s="122"/>
      <c r="I24" s="152"/>
      <c r="J24" s="49"/>
      <c r="K24" s="209"/>
    </row>
    <row r="25" spans="2:15">
      <c r="B25" s="120" t="s">
        <v>77</v>
      </c>
      <c r="C25" s="93" t="s">
        <v>78</v>
      </c>
      <c r="D25" s="119">
        <f>D75</f>
        <v>13.191145833333334</v>
      </c>
      <c r="E25" s="118">
        <f>E75</f>
        <v>11.970297029702971</v>
      </c>
      <c r="F25" s="118">
        <f>F75</f>
        <v>10.375675675675677</v>
      </c>
      <c r="G25" s="118">
        <f>G75</f>
        <v>9.3421487603305771</v>
      </c>
      <c r="H25" s="117"/>
      <c r="I25" s="152"/>
      <c r="J25" s="49"/>
      <c r="K25" s="209"/>
    </row>
    <row r="26" spans="2:15">
      <c r="B26" s="120" t="s">
        <v>79</v>
      </c>
      <c r="C26" s="93" t="s">
        <v>78</v>
      </c>
      <c r="D26" s="119"/>
      <c r="E26" s="118"/>
      <c r="F26" s="118"/>
      <c r="G26" s="118"/>
      <c r="H26" s="117"/>
      <c r="I26" s="152"/>
      <c r="J26" s="49"/>
      <c r="K26" s="209"/>
    </row>
    <row r="27" spans="2:15">
      <c r="B27" s="108" t="s">
        <v>80</v>
      </c>
      <c r="C27" s="93" t="s">
        <v>81</v>
      </c>
      <c r="D27" s="115">
        <v>6</v>
      </c>
      <c r="E27" s="100">
        <v>6</v>
      </c>
      <c r="F27" s="100">
        <v>6</v>
      </c>
      <c r="G27" s="100">
        <v>6</v>
      </c>
      <c r="H27" s="100"/>
      <c r="I27" s="74" t="s">
        <v>186</v>
      </c>
      <c r="J27" s="49"/>
      <c r="K27" s="209"/>
    </row>
    <row r="28" spans="2:15">
      <c r="B28" s="108" t="s">
        <v>82</v>
      </c>
      <c r="C28" s="93" t="s">
        <v>83</v>
      </c>
      <c r="D28" s="146">
        <f>+D67*D68/1000</f>
        <v>126.63500000000002</v>
      </c>
      <c r="E28" s="114">
        <f>+E67*E68/1000</f>
        <v>120.90000000000002</v>
      </c>
      <c r="F28" s="114">
        <f>+F67*F68/1000</f>
        <v>115.17000000000002</v>
      </c>
      <c r="G28" s="114">
        <f>+G67*G68/1000</f>
        <v>113.03999999999999</v>
      </c>
      <c r="H28" s="113"/>
      <c r="I28" s="152"/>
      <c r="J28" s="49"/>
      <c r="K28" s="209"/>
    </row>
    <row r="29" spans="2:15">
      <c r="B29" s="53"/>
      <c r="C29" s="112"/>
      <c r="D29" s="109"/>
      <c r="E29" s="73"/>
      <c r="F29" s="73"/>
      <c r="G29" s="73"/>
      <c r="H29" s="73"/>
      <c r="I29" s="52"/>
      <c r="J29" s="49"/>
      <c r="K29" s="209"/>
    </row>
    <row r="30" spans="2:15">
      <c r="B30" s="103" t="s">
        <v>84</v>
      </c>
      <c r="C30" s="93"/>
      <c r="D30" s="109"/>
      <c r="E30" s="73"/>
      <c r="F30" s="73"/>
      <c r="G30" s="73"/>
      <c r="H30" s="73"/>
      <c r="I30" s="52"/>
      <c r="J30" s="49"/>
      <c r="K30" s="209"/>
    </row>
    <row r="31" spans="2:15">
      <c r="B31" s="108" t="s">
        <v>85</v>
      </c>
      <c r="C31" s="93" t="s">
        <v>15</v>
      </c>
      <c r="D31" s="111">
        <v>779893.90271614201</v>
      </c>
      <c r="E31" s="111">
        <v>779893.90271614201</v>
      </c>
      <c r="F31" s="111">
        <v>779893.90271614201</v>
      </c>
      <c r="G31" s="111">
        <v>779893.90271614201</v>
      </c>
      <c r="H31" s="110">
        <v>2015</v>
      </c>
      <c r="I31" s="54"/>
      <c r="J31" s="49"/>
    </row>
    <row r="32" spans="2:15">
      <c r="B32" s="53" t="s">
        <v>16</v>
      </c>
      <c r="C32" s="93" t="s">
        <v>17</v>
      </c>
      <c r="D32" s="111">
        <v>2492.6013469287059</v>
      </c>
      <c r="E32" s="111">
        <v>2610.8401287701954</v>
      </c>
      <c r="F32" s="111">
        <v>2740.736055989551</v>
      </c>
      <c r="G32" s="111">
        <v>2792.3794370870196</v>
      </c>
      <c r="H32" s="110">
        <v>2015</v>
      </c>
      <c r="I32" s="54"/>
      <c r="J32" s="49"/>
    </row>
    <row r="33" spans="2:11">
      <c r="B33" s="104" t="s">
        <v>18</v>
      </c>
      <c r="C33" s="93" t="s">
        <v>17</v>
      </c>
      <c r="D33" s="111">
        <v>1213.3511438994574</v>
      </c>
      <c r="E33" s="111">
        <v>1270.9075443152008</v>
      </c>
      <c r="F33" s="111">
        <v>1334.1384223991297</v>
      </c>
      <c r="G33" s="111">
        <v>1359.2774425664172</v>
      </c>
      <c r="H33" s="110">
        <v>2015</v>
      </c>
      <c r="I33" s="54"/>
      <c r="J33" s="49"/>
    </row>
    <row r="34" spans="2:11">
      <c r="B34" s="104" t="s">
        <v>19</v>
      </c>
      <c r="C34" s="93" t="s">
        <v>17</v>
      </c>
      <c r="D34" s="111">
        <v>1279.2502030292483</v>
      </c>
      <c r="E34" s="111">
        <v>1339.9325844549946</v>
      </c>
      <c r="F34" s="111">
        <v>1406.5976335904218</v>
      </c>
      <c r="G34" s="111">
        <v>1433.1019945206024</v>
      </c>
      <c r="H34" s="110">
        <v>2015</v>
      </c>
      <c r="I34" s="54"/>
      <c r="J34" s="49"/>
    </row>
    <row r="35" spans="2:11">
      <c r="B35" s="104"/>
      <c r="C35" s="93"/>
      <c r="D35" s="111"/>
      <c r="E35" s="111"/>
      <c r="F35" s="111"/>
      <c r="G35" s="111"/>
      <c r="H35" s="110"/>
      <c r="I35" s="54"/>
      <c r="J35" s="49"/>
    </row>
    <row r="36" spans="2:11">
      <c r="B36" s="104" t="s">
        <v>86</v>
      </c>
      <c r="C36" s="93" t="s">
        <v>17</v>
      </c>
      <c r="D36" s="111">
        <v>0</v>
      </c>
      <c r="E36" s="111">
        <v>0</v>
      </c>
      <c r="F36" s="111">
        <v>0</v>
      </c>
      <c r="G36" s="111">
        <v>0</v>
      </c>
      <c r="H36" s="110">
        <v>2015</v>
      </c>
      <c r="I36" s="54"/>
      <c r="J36" s="49"/>
    </row>
    <row r="37" spans="2:11">
      <c r="B37" s="103"/>
      <c r="C37" s="93"/>
      <c r="D37" s="109"/>
      <c r="E37" s="73"/>
      <c r="F37" s="73"/>
      <c r="G37" s="73"/>
      <c r="H37" s="73"/>
      <c r="I37" s="54"/>
      <c r="J37" s="49"/>
    </row>
    <row r="38" spans="2:11">
      <c r="B38" s="108" t="s">
        <v>85</v>
      </c>
      <c r="C38" s="93" t="s">
        <v>15</v>
      </c>
      <c r="D38" s="218">
        <v>751018.91308317415</v>
      </c>
      <c r="E38" s="218">
        <v>751018.91308317415</v>
      </c>
      <c r="F38" s="218">
        <v>751018.91308317415</v>
      </c>
      <c r="G38" s="218">
        <v>751018.91308317415</v>
      </c>
      <c r="H38" s="105">
        <v>2013</v>
      </c>
      <c r="I38" s="74" t="s">
        <v>186</v>
      </c>
      <c r="J38" s="49"/>
      <c r="K38" s="209"/>
    </row>
    <row r="39" spans="2:11">
      <c r="B39" s="53" t="s">
        <v>16</v>
      </c>
      <c r="C39" s="93" t="s">
        <v>17</v>
      </c>
      <c r="D39" s="222">
        <f>+SUM(D40:D43)</f>
        <v>2400.3146425436294</v>
      </c>
      <c r="E39" s="223">
        <f>+SUM(E40:E43)</f>
        <v>2514.1757217412114</v>
      </c>
      <c r="F39" s="223">
        <f>+SUM(F40:F43)</f>
        <v>2639.2623492099719</v>
      </c>
      <c r="G39" s="223">
        <f>+SUM(G40:G43)</f>
        <v>2688.9936726690776</v>
      </c>
      <c r="H39" s="105">
        <v>2013</v>
      </c>
      <c r="I39" s="152"/>
      <c r="J39" s="49"/>
      <c r="K39" s="209"/>
    </row>
    <row r="40" spans="2:11">
      <c r="B40" s="104" t="s">
        <v>18</v>
      </c>
      <c r="C40" s="93" t="s">
        <v>17</v>
      </c>
      <c r="D40" s="222">
        <v>1168.4277234454339</v>
      </c>
      <c r="E40" s="223">
        <v>1223.8531410960506</v>
      </c>
      <c r="F40" s="223">
        <v>1284.742943114635</v>
      </c>
      <c r="G40" s="223">
        <v>1308.9512098240671</v>
      </c>
      <c r="H40" s="105">
        <v>2013</v>
      </c>
      <c r="I40" s="152"/>
      <c r="J40" s="49"/>
      <c r="K40" s="209"/>
    </row>
    <row r="41" spans="2:11">
      <c r="B41" s="104" t="s">
        <v>19</v>
      </c>
      <c r="C41" s="93" t="s">
        <v>17</v>
      </c>
      <c r="D41" s="222">
        <f>(D68*D69)/D28</f>
        <v>1231.8869190981954</v>
      </c>
      <c r="E41" s="223">
        <f>(E68*E69)/E28</f>
        <v>1290.322580645161</v>
      </c>
      <c r="F41" s="223">
        <f>(F68*F69)/F28</f>
        <v>1354.5194060953372</v>
      </c>
      <c r="G41" s="223">
        <f>(G68*G69)/G28</f>
        <v>1380.0424628450107</v>
      </c>
      <c r="H41" s="105">
        <v>2013</v>
      </c>
      <c r="I41" s="152"/>
      <c r="J41" s="94" t="s">
        <v>125</v>
      </c>
      <c r="K41" s="209"/>
    </row>
    <row r="42" spans="2:11">
      <c r="B42" s="104"/>
      <c r="C42" s="93"/>
      <c r="D42" s="109"/>
      <c r="E42" s="73"/>
      <c r="F42" s="73"/>
      <c r="G42" s="73"/>
      <c r="H42" s="105"/>
      <c r="I42" s="152"/>
      <c r="J42" s="49"/>
      <c r="K42" s="209"/>
    </row>
    <row r="43" spans="2:11">
      <c r="B43" s="104" t="s">
        <v>86</v>
      </c>
      <c r="C43" s="93" t="s">
        <v>17</v>
      </c>
      <c r="D43" s="222">
        <v>0</v>
      </c>
      <c r="E43" s="221">
        <v>0</v>
      </c>
      <c r="F43" s="221">
        <v>0</v>
      </c>
      <c r="G43" s="221">
        <v>0</v>
      </c>
      <c r="H43" s="105">
        <v>2013</v>
      </c>
      <c r="I43" s="152"/>
      <c r="J43" s="94"/>
      <c r="K43" s="209"/>
    </row>
    <row r="44" spans="2:11">
      <c r="B44" s="104"/>
      <c r="C44" s="93"/>
      <c r="D44" s="109"/>
      <c r="E44" s="73"/>
      <c r="F44" s="73"/>
      <c r="G44" s="73"/>
      <c r="H44" s="73"/>
      <c r="I44" s="152"/>
      <c r="J44" s="49"/>
      <c r="K44" s="209"/>
    </row>
    <row r="45" spans="2:11">
      <c r="B45" s="103" t="s">
        <v>87</v>
      </c>
      <c r="C45" s="93"/>
      <c r="D45" s="109"/>
      <c r="E45" s="73"/>
      <c r="F45" s="73"/>
      <c r="G45" s="73"/>
      <c r="H45" s="102"/>
      <c r="I45" s="152"/>
      <c r="J45" s="49"/>
      <c r="K45" s="209"/>
    </row>
    <row r="46" spans="2:11">
      <c r="B46" s="98" t="s">
        <v>30</v>
      </c>
      <c r="C46" s="93"/>
      <c r="D46" s="109"/>
      <c r="E46" s="73"/>
      <c r="F46" s="73"/>
      <c r="G46" s="73"/>
      <c r="H46" s="101"/>
      <c r="I46" s="152"/>
      <c r="J46" s="49"/>
      <c r="K46" s="209"/>
    </row>
    <row r="47" spans="2:11">
      <c r="B47" s="53" t="s">
        <v>20</v>
      </c>
      <c r="C47" s="93" t="s">
        <v>148</v>
      </c>
      <c r="D47" s="220"/>
      <c r="E47" s="96"/>
      <c r="F47" s="96"/>
      <c r="G47" s="96"/>
      <c r="H47" s="101"/>
      <c r="I47" s="152"/>
      <c r="J47" s="94" t="s">
        <v>88</v>
      </c>
      <c r="K47" s="209"/>
    </row>
    <row r="48" spans="2:11">
      <c r="B48" s="53" t="s">
        <v>21</v>
      </c>
      <c r="C48" s="93" t="s">
        <v>148</v>
      </c>
      <c r="D48" s="99">
        <f t="shared" ref="D48:G52" si="0">D78/D$75</f>
        <v>5.70067229895981E-4</v>
      </c>
      <c r="E48" s="99">
        <f t="shared" si="0"/>
        <v>1.6299243669067753E-4</v>
      </c>
      <c r="F48" s="99">
        <f t="shared" si="0"/>
        <v>1.6299243669067753E-4</v>
      </c>
      <c r="G48" s="99">
        <f t="shared" si="0"/>
        <v>1.6299243669067753E-4</v>
      </c>
      <c r="H48" s="95"/>
      <c r="I48" s="152"/>
      <c r="J48" s="49"/>
      <c r="K48" s="209"/>
    </row>
    <row r="49" spans="2:11">
      <c r="B49" s="53" t="s">
        <v>22</v>
      </c>
      <c r="C49" s="93" t="s">
        <v>148</v>
      </c>
      <c r="D49" s="99">
        <f t="shared" si="0"/>
        <v>3.3862691824031411E-3</v>
      </c>
      <c r="E49" s="99">
        <f t="shared" si="0"/>
        <v>3.3862691824031407E-3</v>
      </c>
      <c r="F49" s="99">
        <f t="shared" si="0"/>
        <v>3.3862691824031407E-3</v>
      </c>
      <c r="G49" s="99">
        <f t="shared" si="0"/>
        <v>3.3862691824031402E-3</v>
      </c>
      <c r="H49" s="73"/>
      <c r="I49" s="152"/>
      <c r="J49" s="49"/>
      <c r="K49" s="209"/>
    </row>
    <row r="50" spans="2:11">
      <c r="B50" s="53" t="s">
        <v>23</v>
      </c>
      <c r="C50" s="93" t="s">
        <v>148</v>
      </c>
      <c r="D50" s="99">
        <f t="shared" si="0"/>
        <v>4.6837408023728819E-4</v>
      </c>
      <c r="E50" s="99">
        <f t="shared" si="0"/>
        <v>4.6837408023728819E-4</v>
      </c>
      <c r="F50" s="99">
        <f t="shared" si="0"/>
        <v>4.6837408023728819E-4</v>
      </c>
      <c r="G50" s="99">
        <f t="shared" si="0"/>
        <v>4.6837408023728819E-4</v>
      </c>
      <c r="H50" s="100"/>
      <c r="I50" s="152"/>
      <c r="J50" s="49"/>
      <c r="K50" s="209"/>
    </row>
    <row r="51" spans="2:11">
      <c r="B51" s="53" t="s">
        <v>89</v>
      </c>
      <c r="C51" s="93" t="s">
        <v>148</v>
      </c>
      <c r="D51" s="99">
        <f t="shared" si="0"/>
        <v>0.34889924166526276</v>
      </c>
      <c r="E51" s="99">
        <f t="shared" si="0"/>
        <v>3.6446302941253436E-2</v>
      </c>
      <c r="F51" s="99">
        <f t="shared" si="0"/>
        <v>3.6446302941253436E-2</v>
      </c>
      <c r="G51" s="99">
        <f t="shared" si="0"/>
        <v>3.6446302941253436E-2</v>
      </c>
      <c r="H51" s="73"/>
      <c r="I51" s="152"/>
      <c r="J51" s="49"/>
      <c r="K51" s="209"/>
    </row>
    <row r="52" spans="2:11">
      <c r="B52" s="53" t="s">
        <v>24</v>
      </c>
      <c r="C52" s="93" t="s">
        <v>148</v>
      </c>
      <c r="D52" s="99">
        <f t="shared" si="0"/>
        <v>3.2979813853448933E-3</v>
      </c>
      <c r="E52" s="99">
        <f t="shared" si="0"/>
        <v>3.606443341182961E-4</v>
      </c>
      <c r="F52" s="99">
        <f t="shared" si="0"/>
        <v>3.6064433411829615E-4</v>
      </c>
      <c r="G52" s="99">
        <f t="shared" si="0"/>
        <v>3.6064433411829615E-4</v>
      </c>
      <c r="H52" s="73"/>
      <c r="I52" s="152"/>
      <c r="J52" s="49"/>
      <c r="K52" s="209"/>
    </row>
    <row r="53" spans="2:11">
      <c r="B53" s="53"/>
      <c r="C53" s="93"/>
      <c r="D53" s="97"/>
      <c r="E53" s="52"/>
      <c r="F53" s="52"/>
      <c r="G53" s="52"/>
      <c r="H53" s="73"/>
      <c r="I53" s="152"/>
      <c r="J53" s="49"/>
      <c r="K53" s="209"/>
    </row>
    <row r="54" spans="2:11">
      <c r="B54" s="98" t="s">
        <v>31</v>
      </c>
      <c r="C54" s="93"/>
      <c r="D54" s="109"/>
      <c r="E54" s="73"/>
      <c r="F54" s="73"/>
      <c r="G54" s="73"/>
      <c r="H54" s="95"/>
      <c r="I54" s="152"/>
      <c r="J54" s="49"/>
      <c r="K54" s="209"/>
    </row>
    <row r="55" spans="2:11">
      <c r="B55" s="53" t="s">
        <v>20</v>
      </c>
      <c r="C55" s="93" t="s">
        <v>148</v>
      </c>
      <c r="D55" s="220"/>
      <c r="E55" s="96"/>
      <c r="F55" s="96"/>
      <c r="G55" s="96"/>
      <c r="H55" s="162"/>
      <c r="I55" s="152"/>
      <c r="J55" s="94" t="s">
        <v>88</v>
      </c>
      <c r="K55" s="209"/>
    </row>
    <row r="56" spans="2:11">
      <c r="B56" s="53" t="s">
        <v>21</v>
      </c>
      <c r="C56" s="93" t="s">
        <v>148</v>
      </c>
      <c r="D56" s="92">
        <f t="shared" ref="D56:G60" si="1">D48</f>
        <v>5.70067229895981E-4</v>
      </c>
      <c r="E56" s="92">
        <f t="shared" si="1"/>
        <v>1.6299243669067753E-4</v>
      </c>
      <c r="F56" s="92">
        <f t="shared" si="1"/>
        <v>1.6299243669067753E-4</v>
      </c>
      <c r="G56" s="92">
        <f t="shared" si="1"/>
        <v>1.6299243669067753E-4</v>
      </c>
      <c r="H56" s="162"/>
      <c r="I56" s="152"/>
      <c r="J56" s="49"/>
      <c r="K56" s="209"/>
    </row>
    <row r="57" spans="2:11">
      <c r="B57" s="53" t="s">
        <v>22</v>
      </c>
      <c r="C57" s="93" t="s">
        <v>148</v>
      </c>
      <c r="D57" s="92">
        <f t="shared" si="1"/>
        <v>3.3862691824031411E-3</v>
      </c>
      <c r="E57" s="92">
        <f t="shared" si="1"/>
        <v>3.3862691824031407E-3</v>
      </c>
      <c r="F57" s="92">
        <f t="shared" si="1"/>
        <v>3.3862691824031407E-3</v>
      </c>
      <c r="G57" s="92">
        <f t="shared" si="1"/>
        <v>3.3862691824031402E-3</v>
      </c>
      <c r="H57" s="162"/>
      <c r="I57" s="152"/>
      <c r="J57" s="49"/>
      <c r="K57" s="209"/>
    </row>
    <row r="58" spans="2:11">
      <c r="B58" s="53" t="s">
        <v>23</v>
      </c>
      <c r="C58" s="93" t="s">
        <v>148</v>
      </c>
      <c r="D58" s="92">
        <f t="shared" si="1"/>
        <v>4.6837408023728819E-4</v>
      </c>
      <c r="E58" s="92">
        <f t="shared" si="1"/>
        <v>4.6837408023728819E-4</v>
      </c>
      <c r="F58" s="92">
        <f t="shared" si="1"/>
        <v>4.6837408023728819E-4</v>
      </c>
      <c r="G58" s="92">
        <f t="shared" si="1"/>
        <v>4.6837408023728819E-4</v>
      </c>
      <c r="H58" s="162"/>
      <c r="I58" s="152"/>
      <c r="J58" s="49"/>
      <c r="K58" s="209"/>
    </row>
    <row r="59" spans="2:11">
      <c r="B59" s="53" t="s">
        <v>89</v>
      </c>
      <c r="C59" s="93" t="s">
        <v>148</v>
      </c>
      <c r="D59" s="92">
        <f t="shared" si="1"/>
        <v>0.34889924166526276</v>
      </c>
      <c r="E59" s="92">
        <f t="shared" si="1"/>
        <v>3.6446302941253436E-2</v>
      </c>
      <c r="F59" s="92">
        <f t="shared" si="1"/>
        <v>3.6446302941253436E-2</v>
      </c>
      <c r="G59" s="92">
        <f t="shared" si="1"/>
        <v>3.6446302941253436E-2</v>
      </c>
      <c r="H59" s="162"/>
      <c r="I59" s="152"/>
      <c r="J59" s="49"/>
      <c r="K59" s="209"/>
    </row>
    <row r="60" spans="2:11">
      <c r="B60" s="53" t="s">
        <v>24</v>
      </c>
      <c r="C60" s="93" t="s">
        <v>148</v>
      </c>
      <c r="D60" s="92">
        <f t="shared" si="1"/>
        <v>3.2979813853448933E-3</v>
      </c>
      <c r="E60" s="92">
        <f t="shared" si="1"/>
        <v>3.606443341182961E-4</v>
      </c>
      <c r="F60" s="92">
        <f t="shared" si="1"/>
        <v>3.6064433411829615E-4</v>
      </c>
      <c r="G60" s="92">
        <f t="shared" si="1"/>
        <v>3.6064433411829615E-4</v>
      </c>
      <c r="H60" s="110"/>
      <c r="I60" s="152"/>
      <c r="J60" s="49"/>
      <c r="K60" s="209"/>
    </row>
    <row r="61" spans="2:11" ht="13.5" thickBot="1">
      <c r="B61" s="90"/>
      <c r="C61" s="89"/>
      <c r="D61" s="88"/>
      <c r="E61" s="47"/>
      <c r="F61" s="47"/>
      <c r="G61" s="47"/>
      <c r="H61" s="47"/>
      <c r="I61" s="158"/>
      <c r="J61" s="65"/>
      <c r="K61" s="209"/>
    </row>
    <row r="62" spans="2:11">
      <c r="K62" s="209"/>
    </row>
    <row r="63" spans="2:11">
      <c r="K63" s="209"/>
    </row>
    <row r="64" spans="2:11" ht="16.5" thickBot="1">
      <c r="B64" s="64" t="s">
        <v>90</v>
      </c>
      <c r="K64" s="209"/>
    </row>
    <row r="65" spans="2:11">
      <c r="B65" s="63"/>
      <c r="C65" s="85"/>
      <c r="D65" s="60"/>
      <c r="E65" s="60"/>
      <c r="F65" s="60"/>
      <c r="G65" s="60"/>
      <c r="H65" s="60"/>
      <c r="I65" s="60"/>
      <c r="J65" s="58"/>
      <c r="K65" s="209"/>
    </row>
    <row r="66" spans="2:11">
      <c r="B66" s="84"/>
      <c r="C66" s="83" t="s">
        <v>72</v>
      </c>
      <c r="D66" s="82">
        <v>2015</v>
      </c>
      <c r="E66" s="81">
        <v>2020</v>
      </c>
      <c r="F66" s="81">
        <v>2035</v>
      </c>
      <c r="G66" s="81">
        <v>2050</v>
      </c>
      <c r="H66" s="81"/>
      <c r="I66" s="127"/>
      <c r="J66" s="79"/>
      <c r="K66" s="209"/>
    </row>
    <row r="67" spans="2:11">
      <c r="B67" s="53" t="s">
        <v>25</v>
      </c>
      <c r="C67" s="70" t="s">
        <v>124</v>
      </c>
      <c r="D67" s="219">
        <f>'EU Lastbil'!D67</f>
        <v>2.5327000000000002</v>
      </c>
      <c r="E67" s="219">
        <f>'EU Lastbil'!E67</f>
        <v>2.4180000000000001</v>
      </c>
      <c r="F67" s="219">
        <f>'EU Lastbil'!F67</f>
        <v>2.3034000000000003</v>
      </c>
      <c r="G67" s="219">
        <f>'EU Lastbil'!G67</f>
        <v>2.2607999999999997</v>
      </c>
      <c r="H67" s="219"/>
      <c r="I67" s="54" t="s">
        <v>215</v>
      </c>
      <c r="J67" s="49"/>
      <c r="K67" s="209"/>
    </row>
    <row r="68" spans="2:11">
      <c r="B68" s="53" t="s">
        <v>94</v>
      </c>
      <c r="C68" s="70" t="s">
        <v>95</v>
      </c>
      <c r="D68" s="218">
        <f>'EU Lastbil'!D68</f>
        <v>50000</v>
      </c>
      <c r="E68" s="218">
        <f>'EU Lastbil'!E68</f>
        <v>50000</v>
      </c>
      <c r="F68" s="218">
        <f>'EU Lastbil'!F68</f>
        <v>50000</v>
      </c>
      <c r="G68" s="218">
        <f>'EU Lastbil'!G68</f>
        <v>50000</v>
      </c>
      <c r="H68" s="218"/>
      <c r="I68" s="74" t="s">
        <v>186</v>
      </c>
      <c r="J68" s="49"/>
      <c r="K68" s="209"/>
    </row>
    <row r="69" spans="2:11">
      <c r="B69" s="53" t="s">
        <v>97</v>
      </c>
      <c r="C69" s="167" t="s">
        <v>35</v>
      </c>
      <c r="D69" s="216">
        <f>'EU Lastbil'!D69</f>
        <v>3.12</v>
      </c>
      <c r="E69" s="216">
        <f>'EU Lastbil'!E69</f>
        <v>3.12</v>
      </c>
      <c r="F69" s="216">
        <f>'EU Lastbil'!F69</f>
        <v>3.12</v>
      </c>
      <c r="G69" s="216">
        <f>'EU Lastbil'!G69</f>
        <v>3.12</v>
      </c>
      <c r="H69" s="217"/>
      <c r="I69" s="74" t="s">
        <v>186</v>
      </c>
      <c r="J69" s="94"/>
      <c r="K69" s="209"/>
    </row>
    <row r="70" spans="2:11">
      <c r="B70" s="139" t="s">
        <v>126</v>
      </c>
      <c r="C70" s="167" t="s">
        <v>127</v>
      </c>
      <c r="D70" s="231">
        <v>1.442482725944644</v>
      </c>
      <c r="E70" s="231">
        <v>1.5896013234077748</v>
      </c>
      <c r="F70" s="231">
        <v>1.8339046626725708</v>
      </c>
      <c r="G70" s="231">
        <v>2.0367905166312812</v>
      </c>
      <c r="H70" s="215"/>
      <c r="I70" s="74"/>
      <c r="J70" s="49"/>
      <c r="K70" s="209"/>
    </row>
    <row r="71" spans="2:11">
      <c r="B71" s="139" t="s">
        <v>128</v>
      </c>
      <c r="C71" s="167" t="s">
        <v>26</v>
      </c>
      <c r="D71" s="214">
        <v>0.192</v>
      </c>
      <c r="E71" s="214">
        <v>0.20200000000000001</v>
      </c>
      <c r="F71" s="214">
        <v>0.222</v>
      </c>
      <c r="G71" s="214">
        <v>0.24199999999999999</v>
      </c>
      <c r="H71" s="214"/>
      <c r="I71" s="54" t="s">
        <v>215</v>
      </c>
      <c r="J71" s="94"/>
      <c r="K71" s="209"/>
    </row>
    <row r="72" spans="2:11" ht="13.5" thickBot="1">
      <c r="B72" s="213"/>
      <c r="C72" s="212"/>
      <c r="D72" s="211"/>
      <c r="E72" s="211"/>
      <c r="F72" s="211"/>
      <c r="G72" s="211"/>
      <c r="H72" s="211"/>
      <c r="I72" s="74"/>
      <c r="J72" s="65"/>
      <c r="K72" s="209"/>
    </row>
    <row r="73" spans="2:11">
      <c r="D73" s="157"/>
      <c r="E73" s="157"/>
      <c r="F73" s="157"/>
      <c r="G73" s="157"/>
      <c r="H73" s="157"/>
      <c r="K73" s="209"/>
    </row>
    <row r="74" spans="2:11" ht="16.5" thickBot="1">
      <c r="B74" s="64" t="s">
        <v>99</v>
      </c>
      <c r="K74" s="209"/>
    </row>
    <row r="75" spans="2:11">
      <c r="B75" s="63" t="s">
        <v>123</v>
      </c>
      <c r="C75" s="60"/>
      <c r="D75" s="149">
        <f>D67/D71</f>
        <v>13.191145833333334</v>
      </c>
      <c r="E75" s="149">
        <f>E67/E71</f>
        <v>11.970297029702971</v>
      </c>
      <c r="F75" s="149">
        <f>F67/F71</f>
        <v>10.375675675675677</v>
      </c>
      <c r="G75" s="149">
        <f>G67/G71</f>
        <v>9.3421487603305771</v>
      </c>
      <c r="H75" s="149"/>
      <c r="I75" s="54" t="s">
        <v>215</v>
      </c>
      <c r="J75" s="58"/>
      <c r="K75" s="209"/>
    </row>
    <row r="76" spans="2:11">
      <c r="B76" s="53"/>
      <c r="C76" s="52"/>
      <c r="D76" s="210"/>
      <c r="E76" s="210"/>
      <c r="F76" s="210"/>
      <c r="G76" s="210"/>
      <c r="H76" s="210"/>
      <c r="I76" s="52"/>
      <c r="J76" s="49"/>
      <c r="K76" s="209"/>
    </row>
    <row r="77" spans="2:11">
      <c r="B77" s="53" t="s">
        <v>20</v>
      </c>
      <c r="C77" s="52" t="s">
        <v>27</v>
      </c>
      <c r="D77" s="230"/>
      <c r="E77" s="230"/>
      <c r="F77" s="230"/>
      <c r="G77" s="230"/>
      <c r="H77" s="230"/>
      <c r="I77" s="52"/>
      <c r="J77" s="49"/>
      <c r="K77" s="209"/>
    </row>
    <row r="78" spans="2:11">
      <c r="B78" s="53" t="s">
        <v>21</v>
      </c>
      <c r="C78" s="52" t="s">
        <v>27</v>
      </c>
      <c r="D78" s="230">
        <f t="shared" ref="D78:G82" si="2">D88/1000*D$75</f>
        <v>7.519839964362245E-3</v>
      </c>
      <c r="E78" s="230">
        <f t="shared" si="2"/>
        <v>1.9510678807824668E-3</v>
      </c>
      <c r="F78" s="230">
        <f t="shared" si="2"/>
        <v>1.6911566606905705E-3</v>
      </c>
      <c r="G78" s="230">
        <f t="shared" si="2"/>
        <v>1.5226995903730731E-3</v>
      </c>
      <c r="H78" s="230"/>
      <c r="I78" s="52"/>
      <c r="J78" s="49"/>
      <c r="K78" s="209"/>
    </row>
    <row r="79" spans="2:11">
      <c r="B79" s="53" t="s">
        <v>22</v>
      </c>
      <c r="C79" s="52" t="s">
        <v>27</v>
      </c>
      <c r="D79" s="230">
        <f t="shared" si="2"/>
        <v>4.4668770616002267E-2</v>
      </c>
      <c r="E79" s="230">
        <f t="shared" si="2"/>
        <v>4.0534647935895021E-2</v>
      </c>
      <c r="F79" s="230">
        <f t="shared" si="2"/>
        <v>3.5134830787150427E-2</v>
      </c>
      <c r="G79" s="230">
        <f t="shared" si="2"/>
        <v>3.1635030444533134E-2</v>
      </c>
      <c r="H79" s="230"/>
      <c r="I79" s="52"/>
      <c r="J79" s="49"/>
      <c r="K79" s="209"/>
    </row>
    <row r="80" spans="2:11">
      <c r="B80" s="53" t="s">
        <v>23</v>
      </c>
      <c r="C80" s="52" t="s">
        <v>27</v>
      </c>
      <c r="D80" s="230">
        <f t="shared" si="2"/>
        <v>6.1783907969634368E-3</v>
      </c>
      <c r="E80" s="230">
        <f t="shared" si="2"/>
        <v>5.6065768614542719E-3</v>
      </c>
      <c r="F80" s="230">
        <f t="shared" si="2"/>
        <v>4.8596975514349989E-3</v>
      </c>
      <c r="G80" s="230">
        <f t="shared" si="2"/>
        <v>4.3756203330597562E-3</v>
      </c>
      <c r="H80" s="230"/>
      <c r="I80" s="52"/>
      <c r="J80" s="49"/>
      <c r="K80" s="209"/>
    </row>
    <row r="81" spans="2:11">
      <c r="B81" s="139" t="s">
        <v>36</v>
      </c>
      <c r="C81" s="52" t="s">
        <v>27</v>
      </c>
      <c r="D81" s="230">
        <f t="shared" si="2"/>
        <v>4.602380777945891</v>
      </c>
      <c r="E81" s="230">
        <f t="shared" si="2"/>
        <v>0.43627307184134068</v>
      </c>
      <c r="F81" s="230">
        <f t="shared" si="2"/>
        <v>0.37815501889587017</v>
      </c>
      <c r="G81" s="230">
        <f t="shared" si="2"/>
        <v>0.34048678384126346</v>
      </c>
      <c r="H81" s="230"/>
      <c r="I81" s="52"/>
      <c r="J81" s="94"/>
      <c r="K81" s="209"/>
    </row>
    <row r="82" spans="2:11">
      <c r="B82" s="53" t="s">
        <v>24</v>
      </c>
      <c r="C82" s="52" t="s">
        <v>27</v>
      </c>
      <c r="D82" s="230">
        <f t="shared" si="2"/>
        <v>4.3504153409703185E-2</v>
      </c>
      <c r="E82" s="230">
        <f t="shared" si="2"/>
        <v>4.317019801475446E-3</v>
      </c>
      <c r="F82" s="230">
        <f t="shared" si="2"/>
        <v>3.7419286450814568E-3</v>
      </c>
      <c r="G82" s="230">
        <f t="shared" si="2"/>
        <v>3.3691930189034868E-3</v>
      </c>
      <c r="H82" s="230"/>
      <c r="I82" s="52"/>
      <c r="J82" s="94"/>
    </row>
    <row r="83" spans="2:11" ht="13.5" thickBot="1">
      <c r="B83" s="48"/>
      <c r="C83" s="47"/>
      <c r="D83" s="207"/>
      <c r="E83" s="207"/>
      <c r="F83" s="207"/>
      <c r="G83" s="207"/>
      <c r="H83" s="207"/>
      <c r="I83" s="47"/>
      <c r="J83" s="65"/>
    </row>
    <row r="85" spans="2:11" ht="13.5" thickBot="1">
      <c r="B85" s="129" t="s">
        <v>129</v>
      </c>
    </row>
    <row r="86" spans="2:11">
      <c r="B86" s="63"/>
      <c r="C86" s="60"/>
      <c r="D86" s="206">
        <v>2015</v>
      </c>
      <c r="E86" s="206">
        <v>2020</v>
      </c>
      <c r="F86" s="206">
        <v>2035</v>
      </c>
      <c r="G86" s="206">
        <v>2050</v>
      </c>
      <c r="H86" s="229"/>
    </row>
    <row r="87" spans="2:11">
      <c r="B87" s="205" t="s">
        <v>20</v>
      </c>
      <c r="C87" s="110" t="s">
        <v>130</v>
      </c>
      <c r="D87" s="203"/>
      <c r="E87" s="203"/>
      <c r="F87" s="203"/>
      <c r="G87" s="203"/>
      <c r="H87" s="227"/>
    </row>
    <row r="88" spans="2:11">
      <c r="B88" s="205" t="s">
        <v>21</v>
      </c>
      <c r="C88" s="52" t="s">
        <v>130</v>
      </c>
      <c r="D88" s="204">
        <f>'EU Lastbil'!D88</f>
        <v>0.57006722989598102</v>
      </c>
      <c r="E88" s="204">
        <f>'EU Lastbil'!E88</f>
        <v>0.16299243669067753</v>
      </c>
      <c r="F88" s="204">
        <f>'EU Lastbil'!F88</f>
        <v>0.16299243669067753</v>
      </c>
      <c r="G88" s="204">
        <f>'EU Lastbil'!G88</f>
        <v>0.16299243669067753</v>
      </c>
      <c r="H88" s="228"/>
    </row>
    <row r="89" spans="2:11">
      <c r="B89" s="205" t="s">
        <v>22</v>
      </c>
      <c r="C89" s="52" t="s">
        <v>130</v>
      </c>
      <c r="D89" s="204">
        <f>'EU Lastbil'!D89</f>
        <v>3.3862691824031406</v>
      </c>
      <c r="E89" s="204">
        <f>'EU Lastbil'!E89</f>
        <v>3.3862691824031406</v>
      </c>
      <c r="F89" s="204">
        <f>'EU Lastbil'!F89</f>
        <v>3.3862691824031406</v>
      </c>
      <c r="G89" s="204">
        <f>'EU Lastbil'!G89</f>
        <v>3.3862691824031406</v>
      </c>
      <c r="H89" s="228"/>
    </row>
    <row r="90" spans="2:11">
      <c r="B90" s="205" t="s">
        <v>23</v>
      </c>
      <c r="C90" s="52" t="s">
        <v>130</v>
      </c>
      <c r="D90" s="204">
        <f>'EU Lastbil'!D90</f>
        <v>0.46837408023728822</v>
      </c>
      <c r="E90" s="204">
        <f>'EU Lastbil'!E90</f>
        <v>0.46837408023728822</v>
      </c>
      <c r="F90" s="204">
        <f>'EU Lastbil'!F90</f>
        <v>0.46837408023728822</v>
      </c>
      <c r="G90" s="204">
        <f>'EU Lastbil'!G90</f>
        <v>0.46837408023728822</v>
      </c>
      <c r="H90" s="228"/>
    </row>
    <row r="91" spans="2:11">
      <c r="B91" s="108" t="s">
        <v>36</v>
      </c>
      <c r="C91" s="52" t="s">
        <v>130</v>
      </c>
      <c r="D91" s="203">
        <f>'EU Lastbil'!D91</f>
        <v>348.89924166526276</v>
      </c>
      <c r="E91" s="203">
        <f>'EU Lastbil'!E91</f>
        <v>36.446302941253435</v>
      </c>
      <c r="F91" s="203">
        <f>'EU Lastbil'!F91</f>
        <v>36.446302941253435</v>
      </c>
      <c r="G91" s="203">
        <f>'EU Lastbil'!G91</f>
        <v>36.446302941253435</v>
      </c>
      <c r="H91" s="227"/>
    </row>
    <row r="92" spans="2:11" ht="13.5" thickBot="1">
      <c r="B92" s="202" t="s">
        <v>24</v>
      </c>
      <c r="C92" s="47" t="s">
        <v>130</v>
      </c>
      <c r="D92" s="201">
        <f>'EU Lastbil'!D92</f>
        <v>3.2979813853448934</v>
      </c>
      <c r="E92" s="201">
        <f>'EU Lastbil'!E92</f>
        <v>0.36064433411829616</v>
      </c>
      <c r="F92" s="201">
        <f>'EU Lastbil'!F92</f>
        <v>0.36064433411829616</v>
      </c>
      <c r="G92" s="201">
        <f>'EU Lastbil'!G92</f>
        <v>0.36064433411829616</v>
      </c>
      <c r="H92" s="226"/>
    </row>
    <row r="95" spans="2:11">
      <c r="H95" s="43"/>
    </row>
    <row r="96" spans="2:11">
      <c r="H96" s="43"/>
    </row>
    <row r="97" spans="8:8">
      <c r="H97" s="43"/>
    </row>
    <row r="98" spans="8:8">
      <c r="H98" s="43"/>
    </row>
    <row r="99" spans="8:8">
      <c r="H99" s="43"/>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2060"/>
  </sheetPr>
  <dimension ref="A1:U121"/>
  <sheetViews>
    <sheetView topLeftCell="A7" zoomScale="80" zoomScaleNormal="80" workbookViewId="0">
      <selection activeCell="N5" sqref="N5:N27"/>
    </sheetView>
  </sheetViews>
  <sheetFormatPr defaultColWidth="9.140625" defaultRowHeight="12.75"/>
  <cols>
    <col min="1" max="1" width="2.85546875" style="232" customWidth="1"/>
    <col min="2" max="2" width="35" style="232" customWidth="1"/>
    <col min="3" max="3" width="18" style="232" customWidth="1"/>
    <col min="4" max="7" width="15.85546875" style="232" customWidth="1"/>
    <col min="8" max="8" width="15.85546875" style="40" customWidth="1"/>
    <col min="9" max="9" width="47.28515625" style="232" customWidth="1"/>
    <col min="10" max="10" width="37.42578125" style="232" customWidth="1"/>
    <col min="11" max="21" width="9.140625" style="232"/>
    <col min="22" max="22" width="15.5703125" style="232" customWidth="1"/>
    <col min="23" max="24" width="10" style="232" customWidth="1"/>
    <col min="25" max="16384" width="9.140625" style="232"/>
  </cols>
  <sheetData>
    <row r="1" spans="1:19" s="37" customFormat="1" ht="21">
      <c r="B1" s="37" t="s">
        <v>198</v>
      </c>
      <c r="Q1" s="37">
        <v>0</v>
      </c>
      <c r="R1" s="39">
        <v>0</v>
      </c>
      <c r="S1" s="38"/>
    </row>
    <row r="2" spans="1:19">
      <c r="A2" s="40"/>
      <c r="B2" s="40"/>
      <c r="C2" s="40"/>
      <c r="D2" s="40"/>
      <c r="E2" s="40"/>
      <c r="F2" s="40"/>
      <c r="G2" s="40"/>
      <c r="I2" s="40"/>
      <c r="J2" s="40"/>
      <c r="K2" s="40"/>
      <c r="L2" s="40"/>
      <c r="M2" s="40"/>
      <c r="N2" s="40"/>
      <c r="O2" s="40"/>
      <c r="P2" s="40"/>
      <c r="Q2" s="40"/>
      <c r="R2" s="240"/>
      <c r="S2" s="240"/>
    </row>
    <row r="3" spans="1:19">
      <c r="A3" s="40"/>
      <c r="B3" s="40"/>
      <c r="C3" s="40"/>
      <c r="D3" s="40"/>
      <c r="E3" s="40"/>
      <c r="F3" s="40"/>
      <c r="G3" s="40"/>
      <c r="I3" s="40"/>
      <c r="J3" s="40"/>
      <c r="K3" s="40"/>
      <c r="L3" s="40"/>
      <c r="M3" s="40"/>
      <c r="N3" s="40"/>
      <c r="O3" s="40"/>
      <c r="P3" s="40"/>
      <c r="Q3" s="40"/>
    </row>
    <row r="4" spans="1:19" ht="13.5" thickBot="1">
      <c r="A4" s="40"/>
      <c r="B4" s="129" t="s">
        <v>65</v>
      </c>
      <c r="C4" s="40"/>
      <c r="D4" s="40"/>
      <c r="E4" s="40"/>
      <c r="F4" s="40"/>
      <c r="G4" s="40"/>
      <c r="I4" s="40"/>
      <c r="J4" s="40"/>
      <c r="K4" s="40"/>
      <c r="L4" s="40"/>
      <c r="M4" s="40"/>
      <c r="N4" s="40"/>
      <c r="O4" s="40"/>
      <c r="P4" s="40"/>
      <c r="Q4" s="40"/>
      <c r="R4" s="40"/>
    </row>
    <row r="5" spans="1:19">
      <c r="A5" s="40"/>
      <c r="B5" s="132" t="s">
        <v>66</v>
      </c>
      <c r="C5" s="60"/>
      <c r="D5" s="60"/>
      <c r="E5" s="60"/>
      <c r="F5" s="60"/>
      <c r="G5" s="60"/>
      <c r="H5" s="60"/>
      <c r="I5" s="60"/>
      <c r="J5" s="60"/>
      <c r="K5" s="60"/>
      <c r="L5" s="60"/>
      <c r="M5" s="60"/>
      <c r="N5" s="60"/>
      <c r="O5" s="58"/>
      <c r="P5" s="40"/>
      <c r="Q5" s="40"/>
      <c r="R5" s="40"/>
    </row>
    <row r="6" spans="1:19">
      <c r="A6" s="40"/>
      <c r="B6" s="108" t="s">
        <v>197</v>
      </c>
      <c r="C6" s="52"/>
      <c r="D6" s="52"/>
      <c r="E6" s="52"/>
      <c r="F6" s="52"/>
      <c r="G6" s="52"/>
      <c r="H6" s="52"/>
      <c r="I6" s="52"/>
      <c r="J6" s="52"/>
      <c r="K6" s="52"/>
      <c r="L6" s="52"/>
      <c r="M6" s="52"/>
      <c r="N6" s="52"/>
      <c r="O6" s="49"/>
      <c r="P6" s="40"/>
      <c r="Q6" s="40"/>
      <c r="R6" s="40"/>
    </row>
    <row r="7" spans="1:19">
      <c r="A7" s="40"/>
      <c r="B7" s="108" t="s">
        <v>196</v>
      </c>
      <c r="C7" s="52"/>
      <c r="D7" s="52"/>
      <c r="E7" s="52"/>
      <c r="F7" s="52"/>
      <c r="G7" s="52"/>
      <c r="H7" s="52"/>
      <c r="I7" s="52"/>
      <c r="J7" s="52"/>
      <c r="K7" s="52"/>
      <c r="L7" s="52"/>
      <c r="M7" s="52"/>
      <c r="N7" s="52"/>
      <c r="O7" s="49"/>
      <c r="P7" s="40"/>
      <c r="Q7" s="40"/>
      <c r="R7" s="40"/>
    </row>
    <row r="8" spans="1:19">
      <c r="A8" s="40"/>
      <c r="B8" s="108" t="s">
        <v>195</v>
      </c>
      <c r="C8" s="52"/>
      <c r="D8" s="52"/>
      <c r="E8" s="52"/>
      <c r="F8" s="52"/>
      <c r="G8" s="52"/>
      <c r="H8" s="52"/>
      <c r="I8" s="52"/>
      <c r="J8" s="52"/>
      <c r="K8" s="52"/>
      <c r="L8" s="52"/>
      <c r="M8" s="52"/>
      <c r="N8" s="52"/>
      <c r="O8" s="49"/>
      <c r="P8" s="40"/>
      <c r="Q8" s="40"/>
      <c r="R8" s="40"/>
    </row>
    <row r="9" spans="1:19">
      <c r="A9" s="40"/>
      <c r="B9" s="131" t="s">
        <v>147</v>
      </c>
      <c r="C9" s="36" t="s">
        <v>146</v>
      </c>
      <c r="D9" s="52"/>
      <c r="E9" s="52"/>
      <c r="F9" s="52"/>
      <c r="G9" s="52"/>
      <c r="H9" s="52"/>
      <c r="I9" s="52"/>
      <c r="J9" s="52"/>
      <c r="K9" s="52"/>
      <c r="L9" s="52"/>
      <c r="M9" s="52"/>
      <c r="N9" s="52"/>
      <c r="O9" s="49"/>
      <c r="P9" s="40"/>
      <c r="Q9" s="40"/>
      <c r="R9" s="40"/>
    </row>
    <row r="10" spans="1:19">
      <c r="A10" s="40"/>
      <c r="B10" s="108"/>
      <c r="C10" s="52"/>
      <c r="D10" s="52"/>
      <c r="E10" s="52"/>
      <c r="F10" s="52"/>
      <c r="G10" s="52"/>
      <c r="H10" s="52"/>
      <c r="I10" s="52"/>
      <c r="J10" s="52"/>
      <c r="K10" s="52"/>
      <c r="L10" s="52"/>
      <c r="M10" s="52"/>
      <c r="N10" s="52"/>
      <c r="O10" s="49"/>
      <c r="P10" s="40"/>
      <c r="Q10" s="40"/>
      <c r="R10" s="40"/>
    </row>
    <row r="11" spans="1:19">
      <c r="A11" s="40"/>
      <c r="B11" s="130" t="s">
        <v>67</v>
      </c>
      <c r="C11" s="52"/>
      <c r="D11" s="52"/>
      <c r="E11" s="52"/>
      <c r="F11" s="52"/>
      <c r="G11" s="52"/>
      <c r="H11" s="52"/>
      <c r="I11" s="52"/>
      <c r="J11" s="52"/>
      <c r="K11" s="52"/>
      <c r="L11" s="52"/>
      <c r="M11" s="52"/>
      <c r="N11" s="52"/>
      <c r="O11" s="49"/>
      <c r="P11" s="40"/>
      <c r="Q11" s="40"/>
      <c r="R11" s="40"/>
    </row>
    <row r="12" spans="1:19">
      <c r="A12" s="40"/>
      <c r="B12" s="108" t="s">
        <v>194</v>
      </c>
      <c r="C12" s="52"/>
      <c r="D12" s="52"/>
      <c r="E12" s="52"/>
      <c r="F12" s="52"/>
      <c r="G12" s="52"/>
      <c r="H12" s="52"/>
      <c r="I12" s="52"/>
      <c r="J12" s="52"/>
      <c r="K12" s="52"/>
      <c r="L12" s="52"/>
      <c r="M12" s="52"/>
      <c r="N12" s="52"/>
      <c r="O12" s="49"/>
      <c r="P12" s="40"/>
      <c r="Q12" s="40"/>
      <c r="R12" s="40"/>
    </row>
    <row r="13" spans="1:19">
      <c r="A13" s="40"/>
      <c r="B13" s="108" t="s">
        <v>193</v>
      </c>
      <c r="C13" s="52"/>
      <c r="D13" s="52"/>
      <c r="E13" s="52"/>
      <c r="F13" s="52"/>
      <c r="G13" s="52"/>
      <c r="H13" s="52"/>
      <c r="I13" s="52"/>
      <c r="J13" s="52"/>
      <c r="K13" s="52"/>
      <c r="L13" s="52"/>
      <c r="M13" s="52"/>
      <c r="N13" s="52"/>
      <c r="O13" s="49"/>
      <c r="P13" s="40"/>
      <c r="Q13" s="40"/>
      <c r="R13" s="40"/>
    </row>
    <row r="14" spans="1:19">
      <c r="A14" s="40"/>
      <c r="B14" s="130" t="s">
        <v>68</v>
      </c>
      <c r="C14" s="52"/>
      <c r="D14" s="52"/>
      <c r="E14" s="52"/>
      <c r="F14" s="52"/>
      <c r="G14" s="52"/>
      <c r="H14" s="52"/>
      <c r="I14" s="52"/>
      <c r="J14" s="52"/>
      <c r="K14" s="52"/>
      <c r="L14" s="52"/>
      <c r="M14" s="52"/>
      <c r="N14" s="52"/>
      <c r="O14" s="49"/>
      <c r="P14" s="40"/>
      <c r="Q14" s="40"/>
      <c r="R14" s="40"/>
    </row>
    <row r="15" spans="1:19">
      <c r="A15" s="40"/>
      <c r="B15" s="108"/>
      <c r="C15" s="52"/>
      <c r="D15" s="52"/>
      <c r="E15" s="52"/>
      <c r="F15" s="52"/>
      <c r="G15" s="52"/>
      <c r="H15" s="52"/>
      <c r="I15" s="52"/>
      <c r="J15" s="52"/>
      <c r="K15" s="52"/>
      <c r="L15" s="52"/>
      <c r="M15" s="52"/>
      <c r="N15" s="52"/>
      <c r="O15" s="49"/>
      <c r="P15" s="40"/>
      <c r="Q15" s="40"/>
      <c r="R15" s="40"/>
    </row>
    <row r="16" spans="1:19">
      <c r="A16" s="40"/>
      <c r="B16" s="103"/>
      <c r="C16" s="52"/>
      <c r="D16" s="52"/>
      <c r="E16" s="52"/>
      <c r="F16" s="52"/>
      <c r="G16" s="52"/>
      <c r="H16" s="52"/>
      <c r="I16" s="52"/>
      <c r="J16" s="52"/>
      <c r="K16" s="52"/>
      <c r="L16" s="52"/>
      <c r="M16" s="52"/>
      <c r="N16" s="52"/>
      <c r="O16" s="49"/>
      <c r="P16" s="40"/>
      <c r="Q16" s="40"/>
      <c r="R16" s="40"/>
    </row>
    <row r="17" spans="1:18" ht="13.5" thickBot="1">
      <c r="A17" s="40"/>
      <c r="B17" s="48"/>
      <c r="C17" s="47"/>
      <c r="D17" s="47"/>
      <c r="E17" s="47"/>
      <c r="F17" s="47"/>
      <c r="G17" s="47"/>
      <c r="H17" s="47"/>
      <c r="I17" s="47"/>
      <c r="J17" s="47"/>
      <c r="K17" s="47"/>
      <c r="L17" s="47"/>
      <c r="M17" s="47"/>
      <c r="N17" s="47"/>
      <c r="O17" s="65"/>
      <c r="P17" s="40"/>
      <c r="Q17" s="40"/>
      <c r="R17" s="40"/>
    </row>
    <row r="18" spans="1:18">
      <c r="A18" s="40"/>
      <c r="B18" s="40"/>
      <c r="C18" s="40"/>
      <c r="D18" s="40"/>
      <c r="E18" s="40"/>
      <c r="F18" s="40"/>
      <c r="G18" s="40"/>
      <c r="I18" s="40"/>
      <c r="J18" s="40"/>
      <c r="K18" s="40"/>
      <c r="L18" s="40"/>
      <c r="M18" s="40"/>
      <c r="N18" s="40"/>
      <c r="O18" s="40"/>
      <c r="P18" s="40"/>
      <c r="Q18" s="40"/>
      <c r="R18" s="40"/>
    </row>
    <row r="19" spans="1:18" ht="13.5" thickBot="1">
      <c r="A19" s="40"/>
      <c r="B19" s="129" t="s">
        <v>69</v>
      </c>
      <c r="C19" s="40"/>
      <c r="D19" s="40"/>
      <c r="E19" s="128"/>
      <c r="F19" s="128"/>
      <c r="G19" s="128"/>
      <c r="I19" s="40"/>
      <c r="J19" s="40"/>
      <c r="K19" s="40"/>
      <c r="L19" s="40"/>
      <c r="M19" s="40"/>
      <c r="N19" s="40"/>
      <c r="O19" s="40"/>
      <c r="P19" s="40"/>
      <c r="Q19" s="40"/>
      <c r="R19" s="40"/>
    </row>
    <row r="20" spans="1:18">
      <c r="A20" s="40"/>
      <c r="B20" s="63"/>
      <c r="C20" s="85"/>
      <c r="D20" s="141"/>
      <c r="E20" s="60"/>
      <c r="F20" s="60"/>
      <c r="G20" s="60"/>
      <c r="H20" s="60"/>
      <c r="I20" s="60" t="s">
        <v>70</v>
      </c>
      <c r="J20" s="58" t="s">
        <v>71</v>
      </c>
      <c r="K20" s="40"/>
      <c r="L20" s="40"/>
      <c r="M20" s="40"/>
      <c r="N20" s="40"/>
      <c r="O20" s="40"/>
      <c r="P20" s="40"/>
      <c r="Q20" s="40"/>
      <c r="R20" s="40"/>
    </row>
    <row r="21" spans="1:18">
      <c r="A21" s="40"/>
      <c r="B21" s="84"/>
      <c r="C21" s="83" t="s">
        <v>72</v>
      </c>
      <c r="D21" s="82">
        <v>2015</v>
      </c>
      <c r="E21" s="81">
        <v>2020</v>
      </c>
      <c r="F21" s="81">
        <v>2035</v>
      </c>
      <c r="G21" s="81">
        <v>2050</v>
      </c>
      <c r="H21" s="81" t="s">
        <v>73</v>
      </c>
      <c r="I21" s="127"/>
      <c r="J21" s="79"/>
      <c r="K21" s="40"/>
      <c r="L21" s="40"/>
      <c r="M21" s="40"/>
      <c r="N21" s="40"/>
      <c r="O21" s="40"/>
      <c r="P21" s="40"/>
      <c r="Q21" s="40"/>
      <c r="R21" s="40"/>
    </row>
    <row r="22" spans="1:18">
      <c r="A22" s="40"/>
      <c r="B22" s="103" t="s">
        <v>74</v>
      </c>
      <c r="C22" s="93"/>
      <c r="D22" s="147"/>
      <c r="E22" s="126"/>
      <c r="F22" s="126"/>
      <c r="G22" s="126"/>
      <c r="H22" s="126"/>
      <c r="I22" s="52"/>
      <c r="J22" s="49"/>
      <c r="K22" s="40"/>
      <c r="L22" s="40"/>
      <c r="M22" s="40"/>
      <c r="N22" s="40"/>
      <c r="O22" s="40"/>
      <c r="P22" s="40"/>
      <c r="Q22" s="40"/>
      <c r="R22" s="40"/>
    </row>
    <row r="23" spans="1:18">
      <c r="A23" s="40"/>
      <c r="B23" s="120" t="s">
        <v>75</v>
      </c>
      <c r="C23" s="93" t="s">
        <v>106</v>
      </c>
      <c r="D23" s="239">
        <f>D71</f>
        <v>0.19</v>
      </c>
      <c r="E23" s="238">
        <f>E71</f>
        <v>0.2</v>
      </c>
      <c r="F23" s="238">
        <f>F71</f>
        <v>0.22</v>
      </c>
      <c r="G23" s="238">
        <f>G71</f>
        <v>0.24</v>
      </c>
      <c r="H23" s="122"/>
      <c r="I23" s="152"/>
      <c r="J23" s="49"/>
      <c r="K23" s="209"/>
      <c r="L23" s="40"/>
      <c r="M23" s="40"/>
      <c r="N23" s="40"/>
      <c r="O23" s="40"/>
      <c r="P23" s="40"/>
      <c r="Q23" s="40"/>
      <c r="R23" s="40"/>
    </row>
    <row r="24" spans="1:18">
      <c r="A24" s="40"/>
      <c r="B24" s="120" t="s">
        <v>76</v>
      </c>
      <c r="C24" s="93" t="s">
        <v>106</v>
      </c>
      <c r="D24" s="119">
        <f>D23</f>
        <v>0.19</v>
      </c>
      <c r="E24" s="118">
        <f>E23</f>
        <v>0.2</v>
      </c>
      <c r="F24" s="118">
        <f>F23</f>
        <v>0.22</v>
      </c>
      <c r="G24" s="118">
        <f>G23</f>
        <v>0.24</v>
      </c>
      <c r="H24" s="122"/>
      <c r="I24" s="152"/>
      <c r="J24" s="49"/>
      <c r="K24" s="209"/>
      <c r="L24" s="40"/>
      <c r="M24" s="40"/>
      <c r="N24" s="40"/>
      <c r="O24" s="40"/>
      <c r="P24" s="40"/>
      <c r="Q24" s="40"/>
      <c r="R24" s="40"/>
    </row>
    <row r="25" spans="1:18">
      <c r="A25" s="40"/>
      <c r="B25" s="120" t="s">
        <v>77</v>
      </c>
      <c r="C25" s="93" t="s">
        <v>78</v>
      </c>
      <c r="D25" s="119">
        <f>D75</f>
        <v>13.33</v>
      </c>
      <c r="E25" s="118">
        <f>E75</f>
        <v>12.09</v>
      </c>
      <c r="F25" s="118">
        <f>F75</f>
        <v>10.47</v>
      </c>
      <c r="G25" s="118">
        <f>G75</f>
        <v>9.42</v>
      </c>
      <c r="H25" s="117"/>
      <c r="I25" s="152"/>
      <c r="J25" s="49"/>
      <c r="K25" s="209"/>
      <c r="L25" s="40"/>
      <c r="M25" s="40"/>
      <c r="N25" s="40"/>
      <c r="O25" s="40"/>
      <c r="P25" s="40"/>
      <c r="Q25" s="40"/>
      <c r="R25" s="40"/>
    </row>
    <row r="26" spans="1:18">
      <c r="A26" s="40"/>
      <c r="B26" s="120" t="s">
        <v>79</v>
      </c>
      <c r="C26" s="93" t="s">
        <v>78</v>
      </c>
      <c r="D26" s="119"/>
      <c r="E26" s="118"/>
      <c r="F26" s="118"/>
      <c r="G26" s="118"/>
      <c r="H26" s="117"/>
      <c r="I26" s="152"/>
      <c r="J26" s="49"/>
      <c r="K26" s="209"/>
      <c r="L26" s="40"/>
      <c r="M26" s="40"/>
      <c r="N26" s="40"/>
      <c r="O26" s="40"/>
      <c r="P26" s="40"/>
      <c r="Q26" s="40"/>
      <c r="R26" s="40"/>
    </row>
    <row r="27" spans="1:18">
      <c r="A27" s="40"/>
      <c r="B27" s="108" t="s">
        <v>80</v>
      </c>
      <c r="C27" s="93" t="s">
        <v>81</v>
      </c>
      <c r="D27" s="115">
        <v>6</v>
      </c>
      <c r="E27" s="100">
        <v>6</v>
      </c>
      <c r="F27" s="100">
        <v>6</v>
      </c>
      <c r="G27" s="100">
        <v>6</v>
      </c>
      <c r="H27" s="100"/>
      <c r="I27" s="74" t="s">
        <v>186</v>
      </c>
      <c r="J27" s="49"/>
      <c r="K27" s="209"/>
      <c r="L27" s="40"/>
      <c r="M27" s="40"/>
      <c r="N27" s="40"/>
      <c r="O27" s="40"/>
      <c r="P27" s="40"/>
      <c r="Q27" s="40"/>
      <c r="R27" s="40"/>
    </row>
    <row r="28" spans="1:18">
      <c r="A28" s="40"/>
      <c r="B28" s="108" t="s">
        <v>82</v>
      </c>
      <c r="C28" s="93" t="s">
        <v>83</v>
      </c>
      <c r="D28" s="146">
        <f>+D67*D68/1000</f>
        <v>126.63500000000002</v>
      </c>
      <c r="E28" s="114">
        <f>+E67*E68/1000</f>
        <v>120.90000000000002</v>
      </c>
      <c r="F28" s="114">
        <f>+F67*F68/1000</f>
        <v>115.17000000000002</v>
      </c>
      <c r="G28" s="114">
        <f>+G67*G68/1000</f>
        <v>113.03999999999999</v>
      </c>
      <c r="H28" s="113"/>
      <c r="I28" s="152"/>
      <c r="J28" s="49"/>
      <c r="K28" s="209"/>
      <c r="L28" s="40"/>
      <c r="M28" s="40"/>
      <c r="N28" s="40"/>
      <c r="O28" s="40"/>
      <c r="P28" s="40"/>
      <c r="Q28" s="40"/>
      <c r="R28" s="40"/>
    </row>
    <row r="29" spans="1:18">
      <c r="A29" s="40"/>
      <c r="B29" s="53"/>
      <c r="C29" s="112"/>
      <c r="D29" s="109"/>
      <c r="E29" s="73"/>
      <c r="F29" s="73"/>
      <c r="G29" s="73"/>
      <c r="H29" s="73"/>
      <c r="I29" s="52"/>
      <c r="J29" s="49"/>
      <c r="K29" s="209"/>
      <c r="L29" s="40"/>
      <c r="M29" s="40"/>
      <c r="N29" s="40"/>
      <c r="O29" s="40"/>
      <c r="P29" s="40"/>
      <c r="Q29" s="40"/>
      <c r="R29" s="40"/>
    </row>
    <row r="30" spans="1:18">
      <c r="A30" s="40"/>
      <c r="B30" s="103" t="s">
        <v>84</v>
      </c>
      <c r="C30" s="93"/>
      <c r="D30" s="109"/>
      <c r="E30" s="73"/>
      <c r="F30" s="73"/>
      <c r="G30" s="73"/>
      <c r="H30" s="73"/>
      <c r="I30" s="52"/>
      <c r="J30" s="49"/>
      <c r="K30" s="209"/>
      <c r="L30" s="40"/>
      <c r="M30" s="40"/>
      <c r="N30" s="40"/>
      <c r="O30" s="40"/>
      <c r="P30" s="40"/>
      <c r="Q30" s="40"/>
      <c r="R30" s="40"/>
    </row>
    <row r="31" spans="1:18" s="40" customFormat="1">
      <c r="B31" s="108" t="s">
        <v>85</v>
      </c>
      <c r="C31" s="93" t="s">
        <v>15</v>
      </c>
      <c r="D31" s="111">
        <v>790278.38024566823</v>
      </c>
      <c r="E31" s="111">
        <v>790278.38024566823</v>
      </c>
      <c r="F31" s="111">
        <v>790278.38024566823</v>
      </c>
      <c r="G31" s="111">
        <v>790278.38024566823</v>
      </c>
      <c r="H31" s="110">
        <v>2015</v>
      </c>
      <c r="I31" s="54"/>
      <c r="J31" s="49"/>
    </row>
    <row r="32" spans="1:18" s="40" customFormat="1">
      <c r="B32" s="53" t="s">
        <v>16</v>
      </c>
      <c r="C32" s="93" t="s">
        <v>17</v>
      </c>
      <c r="D32" s="111">
        <v>2508.7574133441076</v>
      </c>
      <c r="E32" s="111">
        <v>2627.7625726950455</v>
      </c>
      <c r="F32" s="111">
        <v>2758.5004344779982</v>
      </c>
      <c r="G32" s="111">
        <v>2810.47854776036</v>
      </c>
      <c r="H32" s="110">
        <v>2015</v>
      </c>
      <c r="I32" s="54"/>
      <c r="J32" s="49"/>
    </row>
    <row r="33" spans="1:18" s="40" customFormat="1">
      <c r="B33" s="104" t="s">
        <v>18</v>
      </c>
      <c r="C33" s="93" t="s">
        <v>17</v>
      </c>
      <c r="D33" s="111">
        <v>1229.5072103148589</v>
      </c>
      <c r="E33" s="111">
        <v>1287.8299882400509</v>
      </c>
      <c r="F33" s="111">
        <v>1351.9028008875764</v>
      </c>
      <c r="G33" s="111">
        <v>1377.3765532397576</v>
      </c>
      <c r="H33" s="110">
        <v>2015</v>
      </c>
      <c r="I33" s="54"/>
      <c r="J33" s="49"/>
    </row>
    <row r="34" spans="1:18" s="40" customFormat="1">
      <c r="B34" s="104" t="s">
        <v>19</v>
      </c>
      <c r="C34" s="93" t="s">
        <v>17</v>
      </c>
      <c r="D34" s="111">
        <v>1279.2502030292483</v>
      </c>
      <c r="E34" s="111">
        <v>1339.9325844549946</v>
      </c>
      <c r="F34" s="111">
        <v>1406.5976335904218</v>
      </c>
      <c r="G34" s="111">
        <v>1433.1019945206024</v>
      </c>
      <c r="H34" s="110">
        <v>2015</v>
      </c>
      <c r="I34" s="54"/>
      <c r="J34" s="49"/>
    </row>
    <row r="35" spans="1:18" s="40" customFormat="1">
      <c r="B35" s="104"/>
      <c r="C35" s="93"/>
      <c r="D35" s="111"/>
      <c r="E35" s="111"/>
      <c r="F35" s="111"/>
      <c r="G35" s="111"/>
      <c r="H35" s="110"/>
      <c r="I35" s="54"/>
      <c r="J35" s="49"/>
    </row>
    <row r="36" spans="1:18" s="40" customFormat="1">
      <c r="B36" s="104" t="s">
        <v>86</v>
      </c>
      <c r="C36" s="93" t="s">
        <v>17</v>
      </c>
      <c r="D36" s="111">
        <v>0</v>
      </c>
      <c r="E36" s="111">
        <v>0</v>
      </c>
      <c r="F36" s="111">
        <v>0</v>
      </c>
      <c r="G36" s="111">
        <v>0</v>
      </c>
      <c r="H36" s="110">
        <v>2015</v>
      </c>
      <c r="I36" s="54"/>
      <c r="J36" s="49"/>
    </row>
    <row r="37" spans="1:18" s="40" customFormat="1">
      <c r="B37" s="103"/>
      <c r="C37" s="93"/>
      <c r="D37" s="109"/>
      <c r="E37" s="73"/>
      <c r="F37" s="73"/>
      <c r="G37" s="73"/>
      <c r="H37" s="73"/>
      <c r="I37" s="54"/>
      <c r="J37" s="49"/>
    </row>
    <row r="38" spans="1:18">
      <c r="A38" s="40"/>
      <c r="B38" s="108" t="s">
        <v>85</v>
      </c>
      <c r="C38" s="93" t="s">
        <v>15</v>
      </c>
      <c r="D38" s="218">
        <f>'EU Lastbil'!D38+10000</f>
        <v>761018.91308317415</v>
      </c>
      <c r="E38" s="218">
        <f>'EU Lastbil'!E38+10000</f>
        <v>761018.91308317415</v>
      </c>
      <c r="F38" s="218">
        <f>'EU Lastbil'!F38+10000</f>
        <v>761018.91308317415</v>
      </c>
      <c r="G38" s="218">
        <f>'EU Lastbil'!G38+10000</f>
        <v>761018.91308317415</v>
      </c>
      <c r="H38" s="105">
        <v>2013</v>
      </c>
      <c r="I38" s="74" t="s">
        <v>192</v>
      </c>
      <c r="J38" s="49"/>
      <c r="K38" s="209"/>
      <c r="L38" s="40"/>
      <c r="M38" s="40"/>
      <c r="N38" s="40"/>
      <c r="O38" s="40"/>
      <c r="P38" s="40"/>
      <c r="Q38" s="40"/>
      <c r="R38" s="40"/>
    </row>
    <row r="39" spans="1:18">
      <c r="A39" s="40"/>
      <c r="B39" s="53" t="s">
        <v>16</v>
      </c>
      <c r="C39" s="93" t="s">
        <v>17</v>
      </c>
      <c r="D39" s="222">
        <f>+SUM(D40:D43)</f>
        <v>2415.8725426589363</v>
      </c>
      <c r="E39" s="223">
        <f>+SUM(E40:E43)</f>
        <v>2530.4716248107061</v>
      </c>
      <c r="F39" s="223">
        <f>+SUM(F40:F43)</f>
        <v>2656.3690148442683</v>
      </c>
      <c r="G39" s="223">
        <f>+SUM(G40:G43)</f>
        <v>2706.4226772789671</v>
      </c>
      <c r="H39" s="105">
        <v>2013</v>
      </c>
      <c r="I39" s="152"/>
      <c r="J39" s="49"/>
      <c r="K39" s="209"/>
      <c r="L39" s="40"/>
      <c r="M39" s="40"/>
      <c r="N39" s="40"/>
      <c r="O39" s="40"/>
      <c r="P39" s="40"/>
      <c r="Q39" s="40"/>
      <c r="R39" s="40"/>
    </row>
    <row r="40" spans="1:18">
      <c r="A40" s="40"/>
      <c r="B40" s="104" t="s">
        <v>18</v>
      </c>
      <c r="C40" s="93" t="s">
        <v>17</v>
      </c>
      <c r="D40" s="222">
        <v>1183.9856235607406</v>
      </c>
      <c r="E40" s="223">
        <v>1240.1490441655449</v>
      </c>
      <c r="F40" s="223">
        <v>1301.8496087489311</v>
      </c>
      <c r="G40" s="223">
        <v>1326.3802144339563</v>
      </c>
      <c r="H40" s="105">
        <v>2013</v>
      </c>
      <c r="I40" s="152"/>
      <c r="J40" s="49"/>
      <c r="K40" s="209"/>
      <c r="L40" s="40"/>
      <c r="M40" s="40"/>
      <c r="N40" s="40"/>
      <c r="O40" s="40"/>
      <c r="P40" s="40"/>
      <c r="Q40" s="40"/>
      <c r="R40" s="40"/>
    </row>
    <row r="41" spans="1:18">
      <c r="A41" s="40"/>
      <c r="B41" s="104" t="s">
        <v>19</v>
      </c>
      <c r="C41" s="93" t="s">
        <v>17</v>
      </c>
      <c r="D41" s="222">
        <f>(D68*D69)/D28</f>
        <v>1231.8869190981954</v>
      </c>
      <c r="E41" s="223">
        <f>(E68*E69)/E28</f>
        <v>1290.322580645161</v>
      </c>
      <c r="F41" s="223">
        <f>(F68*F69)/F28</f>
        <v>1354.5194060953372</v>
      </c>
      <c r="G41" s="223">
        <f>(G68*G69)/G28</f>
        <v>1380.0424628450107</v>
      </c>
      <c r="H41" s="105">
        <v>2013</v>
      </c>
      <c r="I41" s="94" t="s">
        <v>125</v>
      </c>
      <c r="J41" s="94"/>
      <c r="K41" s="209"/>
      <c r="L41" s="40"/>
      <c r="M41" s="40"/>
      <c r="N41" s="40"/>
      <c r="O41" s="40"/>
      <c r="P41" s="40"/>
      <c r="Q41" s="40"/>
      <c r="R41" s="40"/>
    </row>
    <row r="42" spans="1:18">
      <c r="A42" s="40"/>
      <c r="B42" s="104"/>
      <c r="C42" s="93"/>
      <c r="D42" s="109"/>
      <c r="E42" s="73"/>
      <c r="F42" s="73"/>
      <c r="G42" s="73"/>
      <c r="H42" s="105"/>
      <c r="I42" s="152"/>
      <c r="J42" s="49"/>
      <c r="K42" s="209"/>
      <c r="L42" s="40"/>
      <c r="M42" s="40"/>
      <c r="N42" s="40"/>
      <c r="O42" s="40"/>
      <c r="P42" s="40"/>
      <c r="Q42" s="40"/>
      <c r="R42" s="40"/>
    </row>
    <row r="43" spans="1:18">
      <c r="A43" s="40"/>
      <c r="B43" s="104" t="s">
        <v>86</v>
      </c>
      <c r="C43" s="93" t="s">
        <v>17</v>
      </c>
      <c r="D43" s="222">
        <v>0</v>
      </c>
      <c r="E43" s="221">
        <v>0</v>
      </c>
      <c r="F43" s="221">
        <v>0</v>
      </c>
      <c r="G43" s="221">
        <v>0</v>
      </c>
      <c r="H43" s="105">
        <v>2013</v>
      </c>
      <c r="I43" s="152"/>
      <c r="J43" s="94"/>
      <c r="K43" s="209"/>
      <c r="L43" s="40"/>
      <c r="M43" s="40"/>
      <c r="N43" s="40"/>
      <c r="O43" s="40"/>
      <c r="P43" s="40"/>
      <c r="Q43" s="40"/>
      <c r="R43" s="40"/>
    </row>
    <row r="44" spans="1:18">
      <c r="A44" s="40"/>
      <c r="B44" s="104"/>
      <c r="C44" s="93"/>
      <c r="D44" s="109"/>
      <c r="E44" s="73"/>
      <c r="F44" s="73"/>
      <c r="G44" s="73"/>
      <c r="H44" s="73"/>
      <c r="I44" s="152"/>
      <c r="J44" s="49"/>
      <c r="K44" s="209"/>
      <c r="L44" s="40"/>
      <c r="M44" s="40"/>
      <c r="N44" s="40"/>
      <c r="O44" s="40"/>
      <c r="P44" s="40"/>
      <c r="Q44" s="40"/>
      <c r="R44" s="40"/>
    </row>
    <row r="45" spans="1:18">
      <c r="A45" s="40"/>
      <c r="B45" s="103" t="s">
        <v>87</v>
      </c>
      <c r="C45" s="93"/>
      <c r="D45" s="109"/>
      <c r="E45" s="73"/>
      <c r="F45" s="73"/>
      <c r="G45" s="73"/>
      <c r="H45" s="102"/>
      <c r="I45" s="152"/>
      <c r="J45" s="49"/>
      <c r="K45" s="209"/>
      <c r="L45" s="40"/>
      <c r="M45" s="40"/>
      <c r="N45" s="40"/>
      <c r="O45" s="40"/>
      <c r="P45" s="40"/>
      <c r="Q45" s="40"/>
      <c r="R45" s="40"/>
    </row>
    <row r="46" spans="1:18">
      <c r="A46" s="40"/>
      <c r="B46" s="98" t="s">
        <v>30</v>
      </c>
      <c r="C46" s="93"/>
      <c r="D46" s="109"/>
      <c r="E46" s="73"/>
      <c r="F46" s="73"/>
      <c r="G46" s="73"/>
      <c r="H46" s="101"/>
      <c r="I46" s="152"/>
      <c r="J46" s="49"/>
      <c r="K46" s="209"/>
      <c r="L46" s="40"/>
      <c r="M46" s="40"/>
      <c r="N46" s="40"/>
      <c r="O46" s="40"/>
      <c r="P46" s="40"/>
      <c r="Q46" s="40"/>
      <c r="R46" s="40"/>
    </row>
    <row r="47" spans="1:18">
      <c r="A47" s="40"/>
      <c r="B47" s="53" t="s">
        <v>20</v>
      </c>
      <c r="C47" s="93" t="s">
        <v>107</v>
      </c>
      <c r="D47" s="220"/>
      <c r="E47" s="96"/>
      <c r="F47" s="96"/>
      <c r="G47" s="96"/>
      <c r="H47" s="101"/>
      <c r="I47" s="152"/>
      <c r="J47" s="94" t="s">
        <v>88</v>
      </c>
      <c r="K47" s="209"/>
      <c r="L47" s="40"/>
      <c r="M47" s="40"/>
      <c r="N47" s="40"/>
      <c r="O47" s="40"/>
      <c r="P47" s="40"/>
      <c r="Q47" s="40"/>
      <c r="R47" s="40"/>
    </row>
    <row r="48" spans="1:18">
      <c r="A48" s="40"/>
      <c r="B48" s="53" t="s">
        <v>21</v>
      </c>
      <c r="C48" s="93" t="s">
        <v>107</v>
      </c>
      <c r="D48" s="99">
        <f t="shared" ref="D48:G52" si="0">D78/D$75</f>
        <v>5.70067229895981E-4</v>
      </c>
      <c r="E48" s="99">
        <f t="shared" si="0"/>
        <v>1.6299243669067753E-4</v>
      </c>
      <c r="F48" s="99">
        <f t="shared" si="0"/>
        <v>1.6299243669067753E-4</v>
      </c>
      <c r="G48" s="99">
        <f t="shared" si="0"/>
        <v>1.6299243669067753E-4</v>
      </c>
      <c r="H48" s="95"/>
      <c r="I48" s="152"/>
      <c r="J48" s="49"/>
      <c r="K48" s="209"/>
      <c r="L48" s="40"/>
      <c r="M48" s="40"/>
      <c r="N48" s="40"/>
      <c r="O48" s="40"/>
      <c r="P48" s="40"/>
      <c r="Q48" s="40"/>
      <c r="R48" s="40"/>
    </row>
    <row r="49" spans="1:18">
      <c r="A49" s="40"/>
      <c r="B49" s="53" t="s">
        <v>22</v>
      </c>
      <c r="C49" s="93" t="s">
        <v>107</v>
      </c>
      <c r="D49" s="99">
        <f t="shared" si="0"/>
        <v>3.3862691824031407E-3</v>
      </c>
      <c r="E49" s="99">
        <f t="shared" si="0"/>
        <v>3.3862691824031407E-3</v>
      </c>
      <c r="F49" s="99">
        <f t="shared" si="0"/>
        <v>3.3862691824031407E-3</v>
      </c>
      <c r="G49" s="99">
        <f t="shared" si="0"/>
        <v>3.3862691824031407E-3</v>
      </c>
      <c r="H49" s="73"/>
      <c r="I49" s="152"/>
      <c r="J49" s="49"/>
      <c r="K49" s="209"/>
      <c r="L49" s="40"/>
      <c r="M49" s="40"/>
      <c r="N49" s="40"/>
      <c r="O49" s="40"/>
      <c r="P49" s="40"/>
      <c r="Q49" s="40"/>
      <c r="R49" s="40"/>
    </row>
    <row r="50" spans="1:18">
      <c r="A50" s="40"/>
      <c r="B50" s="53" t="s">
        <v>23</v>
      </c>
      <c r="C50" s="93" t="s">
        <v>107</v>
      </c>
      <c r="D50" s="99">
        <f t="shared" si="0"/>
        <v>4.2579461839753469E-4</v>
      </c>
      <c r="E50" s="99">
        <f t="shared" si="0"/>
        <v>4.2579461839753463E-4</v>
      </c>
      <c r="F50" s="99">
        <f t="shared" si="0"/>
        <v>4.2579461839753469E-4</v>
      </c>
      <c r="G50" s="99">
        <f t="shared" si="0"/>
        <v>4.2579461839753474E-4</v>
      </c>
      <c r="H50" s="100"/>
      <c r="I50" s="152"/>
      <c r="J50" s="49"/>
      <c r="K50" s="209"/>
      <c r="L50" s="40"/>
      <c r="M50" s="40"/>
      <c r="N50" s="40"/>
      <c r="O50" s="40"/>
      <c r="P50" s="40"/>
      <c r="Q50" s="40"/>
      <c r="R50" s="40"/>
    </row>
    <row r="51" spans="1:18">
      <c r="A51" s="40"/>
      <c r="B51" s="53" t="s">
        <v>89</v>
      </c>
      <c r="C51" s="93" t="s">
        <v>107</v>
      </c>
      <c r="D51" s="99">
        <f t="shared" si="0"/>
        <v>0.41867908999831532</v>
      </c>
      <c r="E51" s="99">
        <f t="shared" si="0"/>
        <v>4.3735563529504119E-2</v>
      </c>
      <c r="F51" s="99">
        <f t="shared" si="0"/>
        <v>4.3735563529504119E-2</v>
      </c>
      <c r="G51" s="99">
        <f t="shared" si="0"/>
        <v>4.3735563529504119E-2</v>
      </c>
      <c r="H51" s="73"/>
      <c r="I51" s="152"/>
      <c r="J51" s="49"/>
      <c r="K51" s="209"/>
      <c r="L51" s="40"/>
      <c r="M51" s="40"/>
      <c r="N51" s="40"/>
      <c r="O51" s="40"/>
      <c r="P51" s="40"/>
      <c r="Q51" s="40"/>
      <c r="R51" s="40"/>
    </row>
    <row r="52" spans="1:18">
      <c r="A52" s="40"/>
      <c r="B52" s="53" t="s">
        <v>24</v>
      </c>
      <c r="C52" s="93" t="s">
        <v>107</v>
      </c>
      <c r="D52" s="99">
        <f t="shared" si="0"/>
        <v>3.2979813853448933E-3</v>
      </c>
      <c r="E52" s="99">
        <f t="shared" si="0"/>
        <v>3.6064433411829615E-4</v>
      </c>
      <c r="F52" s="99">
        <f t="shared" si="0"/>
        <v>3.6064433411829615E-4</v>
      </c>
      <c r="G52" s="99">
        <f t="shared" si="0"/>
        <v>3.6064433411829615E-4</v>
      </c>
      <c r="H52" s="73"/>
      <c r="I52" s="152"/>
      <c r="J52" s="49"/>
      <c r="K52" s="209"/>
      <c r="L52" s="40"/>
      <c r="M52" s="40"/>
      <c r="N52" s="40"/>
      <c r="O52" s="40"/>
      <c r="P52" s="40"/>
      <c r="Q52" s="40"/>
      <c r="R52" s="40"/>
    </row>
    <row r="53" spans="1:18">
      <c r="A53" s="40"/>
      <c r="B53" s="53"/>
      <c r="C53" s="93"/>
      <c r="D53" s="97"/>
      <c r="E53" s="52"/>
      <c r="F53" s="52"/>
      <c r="G53" s="52"/>
      <c r="H53" s="73"/>
      <c r="I53" s="152"/>
      <c r="J53" s="49"/>
      <c r="K53" s="209"/>
      <c r="L53" s="40"/>
      <c r="M53" s="40"/>
      <c r="N53" s="40"/>
      <c r="O53" s="40"/>
      <c r="P53" s="40"/>
      <c r="Q53" s="40"/>
      <c r="R53" s="40"/>
    </row>
    <row r="54" spans="1:18">
      <c r="A54" s="40"/>
      <c r="B54" s="98" t="s">
        <v>31</v>
      </c>
      <c r="C54" s="93"/>
      <c r="D54" s="109"/>
      <c r="E54" s="73"/>
      <c r="F54" s="73"/>
      <c r="G54" s="73"/>
      <c r="H54" s="95"/>
      <c r="I54" s="152"/>
      <c r="J54" s="49"/>
      <c r="K54" s="209"/>
      <c r="L54" s="40"/>
      <c r="M54" s="40"/>
      <c r="N54" s="40"/>
      <c r="O54" s="40"/>
      <c r="P54" s="40"/>
      <c r="Q54" s="40"/>
      <c r="R54" s="40"/>
    </row>
    <row r="55" spans="1:18">
      <c r="A55" s="40"/>
      <c r="B55" s="53" t="s">
        <v>20</v>
      </c>
      <c r="C55" s="93" t="s">
        <v>107</v>
      </c>
      <c r="D55" s="220"/>
      <c r="E55" s="96"/>
      <c r="F55" s="96"/>
      <c r="G55" s="96"/>
      <c r="H55" s="162"/>
      <c r="I55" s="152"/>
      <c r="J55" s="94" t="s">
        <v>88</v>
      </c>
      <c r="K55" s="209"/>
      <c r="L55" s="40"/>
      <c r="M55" s="40"/>
      <c r="N55" s="40"/>
      <c r="O55" s="40"/>
      <c r="P55" s="40"/>
      <c r="Q55" s="40"/>
      <c r="R55" s="40"/>
    </row>
    <row r="56" spans="1:18">
      <c r="A56" s="40"/>
      <c r="B56" s="53" t="s">
        <v>21</v>
      </c>
      <c r="C56" s="93" t="s">
        <v>107</v>
      </c>
      <c r="D56" s="92">
        <f t="shared" ref="D56:G60" si="1">D48</f>
        <v>5.70067229895981E-4</v>
      </c>
      <c r="E56" s="92">
        <f t="shared" si="1"/>
        <v>1.6299243669067753E-4</v>
      </c>
      <c r="F56" s="92">
        <f t="shared" si="1"/>
        <v>1.6299243669067753E-4</v>
      </c>
      <c r="G56" s="92">
        <f t="shared" si="1"/>
        <v>1.6299243669067753E-4</v>
      </c>
      <c r="H56" s="162"/>
      <c r="I56" s="152"/>
      <c r="J56" s="49"/>
      <c r="K56" s="209"/>
      <c r="L56" s="40"/>
      <c r="M56" s="40"/>
      <c r="N56" s="40"/>
      <c r="O56" s="40"/>
      <c r="P56" s="40"/>
      <c r="Q56" s="40"/>
      <c r="R56" s="40"/>
    </row>
    <row r="57" spans="1:18">
      <c r="A57" s="40"/>
      <c r="B57" s="53" t="s">
        <v>22</v>
      </c>
      <c r="C57" s="93" t="s">
        <v>107</v>
      </c>
      <c r="D57" s="92">
        <f t="shared" si="1"/>
        <v>3.3862691824031407E-3</v>
      </c>
      <c r="E57" s="92">
        <f t="shared" si="1"/>
        <v>3.3862691824031407E-3</v>
      </c>
      <c r="F57" s="92">
        <f t="shared" si="1"/>
        <v>3.3862691824031407E-3</v>
      </c>
      <c r="G57" s="92">
        <f t="shared" si="1"/>
        <v>3.3862691824031407E-3</v>
      </c>
      <c r="H57" s="162"/>
      <c r="I57" s="152"/>
      <c r="J57" s="49"/>
      <c r="K57" s="209"/>
      <c r="L57" s="40"/>
      <c r="M57" s="40"/>
      <c r="N57" s="40"/>
      <c r="O57" s="40"/>
      <c r="P57" s="40"/>
      <c r="Q57" s="40"/>
      <c r="R57" s="40"/>
    </row>
    <row r="58" spans="1:18">
      <c r="A58" s="40"/>
      <c r="B58" s="53" t="s">
        <v>23</v>
      </c>
      <c r="C58" s="93" t="s">
        <v>107</v>
      </c>
      <c r="D58" s="92">
        <f t="shared" si="1"/>
        <v>4.2579461839753469E-4</v>
      </c>
      <c r="E58" s="92">
        <f t="shared" si="1"/>
        <v>4.2579461839753463E-4</v>
      </c>
      <c r="F58" s="92">
        <f t="shared" si="1"/>
        <v>4.2579461839753469E-4</v>
      </c>
      <c r="G58" s="92">
        <f t="shared" si="1"/>
        <v>4.2579461839753474E-4</v>
      </c>
      <c r="H58" s="162"/>
      <c r="I58" s="152"/>
      <c r="J58" s="49"/>
      <c r="K58" s="209"/>
      <c r="L58" s="40"/>
      <c r="M58" s="40"/>
      <c r="N58" s="40"/>
      <c r="O58" s="40"/>
      <c r="P58" s="40"/>
      <c r="Q58" s="40"/>
      <c r="R58" s="40"/>
    </row>
    <row r="59" spans="1:18">
      <c r="A59" s="40"/>
      <c r="B59" s="53" t="s">
        <v>89</v>
      </c>
      <c r="C59" s="93" t="s">
        <v>107</v>
      </c>
      <c r="D59" s="92">
        <f t="shared" si="1"/>
        <v>0.41867908999831532</v>
      </c>
      <c r="E59" s="92">
        <f t="shared" si="1"/>
        <v>4.3735563529504119E-2</v>
      </c>
      <c r="F59" s="92">
        <f t="shared" si="1"/>
        <v>4.3735563529504119E-2</v>
      </c>
      <c r="G59" s="92">
        <f t="shared" si="1"/>
        <v>4.3735563529504119E-2</v>
      </c>
      <c r="H59" s="162"/>
      <c r="I59" s="152"/>
      <c r="J59" s="49"/>
      <c r="K59" s="209"/>
      <c r="L59" s="40"/>
      <c r="M59" s="40"/>
      <c r="N59" s="40"/>
      <c r="O59" s="40"/>
      <c r="P59" s="40"/>
      <c r="Q59" s="40"/>
      <c r="R59" s="40"/>
    </row>
    <row r="60" spans="1:18">
      <c r="A60" s="40"/>
      <c r="B60" s="53" t="s">
        <v>24</v>
      </c>
      <c r="C60" s="93" t="s">
        <v>107</v>
      </c>
      <c r="D60" s="92">
        <f t="shared" si="1"/>
        <v>3.2979813853448933E-3</v>
      </c>
      <c r="E60" s="92">
        <f t="shared" si="1"/>
        <v>3.6064433411829615E-4</v>
      </c>
      <c r="F60" s="92">
        <f t="shared" si="1"/>
        <v>3.6064433411829615E-4</v>
      </c>
      <c r="G60" s="92">
        <f t="shared" si="1"/>
        <v>3.6064433411829615E-4</v>
      </c>
      <c r="H60" s="110"/>
      <c r="I60" s="152"/>
      <c r="J60" s="49"/>
      <c r="K60" s="209"/>
      <c r="L60" s="40"/>
      <c r="M60" s="40"/>
      <c r="N60" s="40"/>
      <c r="O60" s="40"/>
      <c r="P60" s="40"/>
      <c r="Q60" s="40"/>
      <c r="R60" s="40"/>
    </row>
    <row r="61" spans="1:18" ht="13.5" thickBot="1">
      <c r="A61" s="40"/>
      <c r="B61" s="90"/>
      <c r="C61" s="89"/>
      <c r="D61" s="88"/>
      <c r="E61" s="47"/>
      <c r="F61" s="47"/>
      <c r="G61" s="47"/>
      <c r="H61" s="47"/>
      <c r="I61" s="158"/>
      <c r="J61" s="65"/>
      <c r="K61" s="209"/>
      <c r="L61" s="40"/>
      <c r="M61" s="40"/>
      <c r="N61" s="40"/>
      <c r="O61" s="40"/>
      <c r="P61" s="40"/>
      <c r="Q61" s="40"/>
      <c r="R61" s="40"/>
    </row>
    <row r="62" spans="1:18">
      <c r="A62" s="40"/>
      <c r="B62" s="40"/>
      <c r="C62" s="40"/>
      <c r="D62" s="40"/>
      <c r="E62" s="40"/>
      <c r="F62" s="40"/>
      <c r="G62" s="40"/>
      <c r="I62" s="40"/>
      <c r="J62" s="40"/>
      <c r="K62" s="209"/>
      <c r="L62" s="40"/>
      <c r="M62" s="40"/>
      <c r="N62" s="40"/>
      <c r="O62" s="40"/>
      <c r="P62" s="40"/>
      <c r="Q62" s="40"/>
      <c r="R62" s="40"/>
    </row>
    <row r="63" spans="1:18">
      <c r="A63" s="40"/>
      <c r="B63" s="40"/>
      <c r="C63" s="40"/>
      <c r="D63" s="40"/>
      <c r="E63" s="40"/>
      <c r="F63" s="40"/>
      <c r="G63" s="40"/>
      <c r="I63" s="40"/>
      <c r="J63" s="40"/>
      <c r="K63" s="209"/>
      <c r="L63" s="40"/>
      <c r="M63" s="40"/>
      <c r="N63" s="40"/>
      <c r="O63" s="40"/>
      <c r="P63" s="40"/>
      <c r="Q63" s="40"/>
      <c r="R63" s="40"/>
    </row>
    <row r="64" spans="1:18" ht="16.5" thickBot="1">
      <c r="A64" s="40"/>
      <c r="B64" s="64" t="s">
        <v>90</v>
      </c>
      <c r="C64" s="40"/>
      <c r="D64" s="40"/>
      <c r="E64" s="40"/>
      <c r="F64" s="40"/>
      <c r="G64" s="40"/>
      <c r="I64" s="40"/>
      <c r="J64" s="40"/>
      <c r="K64" s="209"/>
      <c r="L64" s="40"/>
      <c r="M64" s="40"/>
      <c r="N64" s="40"/>
      <c r="O64" s="40"/>
      <c r="P64" s="40"/>
      <c r="Q64" s="40"/>
      <c r="R64" s="40"/>
    </row>
    <row r="65" spans="1:18">
      <c r="A65" s="40"/>
      <c r="B65" s="63"/>
      <c r="C65" s="85"/>
      <c r="D65" s="60"/>
      <c r="E65" s="60"/>
      <c r="F65" s="60"/>
      <c r="G65" s="60"/>
      <c r="H65" s="60"/>
      <c r="I65" s="60"/>
      <c r="J65" s="58"/>
      <c r="K65" s="209"/>
      <c r="L65" s="40"/>
      <c r="M65" s="40"/>
      <c r="N65" s="40"/>
      <c r="O65" s="40"/>
      <c r="P65" s="40"/>
      <c r="Q65" s="40"/>
      <c r="R65" s="40"/>
    </row>
    <row r="66" spans="1:18">
      <c r="A66" s="40"/>
      <c r="B66" s="84"/>
      <c r="C66" s="83" t="s">
        <v>72</v>
      </c>
      <c r="D66" s="82">
        <v>2015</v>
      </c>
      <c r="E66" s="81">
        <v>2020</v>
      </c>
      <c r="F66" s="81">
        <v>2035</v>
      </c>
      <c r="G66" s="81">
        <v>2050</v>
      </c>
      <c r="H66" s="81"/>
      <c r="I66" s="127"/>
      <c r="J66" s="79"/>
      <c r="K66" s="209"/>
      <c r="L66" s="40"/>
      <c r="M66" s="40"/>
      <c r="N66" s="40"/>
      <c r="O66" s="40"/>
      <c r="P66" s="40"/>
      <c r="Q66" s="40"/>
      <c r="R66" s="40"/>
    </row>
    <row r="67" spans="1:18">
      <c r="A67" s="40"/>
      <c r="B67" s="53" t="s">
        <v>25</v>
      </c>
      <c r="C67" s="70" t="s">
        <v>124</v>
      </c>
      <c r="D67" s="219">
        <f>'EU Lastbil'!D67</f>
        <v>2.5327000000000002</v>
      </c>
      <c r="E67" s="219">
        <f>'EU Lastbil'!E67</f>
        <v>2.4180000000000001</v>
      </c>
      <c r="F67" s="219">
        <f>'EU Lastbil'!F67</f>
        <v>2.3034000000000003</v>
      </c>
      <c r="G67" s="219">
        <f>'EU Lastbil'!G67</f>
        <v>2.2607999999999997</v>
      </c>
      <c r="H67" s="219"/>
      <c r="I67" s="54" t="s">
        <v>215</v>
      </c>
      <c r="J67" s="49"/>
      <c r="K67" s="209"/>
      <c r="L67" s="40"/>
      <c r="M67" s="40"/>
      <c r="N67" s="40"/>
      <c r="O67" s="40"/>
      <c r="P67" s="40"/>
      <c r="Q67" s="40"/>
      <c r="R67" s="40"/>
    </row>
    <row r="68" spans="1:18">
      <c r="A68" s="40"/>
      <c r="B68" s="53" t="s">
        <v>94</v>
      </c>
      <c r="C68" s="70" t="s">
        <v>95</v>
      </c>
      <c r="D68" s="218">
        <f>'EU Lastbil'!D68</f>
        <v>50000</v>
      </c>
      <c r="E68" s="218">
        <f>'EU Lastbil'!E68</f>
        <v>50000</v>
      </c>
      <c r="F68" s="218">
        <f>'EU Lastbil'!F68</f>
        <v>50000</v>
      </c>
      <c r="G68" s="218">
        <f>'EU Lastbil'!G68</f>
        <v>50000</v>
      </c>
      <c r="H68" s="218"/>
      <c r="I68" s="74" t="s">
        <v>186</v>
      </c>
      <c r="J68" s="49"/>
      <c r="K68" s="209"/>
      <c r="L68" s="40"/>
      <c r="M68" s="40"/>
      <c r="N68" s="40"/>
      <c r="O68" s="40"/>
      <c r="P68" s="40"/>
      <c r="Q68" s="40"/>
      <c r="R68" s="40"/>
    </row>
    <row r="69" spans="1:18">
      <c r="A69" s="40"/>
      <c r="B69" s="53" t="s">
        <v>97</v>
      </c>
      <c r="C69" s="167" t="s">
        <v>35</v>
      </c>
      <c r="D69" s="216">
        <f>'EU Lastbil'!D69</f>
        <v>3.12</v>
      </c>
      <c r="E69" s="216">
        <f>'EU Lastbil'!E69</f>
        <v>3.12</v>
      </c>
      <c r="F69" s="216">
        <f>'EU Lastbil'!F69</f>
        <v>3.12</v>
      </c>
      <c r="G69" s="216">
        <f>'EU Lastbil'!G69</f>
        <v>3.12</v>
      </c>
      <c r="H69" s="217"/>
      <c r="I69" s="74" t="s">
        <v>186</v>
      </c>
      <c r="J69" s="94"/>
      <c r="K69" s="209"/>
      <c r="L69" s="40"/>
      <c r="M69" s="40"/>
      <c r="N69" s="40"/>
      <c r="O69" s="40"/>
      <c r="P69" s="40"/>
      <c r="Q69" s="40"/>
      <c r="R69" s="40"/>
    </row>
    <row r="70" spans="1:18">
      <c r="A70" s="40"/>
      <c r="B70" s="139" t="s">
        <v>126</v>
      </c>
      <c r="C70" s="167" t="s">
        <v>127</v>
      </c>
      <c r="D70" s="231">
        <v>2.4703675918979746</v>
      </c>
      <c r="E70" s="231">
        <v>2.7237386269644333</v>
      </c>
      <c r="F70" s="231">
        <v>3.1451766953199614</v>
      </c>
      <c r="G70" s="231">
        <v>3.4957537154989384</v>
      </c>
      <c r="H70" s="215"/>
      <c r="I70" s="74"/>
      <c r="J70" s="94"/>
      <c r="K70" s="209"/>
      <c r="L70" s="40"/>
      <c r="M70" s="42"/>
      <c r="N70" s="153"/>
      <c r="O70" s="153"/>
      <c r="P70" s="40"/>
      <c r="Q70" s="40"/>
      <c r="R70" s="40"/>
    </row>
    <row r="71" spans="1:18">
      <c r="A71" s="40"/>
      <c r="B71" s="139" t="s">
        <v>128</v>
      </c>
      <c r="C71" s="167" t="s">
        <v>26</v>
      </c>
      <c r="D71" s="214">
        <v>0.19</v>
      </c>
      <c r="E71" s="214">
        <v>0.2</v>
      </c>
      <c r="F71" s="214">
        <v>0.22</v>
      </c>
      <c r="G71" s="214">
        <v>0.24</v>
      </c>
      <c r="H71" s="214"/>
      <c r="I71" s="54" t="s">
        <v>215</v>
      </c>
      <c r="J71" s="94"/>
      <c r="K71" s="209"/>
      <c r="L71" s="40"/>
      <c r="M71" s="40"/>
      <c r="N71" s="40"/>
      <c r="O71" s="40"/>
      <c r="P71" s="40"/>
      <c r="Q71" s="40"/>
      <c r="R71" s="40"/>
    </row>
    <row r="72" spans="1:18" ht="13.5" thickBot="1">
      <c r="A72" s="40"/>
      <c r="B72" s="213"/>
      <c r="C72" s="212"/>
      <c r="D72" s="211"/>
      <c r="E72" s="211"/>
      <c r="F72" s="211"/>
      <c r="G72" s="211"/>
      <c r="H72" s="211"/>
      <c r="I72" s="74"/>
      <c r="J72" s="65"/>
      <c r="K72" s="209"/>
      <c r="L72" s="40"/>
      <c r="M72" s="40"/>
      <c r="N72" s="40"/>
      <c r="O72" s="40"/>
      <c r="P72" s="40"/>
      <c r="Q72" s="40"/>
      <c r="R72" s="40"/>
    </row>
    <row r="73" spans="1:18">
      <c r="A73" s="40"/>
      <c r="B73" s="40"/>
      <c r="C73" s="40"/>
      <c r="D73" s="157"/>
      <c r="E73" s="157"/>
      <c r="F73" s="157"/>
      <c r="G73" s="157"/>
      <c r="H73" s="157"/>
      <c r="I73" s="40"/>
      <c r="J73" s="40"/>
      <c r="K73" s="209"/>
      <c r="L73" s="40"/>
      <c r="M73" s="40"/>
      <c r="N73" s="40"/>
      <c r="O73" s="40"/>
      <c r="P73" s="40"/>
      <c r="Q73" s="40"/>
      <c r="R73" s="40"/>
    </row>
    <row r="74" spans="1:18" ht="16.5" thickBot="1">
      <c r="A74" s="40"/>
      <c r="B74" s="64" t="s">
        <v>99</v>
      </c>
      <c r="C74" s="40"/>
      <c r="D74" s="40"/>
      <c r="E74" s="40"/>
      <c r="F74" s="40"/>
      <c r="G74" s="40"/>
      <c r="I74" s="40"/>
      <c r="J74" s="40"/>
      <c r="K74" s="209"/>
      <c r="L74" s="40"/>
      <c r="M74" s="40"/>
      <c r="N74" s="40"/>
      <c r="O74" s="40"/>
      <c r="P74" s="40"/>
      <c r="Q74" s="40"/>
      <c r="R74" s="40"/>
    </row>
    <row r="75" spans="1:18">
      <c r="A75" s="40"/>
      <c r="B75" s="63" t="s">
        <v>123</v>
      </c>
      <c r="C75" s="60"/>
      <c r="D75" s="149">
        <f>D67/D71</f>
        <v>13.33</v>
      </c>
      <c r="E75" s="149">
        <f>E67/E71</f>
        <v>12.09</v>
      </c>
      <c r="F75" s="149">
        <f>F67/F71</f>
        <v>10.47</v>
      </c>
      <c r="G75" s="149">
        <f>G67/G71</f>
        <v>9.42</v>
      </c>
      <c r="H75" s="149"/>
      <c r="I75" s="54"/>
      <c r="J75" s="58"/>
      <c r="K75" s="209"/>
      <c r="L75" s="40"/>
      <c r="M75" s="40"/>
      <c r="N75" s="40"/>
      <c r="O75" s="40"/>
      <c r="P75" s="40"/>
      <c r="Q75" s="40"/>
      <c r="R75" s="40"/>
    </row>
    <row r="76" spans="1:18">
      <c r="A76" s="40"/>
      <c r="B76" s="53"/>
      <c r="C76" s="52"/>
      <c r="D76" s="237"/>
      <c r="E76" s="237"/>
      <c r="F76" s="237"/>
      <c r="G76" s="237"/>
      <c r="H76" s="210"/>
      <c r="I76" s="52"/>
      <c r="J76" s="49"/>
      <c r="K76" s="209"/>
      <c r="L76" s="40"/>
      <c r="M76" s="40"/>
      <c r="N76" s="40"/>
      <c r="O76" s="40"/>
      <c r="P76" s="40"/>
      <c r="Q76" s="40"/>
      <c r="R76" s="40"/>
    </row>
    <row r="77" spans="1:18">
      <c r="A77" s="40"/>
      <c r="B77" s="53" t="s">
        <v>20</v>
      </c>
      <c r="C77" s="52" t="s">
        <v>27</v>
      </c>
      <c r="D77" s="235"/>
      <c r="E77" s="235"/>
      <c r="F77" s="235"/>
      <c r="G77" s="235"/>
      <c r="H77" s="235"/>
      <c r="I77" s="52"/>
      <c r="J77" s="49"/>
      <c r="K77" s="209"/>
      <c r="L77" s="40"/>
      <c r="M77" s="40"/>
      <c r="N77" s="40"/>
      <c r="O77" s="40"/>
      <c r="P77" s="40"/>
      <c r="Q77" s="40"/>
      <c r="R77" s="40"/>
    </row>
    <row r="78" spans="1:18">
      <c r="A78" s="40"/>
      <c r="B78" s="53" t="s">
        <v>21</v>
      </c>
      <c r="C78" s="52" t="s">
        <v>27</v>
      </c>
      <c r="D78" s="235">
        <f t="shared" ref="D78:G79" si="2">D88/1000*D$75</f>
        <v>7.5989961745134265E-3</v>
      </c>
      <c r="E78" s="235">
        <f t="shared" si="2"/>
        <v>1.9705785595902914E-3</v>
      </c>
      <c r="F78" s="235">
        <f t="shared" si="2"/>
        <v>1.7065308121513938E-3</v>
      </c>
      <c r="G78" s="235">
        <f t="shared" si="2"/>
        <v>1.5353887536261822E-3</v>
      </c>
      <c r="H78" s="235"/>
      <c r="I78" s="52"/>
      <c r="J78" s="49"/>
      <c r="K78" s="209"/>
      <c r="L78" s="40"/>
      <c r="M78" s="40"/>
      <c r="N78" s="40"/>
      <c r="O78" s="40"/>
      <c r="P78" s="40"/>
      <c r="Q78" s="40"/>
      <c r="R78" s="40"/>
    </row>
    <row r="79" spans="1:18">
      <c r="A79" s="40"/>
      <c r="B79" s="53" t="s">
        <v>22</v>
      </c>
      <c r="C79" s="52" t="s">
        <v>27</v>
      </c>
      <c r="D79" s="235">
        <f t="shared" si="2"/>
        <v>4.5138968201433864E-2</v>
      </c>
      <c r="E79" s="235">
        <f t="shared" si="2"/>
        <v>4.093999441525397E-2</v>
      </c>
      <c r="F79" s="235">
        <f t="shared" si="2"/>
        <v>3.5454238339760885E-2</v>
      </c>
      <c r="G79" s="235">
        <f t="shared" si="2"/>
        <v>3.1898655698237584E-2</v>
      </c>
      <c r="H79" s="235"/>
      <c r="I79" s="52"/>
      <c r="J79" s="49"/>
      <c r="K79" s="209"/>
      <c r="L79" s="40"/>
      <c r="M79" s="40"/>
      <c r="N79" s="40"/>
      <c r="O79" s="40"/>
      <c r="P79" s="40"/>
      <c r="Q79" s="40"/>
      <c r="R79" s="40"/>
    </row>
    <row r="80" spans="1:18">
      <c r="A80" s="40"/>
      <c r="B80" s="53" t="s">
        <v>23</v>
      </c>
      <c r="C80" s="52" t="s">
        <v>27</v>
      </c>
      <c r="D80" s="236">
        <f>D90/1000*D$75/1.1</f>
        <v>5.6758422632391375E-3</v>
      </c>
      <c r="E80" s="236">
        <f>E90/1000*E$75/1.1</f>
        <v>5.1478569364261937E-3</v>
      </c>
      <c r="F80" s="236">
        <f>F90/1000*F$75/1.1</f>
        <v>4.4580696546221883E-3</v>
      </c>
      <c r="G80" s="236">
        <f>G90/1000*G$75/1.1</f>
        <v>4.010985305304777E-3</v>
      </c>
      <c r="H80" s="236"/>
      <c r="I80" s="74" t="s">
        <v>219</v>
      </c>
      <c r="J80" s="94" t="s">
        <v>191</v>
      </c>
      <c r="K80" s="234"/>
      <c r="L80" s="40"/>
      <c r="M80" s="40"/>
      <c r="N80" s="40"/>
      <c r="O80" s="40"/>
      <c r="P80" s="40"/>
      <c r="Q80" s="40"/>
      <c r="R80" s="40"/>
    </row>
    <row r="81" spans="1:21">
      <c r="A81" s="40"/>
      <c r="B81" s="139" t="s">
        <v>36</v>
      </c>
      <c r="C81" s="52" t="s">
        <v>27</v>
      </c>
      <c r="D81" s="236">
        <f>1.2*$D91/1000*D$75</f>
        <v>5.5809922696775436</v>
      </c>
      <c r="E81" s="236">
        <f>1.2*$E91/1000*E$75</f>
        <v>0.52876296307170478</v>
      </c>
      <c r="F81" s="236">
        <f>1.2*$F91/1000*F$75</f>
        <v>0.45791135015390816</v>
      </c>
      <c r="G81" s="236">
        <f>1.2*$F91/1000*G$75</f>
        <v>0.4119890084479288</v>
      </c>
      <c r="H81" s="236"/>
      <c r="I81" s="74" t="s">
        <v>219</v>
      </c>
      <c r="J81" s="94" t="s">
        <v>190</v>
      </c>
      <c r="K81" s="209"/>
      <c r="L81" s="40"/>
      <c r="M81" s="40"/>
      <c r="N81" s="40"/>
      <c r="O81" s="40"/>
      <c r="P81" s="40"/>
      <c r="Q81" s="40"/>
      <c r="R81" s="40"/>
    </row>
    <row r="82" spans="1:21">
      <c r="A82" s="40"/>
      <c r="B82" s="53" t="s">
        <v>24</v>
      </c>
      <c r="C82" s="52" t="s">
        <v>27</v>
      </c>
      <c r="D82" s="235">
        <f>D92/1000*D$75</f>
        <v>4.3962091866647429E-2</v>
      </c>
      <c r="E82" s="235">
        <f>E92/1000*E$75</f>
        <v>4.3601899994902002E-3</v>
      </c>
      <c r="F82" s="235">
        <f>F92/1000*F$75</f>
        <v>3.7759461782185611E-3</v>
      </c>
      <c r="G82" s="235">
        <f>G92/1000*G$75</f>
        <v>3.3972696273943497E-3</v>
      </c>
      <c r="H82" s="235"/>
      <c r="I82" s="52"/>
      <c r="J82" s="94"/>
      <c r="K82" s="234"/>
      <c r="L82" s="40"/>
      <c r="M82" s="40"/>
      <c r="N82" s="40"/>
      <c r="O82" s="40"/>
      <c r="P82" s="40"/>
      <c r="Q82" s="40"/>
      <c r="R82" s="40"/>
    </row>
    <row r="83" spans="1:21" ht="13.5" thickBot="1">
      <c r="A83" s="40"/>
      <c r="B83" s="48"/>
      <c r="C83" s="47"/>
      <c r="D83" s="207"/>
      <c r="E83" s="207"/>
      <c r="F83" s="207"/>
      <c r="G83" s="207"/>
      <c r="H83" s="207"/>
      <c r="I83" s="47"/>
      <c r="J83" s="65"/>
      <c r="K83" s="40"/>
      <c r="L83" s="40"/>
      <c r="M83" s="40"/>
      <c r="N83" s="40"/>
      <c r="O83" s="40"/>
      <c r="P83" s="40"/>
      <c r="Q83" s="40"/>
      <c r="R83" s="40"/>
    </row>
    <row r="84" spans="1:21">
      <c r="A84" s="40"/>
      <c r="B84" s="40"/>
      <c r="C84" s="40"/>
      <c r="D84" s="40"/>
      <c r="E84" s="40"/>
      <c r="F84" s="40"/>
      <c r="G84" s="40"/>
      <c r="I84" s="40"/>
      <c r="J84" s="40"/>
      <c r="K84" s="40"/>
      <c r="L84" s="40"/>
      <c r="M84" s="40"/>
      <c r="N84" s="40"/>
      <c r="O84" s="40"/>
      <c r="P84" s="40"/>
      <c r="Q84" s="40"/>
      <c r="R84" s="40"/>
    </row>
    <row r="85" spans="1:21" ht="13.5" thickBot="1">
      <c r="A85" s="40"/>
      <c r="B85" s="129" t="s">
        <v>129</v>
      </c>
      <c r="C85" s="40"/>
      <c r="D85" s="40"/>
      <c r="E85" s="40"/>
      <c r="F85" s="40"/>
      <c r="G85" s="40"/>
      <c r="I85" s="40"/>
      <c r="J85" s="40"/>
      <c r="K85" s="40"/>
      <c r="L85" s="40"/>
      <c r="M85" s="40"/>
      <c r="N85" s="40"/>
      <c r="O85" s="40"/>
      <c r="P85" s="40"/>
      <c r="Q85" s="40"/>
      <c r="R85" s="40"/>
    </row>
    <row r="86" spans="1:21">
      <c r="A86" s="40"/>
      <c r="B86" s="63"/>
      <c r="C86" s="60"/>
      <c r="D86" s="206">
        <v>2015</v>
      </c>
      <c r="E86" s="206">
        <v>2020</v>
      </c>
      <c r="F86" s="206">
        <v>2035</v>
      </c>
      <c r="G86" s="206">
        <v>2050</v>
      </c>
      <c r="H86" s="206"/>
      <c r="I86" s="40"/>
      <c r="J86" s="40"/>
      <c r="K86" s="40"/>
      <c r="L86" s="40"/>
      <c r="M86" s="40"/>
      <c r="N86" s="40"/>
      <c r="O86" s="40"/>
      <c r="P86" s="40"/>
      <c r="Q86" s="40"/>
      <c r="R86" s="40"/>
    </row>
    <row r="87" spans="1:21">
      <c r="A87" s="40"/>
      <c r="B87" s="205" t="s">
        <v>20</v>
      </c>
      <c r="C87" s="110" t="s">
        <v>130</v>
      </c>
      <c r="D87" s="203"/>
      <c r="E87" s="203"/>
      <c r="F87" s="203"/>
      <c r="G87" s="203"/>
      <c r="H87" s="203"/>
      <c r="I87" s="40"/>
      <c r="J87" s="40"/>
      <c r="K87" s="40"/>
      <c r="L87" s="40"/>
      <c r="M87" s="40"/>
      <c r="N87" s="40"/>
      <c r="O87" s="40"/>
      <c r="P87" s="40"/>
      <c r="Q87" s="40"/>
      <c r="R87" s="40"/>
    </row>
    <row r="88" spans="1:21">
      <c r="A88" s="40"/>
      <c r="B88" s="205" t="s">
        <v>21</v>
      </c>
      <c r="C88" s="52" t="s">
        <v>130</v>
      </c>
      <c r="D88" s="204">
        <f>'EU Lastbil'!D88</f>
        <v>0.57006722989598102</v>
      </c>
      <c r="E88" s="204">
        <f>'EU Lastbil'!E88</f>
        <v>0.16299243669067753</v>
      </c>
      <c r="F88" s="204">
        <f>'EU Lastbil'!F88</f>
        <v>0.16299243669067753</v>
      </c>
      <c r="G88" s="204">
        <f>'EU Lastbil'!G88</f>
        <v>0.16299243669067753</v>
      </c>
      <c r="H88" s="204"/>
      <c r="I88" s="40"/>
      <c r="J88" s="40"/>
      <c r="K88" s="40"/>
      <c r="L88" s="40"/>
      <c r="M88" s="40"/>
      <c r="N88" s="40"/>
      <c r="O88" s="40"/>
      <c r="P88" s="40"/>
      <c r="Q88" s="40"/>
      <c r="R88" s="40"/>
    </row>
    <row r="89" spans="1:21">
      <c r="A89" s="40"/>
      <c r="B89" s="205" t="s">
        <v>22</v>
      </c>
      <c r="C89" s="52" t="s">
        <v>130</v>
      </c>
      <c r="D89" s="204">
        <f>'EU Lastbil'!D89</f>
        <v>3.3862691824031406</v>
      </c>
      <c r="E89" s="204">
        <f>'EU Lastbil'!E89</f>
        <v>3.3862691824031406</v>
      </c>
      <c r="F89" s="204">
        <f>'EU Lastbil'!F89</f>
        <v>3.3862691824031406</v>
      </c>
      <c r="G89" s="204">
        <f>'EU Lastbil'!G89</f>
        <v>3.3862691824031406</v>
      </c>
      <c r="H89" s="204"/>
      <c r="I89" s="40"/>
      <c r="J89" s="40"/>
      <c r="K89" s="40"/>
      <c r="L89" s="40"/>
      <c r="M89" s="40"/>
      <c r="N89" s="40"/>
      <c r="O89" s="40"/>
      <c r="P89" s="40"/>
      <c r="Q89" s="40"/>
      <c r="R89" s="40"/>
    </row>
    <row r="90" spans="1:21">
      <c r="A90" s="40"/>
      <c r="B90" s="205" t="s">
        <v>23</v>
      </c>
      <c r="C90" s="52" t="s">
        <v>130</v>
      </c>
      <c r="D90" s="204">
        <f>'EU Lastbil'!D90</f>
        <v>0.46837408023728822</v>
      </c>
      <c r="E90" s="204">
        <f>'EU Lastbil'!E90</f>
        <v>0.46837408023728822</v>
      </c>
      <c r="F90" s="204">
        <f>'EU Lastbil'!F90</f>
        <v>0.46837408023728822</v>
      </c>
      <c r="G90" s="204">
        <f>'EU Lastbil'!G90</f>
        <v>0.46837408023728822</v>
      </c>
      <c r="H90" s="204"/>
      <c r="I90" s="40"/>
      <c r="J90" s="40"/>
      <c r="K90" s="40"/>
      <c r="L90" s="40"/>
      <c r="M90" s="40"/>
      <c r="N90" s="40"/>
      <c r="O90" s="40"/>
      <c r="P90" s="40"/>
      <c r="Q90" s="40"/>
      <c r="R90" s="40"/>
      <c r="T90" s="233"/>
      <c r="U90" s="233"/>
    </row>
    <row r="91" spans="1:21">
      <c r="A91" s="40"/>
      <c r="B91" s="108" t="s">
        <v>36</v>
      </c>
      <c r="C91" s="52" t="s">
        <v>130</v>
      </c>
      <c r="D91" s="203">
        <f>'EU Lastbil'!D91</f>
        <v>348.89924166526276</v>
      </c>
      <c r="E91" s="203">
        <f>'EU Lastbil'!E91</f>
        <v>36.446302941253435</v>
      </c>
      <c r="F91" s="203">
        <f>'EU Lastbil'!F91</f>
        <v>36.446302941253435</v>
      </c>
      <c r="G91" s="203">
        <f>'EU Lastbil'!G91</f>
        <v>36.446302941253435</v>
      </c>
      <c r="H91" s="203"/>
      <c r="I91" s="40"/>
      <c r="J91" s="40"/>
      <c r="K91" s="40"/>
      <c r="L91" s="40"/>
      <c r="M91" s="40"/>
      <c r="N91" s="40"/>
      <c r="O91" s="40"/>
      <c r="P91" s="40"/>
      <c r="Q91" s="40"/>
      <c r="R91" s="40"/>
    </row>
    <row r="92" spans="1:21" ht="13.5" thickBot="1">
      <c r="A92" s="40"/>
      <c r="B92" s="202" t="s">
        <v>24</v>
      </c>
      <c r="C92" s="47" t="s">
        <v>130</v>
      </c>
      <c r="D92" s="201">
        <f>'EU Lastbil'!D92</f>
        <v>3.2979813853448934</v>
      </c>
      <c r="E92" s="201">
        <f>'EU Lastbil'!E92</f>
        <v>0.36064433411829616</v>
      </c>
      <c r="F92" s="201">
        <f>'EU Lastbil'!F92</f>
        <v>0.36064433411829616</v>
      </c>
      <c r="G92" s="201">
        <f>'EU Lastbil'!G92</f>
        <v>0.36064433411829616</v>
      </c>
      <c r="H92" s="201"/>
      <c r="I92" s="40"/>
      <c r="J92" s="40"/>
      <c r="K92" s="40"/>
      <c r="L92" s="40"/>
      <c r="M92" s="40"/>
      <c r="N92" s="40"/>
      <c r="O92" s="40"/>
      <c r="P92" s="40"/>
      <c r="Q92" s="40"/>
      <c r="R92" s="40"/>
      <c r="T92" s="233"/>
    </row>
    <row r="93" spans="1:21">
      <c r="A93" s="40"/>
      <c r="B93" s="40"/>
      <c r="C93" s="40"/>
      <c r="D93" s="40"/>
      <c r="E93" s="40"/>
      <c r="F93" s="40"/>
      <c r="G93" s="40"/>
      <c r="I93" s="40"/>
      <c r="J93" s="40"/>
      <c r="K93" s="40"/>
      <c r="L93" s="40"/>
      <c r="M93" s="40"/>
      <c r="N93" s="40"/>
      <c r="O93" s="40"/>
      <c r="P93" s="40"/>
      <c r="Q93" s="40"/>
      <c r="R93" s="40"/>
      <c r="T93" s="233"/>
    </row>
    <row r="94" spans="1:21">
      <c r="A94" s="40"/>
      <c r="B94" s="40"/>
      <c r="C94" s="40"/>
      <c r="D94" s="40"/>
      <c r="E94" s="40"/>
      <c r="F94" s="40"/>
      <c r="G94" s="40"/>
      <c r="I94" s="40"/>
      <c r="J94" s="40"/>
      <c r="K94" s="40"/>
      <c r="L94" s="40"/>
      <c r="M94" s="40"/>
      <c r="N94" s="40"/>
      <c r="O94" s="40"/>
      <c r="P94" s="40"/>
      <c r="Q94" s="40"/>
      <c r="R94" s="40"/>
    </row>
    <row r="95" spans="1:21">
      <c r="A95" s="40"/>
      <c r="B95" s="40"/>
      <c r="C95" s="40"/>
      <c r="D95" s="40"/>
      <c r="E95" s="40"/>
      <c r="F95" s="40"/>
      <c r="G95" s="40"/>
      <c r="H95" s="43"/>
      <c r="I95" s="40"/>
      <c r="J95" s="40"/>
      <c r="K95" s="40"/>
      <c r="L95" s="40"/>
      <c r="M95" s="40"/>
      <c r="N95" s="40"/>
      <c r="O95" s="40"/>
      <c r="P95" s="40"/>
      <c r="Q95" s="40"/>
      <c r="R95" s="40"/>
    </row>
    <row r="96" spans="1:21">
      <c r="A96" s="40"/>
      <c r="B96" s="40"/>
      <c r="C96" s="40"/>
      <c r="D96" s="40"/>
      <c r="E96" s="40"/>
      <c r="F96" s="40"/>
      <c r="G96" s="40"/>
      <c r="H96" s="43"/>
      <c r="I96" s="40"/>
      <c r="J96" s="40"/>
      <c r="K96" s="40"/>
      <c r="L96" s="40"/>
      <c r="M96" s="40"/>
      <c r="N96" s="40"/>
      <c r="O96" s="40"/>
      <c r="P96" s="40"/>
      <c r="Q96" s="40"/>
      <c r="R96" s="40"/>
    </row>
    <row r="97" spans="1:18">
      <c r="A97" s="40"/>
      <c r="B97" s="40"/>
      <c r="C97" s="40"/>
      <c r="D97" s="40"/>
      <c r="E97" s="40"/>
      <c r="F97" s="40"/>
      <c r="G97" s="40"/>
      <c r="H97" s="43"/>
      <c r="I97" s="40"/>
      <c r="J97" s="40"/>
      <c r="K97" s="40"/>
      <c r="L97" s="40"/>
      <c r="M97" s="40"/>
      <c r="N97" s="40"/>
      <c r="O97" s="40"/>
      <c r="P97" s="40"/>
      <c r="Q97" s="40"/>
      <c r="R97" s="40"/>
    </row>
    <row r="98" spans="1:18">
      <c r="A98" s="40"/>
      <c r="B98" s="40"/>
      <c r="C98" s="40"/>
      <c r="D98" s="40"/>
      <c r="E98" s="40"/>
      <c r="F98" s="40"/>
      <c r="G98" s="40"/>
      <c r="H98" s="43"/>
      <c r="I98" s="40"/>
      <c r="J98" s="40"/>
      <c r="K98" s="40"/>
      <c r="L98" s="40"/>
      <c r="M98" s="40"/>
      <c r="N98" s="40"/>
      <c r="O98" s="40"/>
      <c r="P98" s="40"/>
      <c r="Q98" s="40"/>
      <c r="R98" s="40"/>
    </row>
    <row r="99" spans="1:18">
      <c r="A99" s="40"/>
      <c r="B99" s="40"/>
      <c r="C99" s="40"/>
      <c r="D99" s="40"/>
      <c r="E99" s="40"/>
      <c r="F99" s="40"/>
      <c r="G99" s="40"/>
      <c r="H99" s="43"/>
      <c r="I99" s="40"/>
      <c r="J99" s="40"/>
      <c r="K99" s="40"/>
      <c r="L99" s="40"/>
      <c r="M99" s="40"/>
      <c r="N99" s="40"/>
      <c r="O99" s="40"/>
      <c r="P99" s="40"/>
      <c r="Q99" s="40"/>
      <c r="R99" s="40"/>
    </row>
    <row r="100" spans="1:18">
      <c r="A100" s="40"/>
      <c r="B100" s="40"/>
      <c r="C100" s="40"/>
      <c r="D100" s="40"/>
      <c r="E100" s="40"/>
      <c r="F100" s="40"/>
      <c r="G100" s="40"/>
      <c r="I100" s="40"/>
      <c r="J100" s="40"/>
      <c r="K100" s="40"/>
      <c r="L100" s="40"/>
      <c r="M100" s="40"/>
      <c r="N100" s="40"/>
      <c r="O100" s="40"/>
      <c r="P100" s="40"/>
      <c r="Q100" s="40"/>
      <c r="R100" s="40"/>
    </row>
    <row r="101" spans="1:18">
      <c r="A101" s="40"/>
      <c r="B101" s="40"/>
      <c r="C101" s="40"/>
      <c r="D101" s="40"/>
      <c r="E101" s="40"/>
      <c r="F101" s="40"/>
      <c r="G101" s="40"/>
      <c r="I101" s="40"/>
      <c r="J101" s="40"/>
      <c r="K101" s="40"/>
      <c r="L101" s="40"/>
      <c r="M101" s="40"/>
      <c r="N101" s="40"/>
      <c r="O101" s="40"/>
      <c r="P101" s="40"/>
      <c r="Q101" s="40"/>
      <c r="R101" s="40"/>
    </row>
    <row r="102" spans="1:18">
      <c r="A102" s="40"/>
      <c r="B102" s="40"/>
      <c r="C102" s="40"/>
      <c r="D102" s="40"/>
      <c r="E102" s="40"/>
      <c r="F102" s="40"/>
      <c r="G102" s="40"/>
      <c r="I102" s="40"/>
      <c r="J102" s="40"/>
      <c r="K102" s="40"/>
      <c r="L102" s="40"/>
      <c r="M102" s="40"/>
      <c r="N102" s="40"/>
      <c r="O102" s="40"/>
      <c r="P102" s="40"/>
      <c r="Q102" s="40"/>
      <c r="R102" s="40"/>
    </row>
    <row r="103" spans="1:18">
      <c r="A103" s="40"/>
      <c r="B103" s="40"/>
      <c r="C103" s="40"/>
      <c r="D103" s="40"/>
      <c r="E103" s="40"/>
      <c r="F103" s="40"/>
      <c r="G103" s="40"/>
      <c r="I103" s="40"/>
      <c r="J103" s="40"/>
      <c r="K103" s="40"/>
      <c r="L103" s="40"/>
      <c r="M103" s="40"/>
      <c r="N103" s="40"/>
      <c r="O103" s="40"/>
      <c r="P103" s="40"/>
      <c r="Q103" s="40"/>
      <c r="R103" s="40"/>
    </row>
    <row r="104" spans="1:18">
      <c r="A104" s="40"/>
      <c r="B104" s="40"/>
      <c r="C104" s="40"/>
      <c r="D104" s="40"/>
      <c r="E104" s="40"/>
      <c r="F104" s="40"/>
      <c r="G104" s="40"/>
      <c r="I104" s="40"/>
      <c r="J104" s="40"/>
      <c r="K104" s="40"/>
      <c r="L104" s="40"/>
      <c r="M104" s="40"/>
      <c r="N104" s="40"/>
      <c r="O104" s="40"/>
      <c r="P104" s="40"/>
      <c r="Q104" s="40"/>
      <c r="R104" s="40"/>
    </row>
    <row r="105" spans="1:18">
      <c r="A105" s="40"/>
      <c r="B105" s="40"/>
      <c r="C105" s="40"/>
      <c r="D105" s="40"/>
      <c r="E105" s="40"/>
      <c r="F105" s="40"/>
      <c r="G105" s="40"/>
      <c r="I105" s="40"/>
      <c r="J105" s="40"/>
      <c r="K105" s="40"/>
      <c r="L105" s="40"/>
      <c r="M105" s="40"/>
      <c r="N105" s="40"/>
      <c r="O105" s="40"/>
      <c r="P105" s="40"/>
      <c r="Q105" s="40"/>
      <c r="R105" s="40"/>
    </row>
    <row r="106" spans="1:18">
      <c r="A106" s="40"/>
      <c r="B106" s="40"/>
      <c r="C106" s="40"/>
      <c r="D106" s="40"/>
      <c r="E106" s="40"/>
      <c r="F106" s="40"/>
      <c r="G106" s="40"/>
      <c r="I106" s="40"/>
      <c r="J106" s="40"/>
      <c r="K106" s="40"/>
      <c r="L106" s="40"/>
      <c r="M106" s="40"/>
      <c r="N106" s="40"/>
      <c r="O106" s="40"/>
      <c r="P106" s="40"/>
      <c r="Q106" s="40"/>
      <c r="R106" s="40"/>
    </row>
    <row r="107" spans="1:18">
      <c r="A107" s="40"/>
      <c r="B107" s="40"/>
      <c r="C107" s="40"/>
      <c r="D107" s="40"/>
      <c r="E107" s="40"/>
      <c r="F107" s="40"/>
      <c r="G107" s="40"/>
      <c r="I107" s="40"/>
      <c r="J107" s="40"/>
      <c r="K107" s="40"/>
      <c r="L107" s="40"/>
      <c r="M107" s="40"/>
      <c r="N107" s="40"/>
      <c r="O107" s="40"/>
      <c r="P107" s="40"/>
      <c r="Q107" s="40"/>
      <c r="R107" s="40"/>
    </row>
    <row r="108" spans="1:18">
      <c r="A108" s="40"/>
      <c r="B108" s="40"/>
      <c r="C108" s="40"/>
      <c r="D108" s="40"/>
      <c r="E108" s="40"/>
      <c r="F108" s="40"/>
      <c r="G108" s="40"/>
      <c r="I108" s="40"/>
      <c r="J108" s="40"/>
      <c r="K108" s="40"/>
      <c r="L108" s="40"/>
      <c r="M108" s="40"/>
      <c r="N108" s="40"/>
      <c r="O108" s="40"/>
      <c r="P108" s="40"/>
      <c r="Q108" s="40"/>
      <c r="R108" s="40"/>
    </row>
    <row r="109" spans="1:18">
      <c r="A109" s="40"/>
      <c r="B109" s="40"/>
      <c r="C109" s="40"/>
      <c r="D109" s="40"/>
      <c r="E109" s="40"/>
      <c r="F109" s="40"/>
      <c r="G109" s="40"/>
      <c r="I109" s="40"/>
      <c r="J109" s="40"/>
      <c r="K109" s="40"/>
      <c r="L109" s="40"/>
      <c r="M109" s="40"/>
      <c r="N109" s="40"/>
      <c r="O109" s="40"/>
      <c r="P109" s="40"/>
      <c r="Q109" s="40"/>
      <c r="R109" s="40"/>
    </row>
    <row r="110" spans="1:18">
      <c r="A110" s="40"/>
      <c r="B110" s="40"/>
      <c r="C110" s="40"/>
      <c r="D110" s="40"/>
      <c r="E110" s="40"/>
      <c r="F110" s="40"/>
      <c r="G110" s="40"/>
      <c r="I110" s="40"/>
      <c r="J110" s="40"/>
      <c r="K110" s="40"/>
      <c r="L110" s="40"/>
      <c r="M110" s="40"/>
      <c r="N110" s="40"/>
      <c r="O110" s="40"/>
      <c r="P110" s="40"/>
      <c r="Q110" s="40"/>
      <c r="R110" s="40"/>
    </row>
    <row r="111" spans="1:18">
      <c r="A111" s="40"/>
      <c r="B111" s="40"/>
      <c r="C111" s="40"/>
      <c r="D111" s="40"/>
      <c r="E111" s="40"/>
      <c r="F111" s="40"/>
      <c r="G111" s="40"/>
      <c r="I111" s="40"/>
      <c r="J111" s="40"/>
      <c r="K111" s="40"/>
      <c r="L111" s="40"/>
      <c r="M111" s="40"/>
      <c r="N111" s="40"/>
      <c r="O111" s="40"/>
      <c r="P111" s="40"/>
      <c r="Q111" s="40"/>
      <c r="R111" s="40"/>
    </row>
    <row r="112" spans="1:18">
      <c r="A112" s="40"/>
      <c r="B112" s="40"/>
      <c r="C112" s="40"/>
      <c r="D112" s="40"/>
      <c r="E112" s="40"/>
      <c r="F112" s="40"/>
      <c r="G112" s="40"/>
      <c r="I112" s="40"/>
      <c r="J112" s="40"/>
      <c r="K112" s="40"/>
      <c r="L112" s="40"/>
      <c r="M112" s="40"/>
      <c r="N112" s="40"/>
      <c r="O112" s="40"/>
      <c r="P112" s="40"/>
      <c r="Q112" s="40"/>
    </row>
    <row r="113" spans="1:17">
      <c r="A113" s="40"/>
      <c r="B113" s="40"/>
      <c r="C113" s="40"/>
      <c r="D113" s="40"/>
      <c r="E113" s="40"/>
      <c r="F113" s="40"/>
      <c r="G113" s="40"/>
      <c r="I113" s="40"/>
      <c r="J113" s="40"/>
      <c r="K113" s="40"/>
      <c r="L113" s="40"/>
      <c r="M113" s="40"/>
      <c r="N113" s="40"/>
      <c r="O113" s="40"/>
      <c r="P113" s="40"/>
      <c r="Q113" s="40"/>
    </row>
    <row r="114" spans="1:17">
      <c r="A114" s="40"/>
      <c r="B114" s="40"/>
      <c r="C114" s="40"/>
      <c r="D114" s="40"/>
      <c r="E114" s="40"/>
      <c r="F114" s="40"/>
      <c r="G114" s="40"/>
      <c r="I114" s="40"/>
      <c r="J114" s="40"/>
      <c r="K114" s="40"/>
      <c r="L114" s="40"/>
      <c r="M114" s="40"/>
      <c r="N114" s="40"/>
      <c r="O114" s="40"/>
      <c r="P114" s="40"/>
      <c r="Q114" s="40"/>
    </row>
    <row r="115" spans="1:17">
      <c r="A115" s="40"/>
      <c r="B115" s="40"/>
      <c r="C115" s="40"/>
      <c r="D115" s="40"/>
      <c r="E115" s="40"/>
      <c r="F115" s="40"/>
      <c r="G115" s="40"/>
      <c r="I115" s="40"/>
      <c r="J115" s="40"/>
      <c r="K115" s="40"/>
      <c r="L115" s="40"/>
      <c r="M115" s="40"/>
      <c r="N115" s="40"/>
      <c r="O115" s="40"/>
      <c r="P115" s="40"/>
      <c r="Q115" s="40"/>
    </row>
    <row r="116" spans="1:17">
      <c r="A116" s="40"/>
      <c r="B116" s="40"/>
      <c r="C116" s="40"/>
      <c r="D116" s="40"/>
      <c r="E116" s="40"/>
      <c r="F116" s="40"/>
      <c r="G116" s="40"/>
      <c r="I116" s="40"/>
      <c r="J116" s="40"/>
      <c r="K116" s="40"/>
      <c r="L116" s="40"/>
      <c r="M116" s="40"/>
      <c r="N116" s="40"/>
      <c r="O116" s="40"/>
      <c r="P116" s="40"/>
      <c r="Q116" s="40"/>
    </row>
    <row r="117" spans="1:17">
      <c r="A117" s="40"/>
      <c r="B117" s="40"/>
      <c r="C117" s="40"/>
      <c r="D117" s="40"/>
      <c r="E117" s="40"/>
      <c r="F117" s="40"/>
      <c r="G117" s="40"/>
      <c r="I117" s="40"/>
      <c r="J117" s="40"/>
      <c r="K117" s="40"/>
      <c r="L117" s="40"/>
      <c r="M117" s="40"/>
      <c r="N117" s="40"/>
      <c r="O117" s="40"/>
      <c r="P117" s="40"/>
      <c r="Q117" s="40"/>
    </row>
    <row r="118" spans="1:17">
      <c r="A118" s="40"/>
      <c r="B118" s="40"/>
      <c r="C118" s="40"/>
      <c r="D118" s="40"/>
      <c r="E118" s="40"/>
      <c r="F118" s="40"/>
      <c r="G118" s="40"/>
      <c r="I118" s="40"/>
      <c r="J118" s="40"/>
      <c r="K118" s="40"/>
      <c r="L118" s="40"/>
      <c r="M118" s="40"/>
      <c r="N118" s="40"/>
      <c r="O118" s="40"/>
      <c r="P118" s="40"/>
      <c r="Q118" s="40"/>
    </row>
    <row r="119" spans="1:17">
      <c r="A119" s="40"/>
      <c r="B119" s="40"/>
      <c r="C119" s="40"/>
      <c r="D119" s="40"/>
      <c r="E119" s="40"/>
      <c r="F119" s="40"/>
      <c r="G119" s="40"/>
      <c r="I119" s="40"/>
      <c r="J119" s="40"/>
      <c r="K119" s="40"/>
      <c r="L119" s="40"/>
      <c r="M119" s="40"/>
      <c r="N119" s="40"/>
      <c r="O119" s="40"/>
      <c r="P119" s="40"/>
      <c r="Q119" s="40"/>
    </row>
    <row r="120" spans="1:17">
      <c r="A120" s="40"/>
      <c r="B120" s="40"/>
      <c r="C120" s="40"/>
      <c r="D120" s="40"/>
      <c r="E120" s="40"/>
      <c r="F120" s="40"/>
      <c r="G120" s="40"/>
      <c r="I120" s="40"/>
      <c r="J120" s="40"/>
      <c r="K120" s="40"/>
      <c r="L120" s="40"/>
      <c r="M120" s="40"/>
      <c r="N120" s="40"/>
      <c r="O120" s="40"/>
      <c r="P120" s="40"/>
      <c r="Q120" s="40"/>
    </row>
    <row r="121" spans="1:17">
      <c r="A121" s="40"/>
      <c r="B121" s="40"/>
      <c r="C121" s="40"/>
      <c r="D121" s="40"/>
      <c r="E121" s="40"/>
      <c r="F121" s="40"/>
      <c r="G121" s="40"/>
      <c r="I121" s="40"/>
      <c r="J121" s="40"/>
      <c r="K121" s="40"/>
      <c r="L121" s="40"/>
      <c r="M121" s="40"/>
      <c r="N121" s="40"/>
      <c r="O121" s="40"/>
      <c r="P121" s="40"/>
      <c r="Q121" s="40"/>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2060"/>
    <pageSetUpPr fitToPage="1"/>
  </sheetPr>
  <dimension ref="A1:S102"/>
  <sheetViews>
    <sheetView zoomScale="80" zoomScaleNormal="80" workbookViewId="0">
      <selection activeCell="N5" sqref="N5:N27"/>
    </sheetView>
  </sheetViews>
  <sheetFormatPr defaultColWidth="8.85546875" defaultRowHeight="12.75"/>
  <cols>
    <col min="1" max="1" width="2.85546875" style="40" customWidth="1"/>
    <col min="2" max="2" width="35" style="40" customWidth="1"/>
    <col min="3" max="3" width="18" style="40" customWidth="1"/>
    <col min="4" max="8" width="15.85546875" style="40" customWidth="1"/>
    <col min="9" max="9" width="12.28515625" style="40" customWidth="1"/>
    <col min="10" max="10" width="37.42578125" style="40" customWidth="1"/>
    <col min="11" max="11" width="9" style="40" customWidth="1"/>
    <col min="12" max="12" width="10.85546875" style="40" customWidth="1"/>
    <col min="13" max="13" width="9.140625" style="40" customWidth="1"/>
    <col min="14" max="14" width="9" style="40" customWidth="1"/>
    <col min="15" max="15" width="8.85546875" style="40"/>
    <col min="16" max="16" width="37.85546875" style="40" customWidth="1"/>
    <col min="17" max="18" width="8.85546875" style="40"/>
    <col min="19" max="19" width="9.140625" style="40" customWidth="1"/>
    <col min="20" max="16384" width="8.85546875" style="40"/>
  </cols>
  <sheetData>
    <row r="1" spans="2:19" s="37" customFormat="1" ht="21">
      <c r="B1" s="37" t="s">
        <v>34</v>
      </c>
      <c r="Q1" s="37">
        <v>0</v>
      </c>
      <c r="R1" s="39">
        <v>0</v>
      </c>
      <c r="S1" s="38"/>
    </row>
    <row r="2" spans="2:19">
      <c r="R2" s="133"/>
      <c r="S2" s="133"/>
    </row>
    <row r="4" spans="2:19" ht="13.5" thickBot="1">
      <c r="B4" s="129" t="s">
        <v>65</v>
      </c>
    </row>
    <row r="5" spans="2:19">
      <c r="B5" s="132" t="s">
        <v>66</v>
      </c>
      <c r="C5" s="60"/>
      <c r="D5" s="60"/>
      <c r="E5" s="60"/>
      <c r="F5" s="60"/>
      <c r="G5" s="60"/>
      <c r="H5" s="60"/>
      <c r="I5" s="60"/>
      <c r="J5" s="60"/>
      <c r="K5" s="60"/>
      <c r="L5" s="60"/>
      <c r="M5" s="60"/>
      <c r="N5" s="60"/>
      <c r="O5" s="58"/>
    </row>
    <row r="6" spans="2:19">
      <c r="B6" s="108" t="s">
        <v>209</v>
      </c>
      <c r="C6" s="52"/>
      <c r="D6" s="52"/>
      <c r="E6" s="52"/>
      <c r="F6" s="52"/>
      <c r="G6" s="52"/>
      <c r="H6" s="52"/>
      <c r="I6" s="52"/>
      <c r="J6" s="52"/>
      <c r="K6" s="52"/>
      <c r="L6" s="52"/>
      <c r="M6" s="52"/>
      <c r="N6" s="52"/>
      <c r="O6" s="49"/>
    </row>
    <row r="7" spans="2:19">
      <c r="B7" s="108"/>
      <c r="C7" s="52"/>
      <c r="D7" s="52"/>
      <c r="E7" s="52"/>
      <c r="F7" s="52"/>
      <c r="G7" s="52"/>
      <c r="H7" s="52"/>
      <c r="I7" s="52"/>
      <c r="J7" s="52"/>
      <c r="K7" s="52"/>
      <c r="L7" s="52"/>
      <c r="M7" s="52"/>
      <c r="N7" s="52"/>
      <c r="O7" s="49"/>
    </row>
    <row r="8" spans="2:19">
      <c r="B8" s="108"/>
      <c r="C8" s="52"/>
      <c r="D8" s="52"/>
      <c r="E8" s="52"/>
      <c r="F8" s="52"/>
      <c r="G8" s="52"/>
      <c r="H8" s="52"/>
      <c r="I8" s="52"/>
      <c r="J8" s="52"/>
      <c r="K8" s="52"/>
      <c r="L8" s="52"/>
      <c r="M8" s="52"/>
      <c r="N8" s="52"/>
      <c r="O8" s="49"/>
    </row>
    <row r="9" spans="2:19">
      <c r="B9" s="131" t="s">
        <v>147</v>
      </c>
      <c r="C9" s="36" t="s">
        <v>150</v>
      </c>
      <c r="D9" s="52"/>
      <c r="E9" s="52"/>
      <c r="F9" s="52"/>
      <c r="G9" s="52"/>
      <c r="H9" s="52"/>
      <c r="I9" s="52"/>
      <c r="J9" s="52"/>
      <c r="K9" s="52"/>
      <c r="L9" s="52"/>
      <c r="M9" s="52"/>
      <c r="N9" s="52"/>
      <c r="O9" s="49"/>
    </row>
    <row r="10" spans="2:19">
      <c r="B10" s="108"/>
      <c r="C10" s="52"/>
      <c r="D10" s="52"/>
      <c r="E10" s="52"/>
      <c r="F10" s="52"/>
      <c r="G10" s="52"/>
      <c r="H10" s="52"/>
      <c r="I10" s="52"/>
      <c r="J10" s="52"/>
      <c r="K10" s="52"/>
      <c r="L10" s="52"/>
      <c r="M10" s="52"/>
      <c r="N10" s="52"/>
      <c r="O10" s="49"/>
    </row>
    <row r="11" spans="2:19">
      <c r="B11" s="130" t="s">
        <v>67</v>
      </c>
      <c r="C11" s="52"/>
      <c r="D11" s="52"/>
      <c r="E11" s="52"/>
      <c r="F11" s="52"/>
      <c r="G11" s="52"/>
      <c r="H11" s="52"/>
      <c r="I11" s="52"/>
      <c r="J11" s="52"/>
      <c r="K11" s="52"/>
      <c r="L11" s="52"/>
      <c r="M11" s="52"/>
      <c r="N11" s="52"/>
      <c r="O11" s="49"/>
    </row>
    <row r="12" spans="2:19">
      <c r="B12" s="108"/>
      <c r="C12" s="52"/>
      <c r="D12" s="52"/>
      <c r="E12" s="52"/>
      <c r="F12" s="52"/>
      <c r="G12" s="52"/>
      <c r="H12" s="52"/>
      <c r="I12" s="52"/>
      <c r="J12" s="52"/>
      <c r="K12" s="52"/>
      <c r="L12" s="52"/>
      <c r="M12" s="52"/>
      <c r="N12" s="52"/>
      <c r="O12" s="49"/>
    </row>
    <row r="13" spans="2:19">
      <c r="B13" s="108"/>
      <c r="C13" s="52"/>
      <c r="D13" s="52"/>
      <c r="E13" s="52"/>
      <c r="F13" s="52"/>
      <c r="G13" s="52"/>
      <c r="H13" s="52"/>
      <c r="I13" s="52"/>
      <c r="J13" s="52"/>
      <c r="K13" s="52"/>
      <c r="L13" s="52"/>
      <c r="M13" s="52"/>
      <c r="N13" s="52"/>
      <c r="O13" s="49"/>
    </row>
    <row r="14" spans="2:19">
      <c r="B14" s="130" t="s">
        <v>68</v>
      </c>
      <c r="C14" s="52"/>
      <c r="D14" s="52"/>
      <c r="E14" s="52"/>
      <c r="F14" s="52"/>
      <c r="G14" s="52"/>
      <c r="H14" s="52"/>
      <c r="I14" s="52"/>
      <c r="J14" s="52"/>
      <c r="K14" s="52"/>
      <c r="L14" s="52"/>
      <c r="M14" s="52"/>
      <c r="N14" s="52"/>
      <c r="O14" s="49"/>
    </row>
    <row r="15" spans="2:19">
      <c r="B15" s="108"/>
      <c r="C15" s="52"/>
      <c r="D15" s="52"/>
      <c r="E15" s="52"/>
      <c r="F15" s="52"/>
      <c r="G15" s="52"/>
      <c r="H15" s="52"/>
      <c r="I15" s="52"/>
      <c r="J15" s="52"/>
      <c r="K15" s="52"/>
      <c r="L15" s="52"/>
      <c r="M15" s="52"/>
      <c r="N15" s="52"/>
      <c r="O15" s="49"/>
    </row>
    <row r="16" spans="2:19">
      <c r="B16" s="103"/>
      <c r="C16" s="52"/>
      <c r="D16" s="52"/>
      <c r="E16" s="52"/>
      <c r="F16" s="52"/>
      <c r="G16" s="52"/>
      <c r="H16" s="52"/>
      <c r="I16" s="52"/>
      <c r="J16" s="52"/>
      <c r="K16" s="52"/>
      <c r="L16" s="52"/>
      <c r="M16" s="52"/>
      <c r="N16" s="52"/>
      <c r="O16" s="49"/>
    </row>
    <row r="17" spans="2:15" ht="13.5" thickBot="1">
      <c r="B17" s="48"/>
      <c r="C17" s="47"/>
      <c r="D17" s="47"/>
      <c r="E17" s="47"/>
      <c r="F17" s="47"/>
      <c r="G17" s="47"/>
      <c r="H17" s="47"/>
      <c r="I17" s="47"/>
      <c r="J17" s="47"/>
      <c r="K17" s="47"/>
      <c r="L17" s="47"/>
      <c r="M17" s="47"/>
      <c r="N17" s="47"/>
      <c r="O17" s="65"/>
    </row>
    <row r="19" spans="2:15" ht="13.5" thickBot="1">
      <c r="B19" s="129" t="s">
        <v>69</v>
      </c>
      <c r="E19" s="128"/>
      <c r="F19" s="128"/>
      <c r="G19" s="128"/>
    </row>
    <row r="20" spans="2:15">
      <c r="B20" s="63"/>
      <c r="C20" s="85"/>
      <c r="D20" s="141"/>
      <c r="E20" s="60"/>
      <c r="F20" s="60"/>
      <c r="G20" s="60"/>
      <c r="H20" s="60"/>
      <c r="I20" s="60" t="s">
        <v>70</v>
      </c>
      <c r="J20" s="58" t="s">
        <v>71</v>
      </c>
    </row>
    <row r="21" spans="2:15">
      <c r="B21" s="84"/>
      <c r="C21" s="83" t="s">
        <v>72</v>
      </c>
      <c r="D21" s="82">
        <v>2015</v>
      </c>
      <c r="E21" s="81">
        <v>2020</v>
      </c>
      <c r="F21" s="81">
        <v>2035</v>
      </c>
      <c r="G21" s="81"/>
      <c r="H21" s="81" t="s">
        <v>73</v>
      </c>
      <c r="I21" s="127"/>
      <c r="J21" s="79"/>
    </row>
    <row r="22" spans="2:15">
      <c r="B22" s="103" t="s">
        <v>74</v>
      </c>
      <c r="C22" s="93"/>
      <c r="D22" s="147"/>
      <c r="E22" s="126"/>
      <c r="F22" s="126"/>
      <c r="G22" s="126"/>
      <c r="H22" s="126"/>
      <c r="I22" s="52"/>
      <c r="J22" s="49"/>
    </row>
    <row r="23" spans="2:15">
      <c r="B23" s="120" t="s">
        <v>75</v>
      </c>
      <c r="C23" s="93" t="s">
        <v>131</v>
      </c>
      <c r="D23" s="225">
        <f>D72</f>
        <v>0.16</v>
      </c>
      <c r="E23" s="224">
        <f>E72</f>
        <v>0.17699999999999999</v>
      </c>
      <c r="F23" s="224">
        <f>F72</f>
        <v>0.20599999999999999</v>
      </c>
      <c r="G23" s="224">
        <f>G72</f>
        <v>0.23200000000000001</v>
      </c>
      <c r="H23" s="122"/>
      <c r="I23" s="152"/>
      <c r="J23" s="49"/>
      <c r="K23" s="209"/>
    </row>
    <row r="24" spans="2:15">
      <c r="B24" s="120" t="s">
        <v>76</v>
      </c>
      <c r="C24" s="93" t="s">
        <v>131</v>
      </c>
      <c r="D24" s="119">
        <f>D23</f>
        <v>0.16</v>
      </c>
      <c r="E24" s="118">
        <f>E23</f>
        <v>0.17699999999999999</v>
      </c>
      <c r="F24" s="118">
        <f>F23</f>
        <v>0.20599999999999999</v>
      </c>
      <c r="G24" s="118">
        <f>G23</f>
        <v>0.23200000000000001</v>
      </c>
      <c r="H24" s="122"/>
      <c r="I24" s="152"/>
      <c r="J24" s="49"/>
      <c r="K24" s="209"/>
    </row>
    <row r="25" spans="2:15">
      <c r="B25" s="120" t="s">
        <v>77</v>
      </c>
      <c r="C25" s="93" t="s">
        <v>78</v>
      </c>
      <c r="D25" s="119">
        <f>D76</f>
        <v>15.829375000000001</v>
      </c>
      <c r="E25" s="118">
        <f>E76</f>
        <v>13.661016949152543</v>
      </c>
      <c r="F25" s="118">
        <f>F76</f>
        <v>11.181553398058254</v>
      </c>
      <c r="G25" s="118">
        <f>G76</f>
        <v>9.7448275862068954</v>
      </c>
      <c r="H25" s="117"/>
      <c r="I25" s="152"/>
      <c r="J25" s="49"/>
      <c r="K25" s="209"/>
    </row>
    <row r="26" spans="2:15">
      <c r="B26" s="120" t="s">
        <v>79</v>
      </c>
      <c r="C26" s="93" t="s">
        <v>78</v>
      </c>
      <c r="D26" s="119"/>
      <c r="E26" s="118"/>
      <c r="F26" s="118"/>
      <c r="G26" s="118"/>
      <c r="H26" s="117"/>
      <c r="I26" s="152"/>
      <c r="J26" s="49"/>
      <c r="K26" s="209"/>
    </row>
    <row r="27" spans="2:15">
      <c r="B27" s="108" t="s">
        <v>80</v>
      </c>
      <c r="C27" s="93" t="s">
        <v>81</v>
      </c>
      <c r="D27" s="115">
        <v>6</v>
      </c>
      <c r="E27" s="100">
        <v>6</v>
      </c>
      <c r="F27" s="100">
        <v>6</v>
      </c>
      <c r="G27" s="100">
        <v>6</v>
      </c>
      <c r="H27" s="100"/>
      <c r="I27" s="52" t="s">
        <v>217</v>
      </c>
      <c r="J27" s="49"/>
      <c r="K27" s="209"/>
    </row>
    <row r="28" spans="2:15">
      <c r="B28" s="108" t="s">
        <v>82</v>
      </c>
      <c r="C28" s="93" t="s">
        <v>83</v>
      </c>
      <c r="D28" s="146">
        <f>+D67*D69/1000</f>
        <v>126.63500000000002</v>
      </c>
      <c r="E28" s="114">
        <f>+E67*E69/1000</f>
        <v>120.90000000000002</v>
      </c>
      <c r="F28" s="114">
        <f>+F67*F69/1000</f>
        <v>115.17000000000002</v>
      </c>
      <c r="G28" s="114">
        <f>+G67*G69/1000</f>
        <v>113.03999999999999</v>
      </c>
      <c r="H28" s="113"/>
      <c r="I28" s="152"/>
      <c r="J28" s="49"/>
      <c r="K28" s="209"/>
    </row>
    <row r="29" spans="2:15">
      <c r="B29" s="53"/>
      <c r="C29" s="112"/>
      <c r="D29" s="109"/>
      <c r="E29" s="73"/>
      <c r="F29" s="73"/>
      <c r="G29" s="73"/>
      <c r="H29" s="73"/>
      <c r="I29" s="52"/>
      <c r="J29" s="49"/>
      <c r="K29" s="209"/>
    </row>
    <row r="30" spans="2:15">
      <c r="B30" s="103" t="s">
        <v>84</v>
      </c>
      <c r="C30" s="93"/>
      <c r="D30" s="109"/>
      <c r="E30" s="73"/>
      <c r="F30" s="73"/>
      <c r="G30" s="73"/>
      <c r="H30" s="73"/>
      <c r="I30" s="52"/>
      <c r="J30" s="49"/>
      <c r="K30" s="209"/>
    </row>
    <row r="31" spans="2:15">
      <c r="B31" s="108" t="s">
        <v>85</v>
      </c>
      <c r="C31" s="93" t="s">
        <v>15</v>
      </c>
      <c r="D31" s="111">
        <v>861886.33721906622</v>
      </c>
      <c r="E31" s="111">
        <v>861886.33721906622</v>
      </c>
      <c r="F31" s="111">
        <v>861886.33721906622</v>
      </c>
      <c r="G31" s="111">
        <v>861886.33721906622</v>
      </c>
      <c r="H31" s="110">
        <v>2015</v>
      </c>
      <c r="I31" s="54"/>
      <c r="J31" s="49"/>
    </row>
    <row r="32" spans="2:15">
      <c r="B32" s="53" t="s">
        <v>16</v>
      </c>
      <c r="C32" s="93" t="s">
        <v>17</v>
      </c>
      <c r="D32" s="111">
        <v>2669.3662884351793</v>
      </c>
      <c r="E32" s="111">
        <v>2795.9900739122327</v>
      </c>
      <c r="F32" s="111">
        <v>2935.097681132143</v>
      </c>
      <c r="G32" s="111">
        <v>2990.4033964613322</v>
      </c>
      <c r="H32" s="110">
        <v>2015</v>
      </c>
      <c r="I32" s="54"/>
      <c r="J32" s="49"/>
    </row>
    <row r="33" spans="2:11">
      <c r="B33" s="104" t="s">
        <v>18</v>
      </c>
      <c r="C33" s="93" t="s">
        <v>17</v>
      </c>
      <c r="D33" s="111">
        <v>1340.9141545201908</v>
      </c>
      <c r="E33" s="111">
        <v>1404.5216208243535</v>
      </c>
      <c r="F33" s="111">
        <v>1474.4001385574745</v>
      </c>
      <c r="G33" s="111">
        <v>1502.1820944591684</v>
      </c>
      <c r="H33" s="110">
        <v>2015</v>
      </c>
      <c r="I33" s="54"/>
      <c r="J33" s="49"/>
    </row>
    <row r="34" spans="2:11">
      <c r="B34" s="104" t="s">
        <v>19</v>
      </c>
      <c r="C34" s="93" t="s">
        <v>17</v>
      </c>
      <c r="D34" s="111">
        <v>1328.4521339149887</v>
      </c>
      <c r="E34" s="111">
        <v>1391.468453087879</v>
      </c>
      <c r="F34" s="111">
        <v>1460.6975425746687</v>
      </c>
      <c r="G34" s="111">
        <v>1488.2213020021638</v>
      </c>
      <c r="H34" s="110">
        <v>2015</v>
      </c>
      <c r="I34" s="54"/>
      <c r="J34" s="49"/>
    </row>
    <row r="35" spans="2:11">
      <c r="B35" s="104"/>
      <c r="C35" s="93"/>
      <c r="D35" s="111"/>
      <c r="E35" s="111"/>
      <c r="F35" s="111"/>
      <c r="G35" s="111"/>
      <c r="H35" s="110"/>
      <c r="I35" s="54"/>
      <c r="J35" s="49"/>
    </row>
    <row r="36" spans="2:11">
      <c r="B36" s="104" t="s">
        <v>86</v>
      </c>
      <c r="C36" s="93" t="s">
        <v>17</v>
      </c>
      <c r="D36" s="111">
        <v>0</v>
      </c>
      <c r="E36" s="111">
        <v>0</v>
      </c>
      <c r="F36" s="111">
        <v>0</v>
      </c>
      <c r="G36" s="111">
        <v>0</v>
      </c>
      <c r="H36" s="110">
        <v>2015</v>
      </c>
      <c r="I36" s="54"/>
      <c r="J36" s="49"/>
    </row>
    <row r="37" spans="2:11">
      <c r="B37" s="103"/>
      <c r="C37" s="93"/>
      <c r="D37" s="109"/>
      <c r="E37" s="73"/>
      <c r="F37" s="73"/>
      <c r="G37" s="73"/>
      <c r="H37" s="73"/>
      <c r="I37" s="54"/>
      <c r="J37" s="49"/>
    </row>
    <row r="38" spans="2:11">
      <c r="B38" s="108" t="s">
        <v>85</v>
      </c>
      <c r="C38" s="93" t="s">
        <v>15</v>
      </c>
      <c r="D38" s="218">
        <v>829975.63889802131</v>
      </c>
      <c r="E38" s="218">
        <v>829975.63889802131</v>
      </c>
      <c r="F38" s="218">
        <v>829975.63889802131</v>
      </c>
      <c r="G38" s="218">
        <v>829975.63889802131</v>
      </c>
      <c r="H38" s="105">
        <v>2013</v>
      </c>
      <c r="I38" s="52" t="s">
        <v>217</v>
      </c>
      <c r="J38" s="94"/>
      <c r="K38" s="209"/>
    </row>
    <row r="39" spans="2:11">
      <c r="B39" s="53" t="s">
        <v>16</v>
      </c>
      <c r="C39" s="93" t="s">
        <v>17</v>
      </c>
      <c r="D39" s="222">
        <f>+SUM(D40:D43)</f>
        <v>2570.5349940286969</v>
      </c>
      <c r="E39" s="223">
        <f>+SUM(E40:E43)</f>
        <v>2692.470628360827</v>
      </c>
      <c r="F39" s="223">
        <f>+SUM(F40:F43)</f>
        <v>2826.4278802537465</v>
      </c>
      <c r="G39" s="223">
        <f>+SUM(G40:G43)</f>
        <v>2879.6859427532208</v>
      </c>
      <c r="H39" s="105">
        <v>2013</v>
      </c>
      <c r="I39" s="152"/>
      <c r="J39" s="49"/>
      <c r="K39" s="209"/>
    </row>
    <row r="40" spans="2:11">
      <c r="B40" s="104" t="s">
        <v>18</v>
      </c>
      <c r="C40" s="93" t="s">
        <v>17</v>
      </c>
      <c r="D40" s="222">
        <v>1291.26780881134</v>
      </c>
      <c r="E40" s="223">
        <v>1352.5202561523906</v>
      </c>
      <c r="F40" s="223">
        <v>1419.8115739239736</v>
      </c>
      <c r="G40" s="223">
        <v>1446.5649236449406</v>
      </c>
      <c r="H40" s="105">
        <v>2013</v>
      </c>
      <c r="I40" s="152"/>
      <c r="J40" s="49"/>
      <c r="K40" s="209"/>
    </row>
    <row r="41" spans="2:11">
      <c r="B41" s="104" t="s">
        <v>19</v>
      </c>
      <c r="C41" s="93" t="s">
        <v>17</v>
      </c>
      <c r="D41" s="222">
        <f>(D69*D70)/D28</f>
        <v>1279.2671852173569</v>
      </c>
      <c r="E41" s="223">
        <f>(E69*E70)/E28</f>
        <v>1339.9503722084364</v>
      </c>
      <c r="F41" s="223">
        <f>(F69*F70)/F28</f>
        <v>1406.6163063297731</v>
      </c>
      <c r="G41" s="223">
        <f>(G69*G70)/G28</f>
        <v>1433.1210191082803</v>
      </c>
      <c r="H41" s="105">
        <v>2013</v>
      </c>
      <c r="I41" s="152"/>
      <c r="J41" s="94" t="s">
        <v>125</v>
      </c>
      <c r="K41" s="209"/>
    </row>
    <row r="42" spans="2:11">
      <c r="B42" s="104"/>
      <c r="C42" s="93"/>
      <c r="D42" s="109"/>
      <c r="E42" s="73"/>
      <c r="F42" s="73"/>
      <c r="G42" s="73"/>
      <c r="H42" s="105"/>
      <c r="I42" s="152"/>
      <c r="J42" s="49"/>
      <c r="K42" s="209"/>
    </row>
    <row r="43" spans="2:11">
      <c r="B43" s="104" t="s">
        <v>86</v>
      </c>
      <c r="C43" s="93" t="s">
        <v>17</v>
      </c>
      <c r="D43" s="222">
        <v>0</v>
      </c>
      <c r="E43" s="221">
        <v>0</v>
      </c>
      <c r="F43" s="221">
        <v>0</v>
      </c>
      <c r="G43" s="221">
        <v>0</v>
      </c>
      <c r="H43" s="105">
        <v>2013</v>
      </c>
      <c r="I43" s="152"/>
      <c r="J43" s="94"/>
      <c r="K43" s="209"/>
    </row>
    <row r="44" spans="2:11">
      <c r="B44" s="104"/>
      <c r="C44" s="93"/>
      <c r="D44" s="109"/>
      <c r="E44" s="73"/>
      <c r="F44" s="73"/>
      <c r="G44" s="73"/>
      <c r="H44" s="73"/>
      <c r="I44" s="152"/>
      <c r="J44" s="49"/>
      <c r="K44" s="209"/>
    </row>
    <row r="45" spans="2:11">
      <c r="B45" s="103" t="s">
        <v>87</v>
      </c>
      <c r="C45" s="93"/>
      <c r="D45" s="109"/>
      <c r="E45" s="73"/>
      <c r="F45" s="73"/>
      <c r="G45" s="73"/>
      <c r="H45" s="102"/>
      <c r="I45" s="152"/>
      <c r="J45" s="49"/>
      <c r="K45" s="209"/>
    </row>
    <row r="46" spans="2:11">
      <c r="B46" s="98" t="s">
        <v>30</v>
      </c>
      <c r="C46" s="93"/>
      <c r="D46" s="109"/>
      <c r="E46" s="73"/>
      <c r="F46" s="73"/>
      <c r="G46" s="73"/>
      <c r="H46" s="101"/>
      <c r="I46" s="152"/>
      <c r="J46" s="49"/>
      <c r="K46" s="209"/>
    </row>
    <row r="47" spans="2:11">
      <c r="B47" s="53" t="s">
        <v>20</v>
      </c>
      <c r="C47" s="93" t="s">
        <v>132</v>
      </c>
      <c r="D47" s="220"/>
      <c r="E47" s="96"/>
      <c r="F47" s="96"/>
      <c r="G47" s="96"/>
      <c r="H47" s="101"/>
      <c r="I47" s="152"/>
      <c r="J47" s="94" t="s">
        <v>88</v>
      </c>
      <c r="K47" s="209"/>
    </row>
    <row r="48" spans="2:11">
      <c r="B48" s="53" t="s">
        <v>21</v>
      </c>
      <c r="C48" s="93" t="s">
        <v>132</v>
      </c>
      <c r="D48" s="99">
        <f t="shared" ref="D48:G52" si="0">D79/D$76</f>
        <v>4.8888888888888898E-2</v>
      </c>
      <c r="E48" s="99">
        <f t="shared" si="0"/>
        <v>2.4583333333333336E-2</v>
      </c>
      <c r="F48" s="99">
        <f t="shared" si="0"/>
        <v>2.8611111111111115E-2</v>
      </c>
      <c r="G48" s="99">
        <f t="shared" si="0"/>
        <v>3.2222222222222222E-2</v>
      </c>
      <c r="H48" s="95"/>
      <c r="I48" s="152"/>
      <c r="J48" s="49"/>
      <c r="K48" s="209"/>
    </row>
    <row r="49" spans="2:11">
      <c r="B49" s="53" t="s">
        <v>22</v>
      </c>
      <c r="C49" s="93" t="s">
        <v>132</v>
      </c>
      <c r="D49" s="99">
        <f t="shared" si="0"/>
        <v>3.3862691824031407E-3</v>
      </c>
      <c r="E49" s="99">
        <f t="shared" si="0"/>
        <v>3.3862691824031407E-3</v>
      </c>
      <c r="F49" s="99">
        <f t="shared" si="0"/>
        <v>3.3862691824031411E-3</v>
      </c>
      <c r="G49" s="99">
        <f t="shared" si="0"/>
        <v>3.3862691824031407E-3</v>
      </c>
      <c r="H49" s="73"/>
      <c r="I49" s="152"/>
      <c r="J49" s="49"/>
      <c r="K49" s="209"/>
    </row>
    <row r="50" spans="2:11">
      <c r="B50" s="53" t="s">
        <v>23</v>
      </c>
      <c r="C50" s="93" t="s">
        <v>132</v>
      </c>
      <c r="D50" s="99">
        <f t="shared" si="0"/>
        <v>4.6837408023728819E-4</v>
      </c>
      <c r="E50" s="99">
        <f t="shared" si="0"/>
        <v>4.6837408023728819E-4</v>
      </c>
      <c r="F50" s="99">
        <f t="shared" si="0"/>
        <v>4.6837408023728819E-4</v>
      </c>
      <c r="G50" s="99">
        <f t="shared" si="0"/>
        <v>4.6837408023728819E-4</v>
      </c>
      <c r="H50" s="100"/>
      <c r="I50" s="152"/>
      <c r="J50" s="49"/>
      <c r="K50" s="209"/>
    </row>
    <row r="51" spans="2:11">
      <c r="B51" s="53" t="s">
        <v>89</v>
      </c>
      <c r="C51" s="93" t="s">
        <v>132</v>
      </c>
      <c r="D51" s="99">
        <f t="shared" si="0"/>
        <v>0.34889924166526276</v>
      </c>
      <c r="E51" s="99">
        <f t="shared" si="0"/>
        <v>3.6446302941253436E-2</v>
      </c>
      <c r="F51" s="99">
        <f t="shared" si="0"/>
        <v>3.6446302941253436E-2</v>
      </c>
      <c r="G51" s="99">
        <f t="shared" si="0"/>
        <v>3.6446302941253436E-2</v>
      </c>
      <c r="H51" s="73"/>
      <c r="I51" s="152"/>
      <c r="J51" s="49"/>
      <c r="K51" s="209"/>
    </row>
    <row r="52" spans="2:11">
      <c r="B52" s="53" t="s">
        <v>24</v>
      </c>
      <c r="C52" s="93" t="s">
        <v>132</v>
      </c>
      <c r="D52" s="99">
        <f t="shared" si="0"/>
        <v>3.2979813853448933E-3</v>
      </c>
      <c r="E52" s="99">
        <f t="shared" si="0"/>
        <v>3.6064433411829615E-4</v>
      </c>
      <c r="F52" s="99">
        <f t="shared" si="0"/>
        <v>3.6064433411829615E-4</v>
      </c>
      <c r="G52" s="99">
        <f t="shared" si="0"/>
        <v>3.6064433411829615E-4</v>
      </c>
      <c r="H52" s="73"/>
      <c r="I52" s="152"/>
      <c r="J52" s="49"/>
      <c r="K52" s="209"/>
    </row>
    <row r="53" spans="2:11">
      <c r="B53" s="53"/>
      <c r="C53" s="93"/>
      <c r="D53" s="97"/>
      <c r="E53" s="52"/>
      <c r="F53" s="52"/>
      <c r="G53" s="52"/>
      <c r="H53" s="73"/>
      <c r="I53" s="152"/>
      <c r="J53" s="49"/>
      <c r="K53" s="209"/>
    </row>
    <row r="54" spans="2:11">
      <c r="B54" s="98" t="s">
        <v>31</v>
      </c>
      <c r="C54" s="93"/>
      <c r="D54" s="109"/>
      <c r="E54" s="73"/>
      <c r="F54" s="73"/>
      <c r="G54" s="73"/>
      <c r="H54" s="95"/>
      <c r="I54" s="152"/>
      <c r="J54" s="49"/>
      <c r="K54" s="209"/>
    </row>
    <row r="55" spans="2:11">
      <c r="B55" s="53" t="s">
        <v>20</v>
      </c>
      <c r="C55" s="93" t="s">
        <v>132</v>
      </c>
      <c r="D55" s="220"/>
      <c r="E55" s="96"/>
      <c r="F55" s="96"/>
      <c r="G55" s="96"/>
      <c r="H55" s="270"/>
      <c r="I55" s="152"/>
      <c r="J55" s="94" t="s">
        <v>88</v>
      </c>
      <c r="K55" s="209"/>
    </row>
    <row r="56" spans="2:11">
      <c r="B56" s="53" t="s">
        <v>21</v>
      </c>
      <c r="C56" s="93" t="s">
        <v>132</v>
      </c>
      <c r="D56" s="92">
        <f t="shared" ref="D56:G60" si="1">D48</f>
        <v>4.8888888888888898E-2</v>
      </c>
      <c r="E56" s="92">
        <f t="shared" si="1"/>
        <v>2.4583333333333336E-2</v>
      </c>
      <c r="F56" s="92">
        <f t="shared" si="1"/>
        <v>2.8611111111111115E-2</v>
      </c>
      <c r="G56" s="92">
        <f t="shared" si="1"/>
        <v>3.2222222222222222E-2</v>
      </c>
      <c r="H56" s="92"/>
      <c r="I56" s="152"/>
      <c r="J56" s="49"/>
      <c r="K56" s="209"/>
    </row>
    <row r="57" spans="2:11">
      <c r="B57" s="53" t="s">
        <v>22</v>
      </c>
      <c r="C57" s="93" t="s">
        <v>132</v>
      </c>
      <c r="D57" s="92">
        <f t="shared" si="1"/>
        <v>3.3862691824031407E-3</v>
      </c>
      <c r="E57" s="92">
        <f t="shared" si="1"/>
        <v>3.3862691824031407E-3</v>
      </c>
      <c r="F57" s="92">
        <f t="shared" si="1"/>
        <v>3.3862691824031411E-3</v>
      </c>
      <c r="G57" s="92">
        <f t="shared" si="1"/>
        <v>3.3862691824031407E-3</v>
      </c>
      <c r="H57" s="92"/>
      <c r="I57" s="152"/>
      <c r="J57" s="49"/>
      <c r="K57" s="209"/>
    </row>
    <row r="58" spans="2:11">
      <c r="B58" s="53" t="s">
        <v>23</v>
      </c>
      <c r="C58" s="93" t="s">
        <v>132</v>
      </c>
      <c r="D58" s="92">
        <f t="shared" si="1"/>
        <v>4.6837408023728819E-4</v>
      </c>
      <c r="E58" s="92">
        <f t="shared" si="1"/>
        <v>4.6837408023728819E-4</v>
      </c>
      <c r="F58" s="92">
        <f t="shared" si="1"/>
        <v>4.6837408023728819E-4</v>
      </c>
      <c r="G58" s="92">
        <f t="shared" si="1"/>
        <v>4.6837408023728819E-4</v>
      </c>
      <c r="H58" s="92"/>
      <c r="I58" s="152"/>
      <c r="J58" s="49"/>
      <c r="K58" s="209"/>
    </row>
    <row r="59" spans="2:11">
      <c r="B59" s="53" t="s">
        <v>89</v>
      </c>
      <c r="C59" s="93" t="s">
        <v>132</v>
      </c>
      <c r="D59" s="92">
        <f t="shared" si="1"/>
        <v>0.34889924166526276</v>
      </c>
      <c r="E59" s="92">
        <f t="shared" si="1"/>
        <v>3.6446302941253436E-2</v>
      </c>
      <c r="F59" s="92">
        <f t="shared" si="1"/>
        <v>3.6446302941253436E-2</v>
      </c>
      <c r="G59" s="92">
        <f t="shared" si="1"/>
        <v>3.6446302941253436E-2</v>
      </c>
      <c r="H59" s="92"/>
      <c r="I59" s="152"/>
      <c r="J59" s="49"/>
      <c r="K59" s="209"/>
    </row>
    <row r="60" spans="2:11">
      <c r="B60" s="53" t="s">
        <v>24</v>
      </c>
      <c r="C60" s="93" t="s">
        <v>132</v>
      </c>
      <c r="D60" s="92">
        <f t="shared" si="1"/>
        <v>3.2979813853448933E-3</v>
      </c>
      <c r="E60" s="92">
        <f t="shared" si="1"/>
        <v>3.6064433411829615E-4</v>
      </c>
      <c r="F60" s="92">
        <f t="shared" si="1"/>
        <v>3.6064433411829615E-4</v>
      </c>
      <c r="G60" s="92">
        <f t="shared" si="1"/>
        <v>3.6064433411829615E-4</v>
      </c>
      <c r="H60" s="92"/>
      <c r="I60" s="152"/>
      <c r="J60" s="49"/>
      <c r="K60" s="209"/>
    </row>
    <row r="61" spans="2:11" ht="13.5" thickBot="1">
      <c r="B61" s="90"/>
      <c r="C61" s="89"/>
      <c r="D61" s="88"/>
      <c r="E61" s="47"/>
      <c r="F61" s="47"/>
      <c r="G61" s="47"/>
      <c r="H61" s="47"/>
      <c r="I61" s="158"/>
      <c r="J61" s="65"/>
      <c r="K61" s="209"/>
    </row>
    <row r="62" spans="2:11">
      <c r="K62" s="209"/>
    </row>
    <row r="63" spans="2:11">
      <c r="K63" s="209"/>
    </row>
    <row r="64" spans="2:11" ht="16.5" thickBot="1">
      <c r="B64" s="64" t="s">
        <v>90</v>
      </c>
      <c r="K64" s="209"/>
    </row>
    <row r="65" spans="1:11">
      <c r="B65" s="63"/>
      <c r="C65" s="85"/>
      <c r="D65" s="60"/>
      <c r="E65" s="60"/>
      <c r="F65" s="60"/>
      <c r="G65" s="60"/>
      <c r="H65" s="60"/>
      <c r="I65" s="60"/>
      <c r="J65" s="58"/>
      <c r="K65" s="209"/>
    </row>
    <row r="66" spans="1:11">
      <c r="B66" s="84"/>
      <c r="C66" s="83" t="s">
        <v>72</v>
      </c>
      <c r="D66" s="82">
        <v>2015</v>
      </c>
      <c r="E66" s="81">
        <v>2020</v>
      </c>
      <c r="F66" s="81">
        <v>2035</v>
      </c>
      <c r="G66" s="81">
        <v>2050</v>
      </c>
      <c r="H66" s="81"/>
      <c r="I66" s="127"/>
      <c r="J66" s="79"/>
      <c r="K66" s="209"/>
    </row>
    <row r="67" spans="1:11">
      <c r="B67" s="53" t="s">
        <v>25</v>
      </c>
      <c r="C67" s="70" t="s">
        <v>124</v>
      </c>
      <c r="D67" s="269">
        <f>'EU Lastbil'!D67</f>
        <v>2.5327000000000002</v>
      </c>
      <c r="E67" s="269">
        <f>'EU Lastbil'!E67</f>
        <v>2.4180000000000001</v>
      </c>
      <c r="F67" s="269">
        <f>'EU Lastbil'!F67</f>
        <v>2.3034000000000003</v>
      </c>
      <c r="G67" s="269">
        <f>'EU Lastbil'!G67</f>
        <v>2.2607999999999997</v>
      </c>
      <c r="H67" s="219"/>
      <c r="I67" s="52" t="s">
        <v>215</v>
      </c>
      <c r="J67" s="49"/>
      <c r="K67" s="209"/>
    </row>
    <row r="68" spans="1:11">
      <c r="B68" s="53" t="s">
        <v>133</v>
      </c>
      <c r="C68" s="70" t="s">
        <v>26</v>
      </c>
      <c r="D68" s="268">
        <f>D76/'EU Lastbil'!D75-1</f>
        <v>0.1875</v>
      </c>
      <c r="E68" s="268">
        <f>E76/'EU Lastbil'!E75-1</f>
        <v>0.12994350282485878</v>
      </c>
      <c r="F68" s="268">
        <f>F76/'EU Lastbil'!F75-1</f>
        <v>6.7961165048543881E-2</v>
      </c>
      <c r="G68" s="268">
        <f>G76/'EU Lastbil'!G75-1</f>
        <v>3.4482758620689502E-2</v>
      </c>
      <c r="H68" s="214"/>
      <c r="I68" s="52"/>
      <c r="J68" s="94"/>
      <c r="K68" s="209"/>
    </row>
    <row r="69" spans="1:11">
      <c r="B69" s="53" t="s">
        <v>94</v>
      </c>
      <c r="C69" s="70" t="s">
        <v>95</v>
      </c>
      <c r="D69" s="218">
        <v>50000</v>
      </c>
      <c r="E69" s="218">
        <v>50000</v>
      </c>
      <c r="F69" s="218">
        <v>50000</v>
      </c>
      <c r="G69" s="218">
        <v>50000</v>
      </c>
      <c r="H69" s="218"/>
      <c r="I69" s="52" t="s">
        <v>217</v>
      </c>
      <c r="J69" s="49"/>
      <c r="K69" s="209"/>
    </row>
    <row r="70" spans="1:11">
      <c r="B70" s="53" t="s">
        <v>97</v>
      </c>
      <c r="C70" s="167" t="s">
        <v>35</v>
      </c>
      <c r="D70" s="217">
        <f>162000/D69</f>
        <v>3.24</v>
      </c>
      <c r="E70" s="217">
        <f>162000/E69</f>
        <v>3.24</v>
      </c>
      <c r="F70" s="217">
        <f>162000/F69</f>
        <v>3.24</v>
      </c>
      <c r="G70" s="217">
        <f>162000/G69</f>
        <v>3.24</v>
      </c>
      <c r="H70" s="217"/>
      <c r="I70" s="52" t="s">
        <v>217</v>
      </c>
      <c r="J70" s="94"/>
      <c r="K70" s="209"/>
    </row>
    <row r="71" spans="1:11">
      <c r="B71" s="139" t="s">
        <v>126</v>
      </c>
      <c r="C71" s="167" t="s">
        <v>134</v>
      </c>
      <c r="D71" s="215">
        <v>2.4928337347494769</v>
      </c>
      <c r="E71" s="215">
        <v>2.8885111662531018</v>
      </c>
      <c r="F71" s="215">
        <v>3.5290266562472863</v>
      </c>
      <c r="G71" s="215">
        <v>4.0493276716206656</v>
      </c>
      <c r="H71" s="215"/>
      <c r="I71" s="52"/>
      <c r="J71" s="49"/>
      <c r="K71" s="209"/>
    </row>
    <row r="72" spans="1:11">
      <c r="B72" s="139" t="s">
        <v>128</v>
      </c>
      <c r="C72" s="167" t="s">
        <v>26</v>
      </c>
      <c r="D72" s="267">
        <v>0.16</v>
      </c>
      <c r="E72" s="267">
        <v>0.17699999999999999</v>
      </c>
      <c r="F72" s="267">
        <v>0.20599999999999999</v>
      </c>
      <c r="G72" s="267">
        <v>0.23200000000000001</v>
      </c>
      <c r="H72" s="267"/>
      <c r="I72" s="54" t="s">
        <v>215</v>
      </c>
      <c r="J72" s="94"/>
      <c r="K72" s="209"/>
    </row>
    <row r="73" spans="1:11" ht="13.5" thickBot="1">
      <c r="B73" s="213"/>
      <c r="C73" s="212"/>
      <c r="D73" s="211"/>
      <c r="E73" s="211"/>
      <c r="F73" s="211"/>
      <c r="G73" s="211"/>
      <c r="H73" s="211"/>
      <c r="I73" s="211"/>
      <c r="J73" s="65"/>
      <c r="K73" s="209"/>
    </row>
    <row r="74" spans="1:11">
      <c r="D74" s="157"/>
      <c r="E74" s="157"/>
      <c r="F74" s="157"/>
      <c r="G74" s="157"/>
      <c r="H74" s="157"/>
      <c r="I74" s="157"/>
      <c r="K74" s="209"/>
    </row>
    <row r="75" spans="1:11" ht="16.5" thickBot="1">
      <c r="B75" s="64" t="s">
        <v>99</v>
      </c>
      <c r="K75" s="209"/>
    </row>
    <row r="76" spans="1:11">
      <c r="A76" s="40" t="s">
        <v>138</v>
      </c>
      <c r="B76" s="63" t="s">
        <v>123</v>
      </c>
      <c r="C76" s="60"/>
      <c r="D76" s="149">
        <f>D67/D72</f>
        <v>15.829375000000001</v>
      </c>
      <c r="E76" s="149">
        <f>E67/E72</f>
        <v>13.661016949152543</v>
      </c>
      <c r="F76" s="149">
        <f>F67/F72</f>
        <v>11.181553398058254</v>
      </c>
      <c r="G76" s="149">
        <f>G67/G72</f>
        <v>9.7448275862068954</v>
      </c>
      <c r="H76" s="149"/>
      <c r="I76" s="54"/>
      <c r="J76" s="58"/>
      <c r="K76" s="209"/>
    </row>
    <row r="77" spans="1:11">
      <c r="B77" s="53"/>
      <c r="C77" s="52"/>
      <c r="D77" s="210"/>
      <c r="E77" s="210"/>
      <c r="F77" s="210"/>
      <c r="G77" s="210"/>
      <c r="H77" s="210"/>
      <c r="I77" s="52"/>
      <c r="J77" s="49"/>
      <c r="K77" s="209"/>
    </row>
    <row r="78" spans="1:11">
      <c r="B78" s="53" t="s">
        <v>20</v>
      </c>
      <c r="C78" s="52" t="s">
        <v>27</v>
      </c>
      <c r="D78" s="266"/>
      <c r="E78" s="266"/>
      <c r="F78" s="266"/>
      <c r="G78" s="266"/>
      <c r="H78" s="230"/>
      <c r="I78" s="52"/>
      <c r="J78" s="49"/>
      <c r="K78" s="209"/>
    </row>
    <row r="79" spans="1:11">
      <c r="B79" s="53" t="s">
        <v>21</v>
      </c>
      <c r="C79" s="52" t="s">
        <v>27</v>
      </c>
      <c r="D79" s="265">
        <f>D89/1000*D$67</f>
        <v>0.77388055555555568</v>
      </c>
      <c r="E79" s="265">
        <f>E89/1000*E$67</f>
        <v>0.33583333333333337</v>
      </c>
      <c r="F79" s="265">
        <f>F89/1000*F$67</f>
        <v>0.31991666666666674</v>
      </c>
      <c r="G79" s="265">
        <f>G89/1000*G$67</f>
        <v>0.31399999999999995</v>
      </c>
      <c r="H79" s="265"/>
      <c r="I79" s="52"/>
      <c r="J79" s="49" t="s">
        <v>135</v>
      </c>
      <c r="K79" s="209"/>
    </row>
    <row r="80" spans="1:11">
      <c r="B80" s="53" t="s">
        <v>22</v>
      </c>
      <c r="C80" s="52" t="s">
        <v>27</v>
      </c>
      <c r="D80" s="230">
        <f t="shared" ref="D80:G83" si="2">D90/1000*D$76</f>
        <v>5.3602524739202718E-2</v>
      </c>
      <c r="E80" s="230">
        <f t="shared" si="2"/>
        <v>4.6259880695202232E-2</v>
      </c>
      <c r="F80" s="230">
        <f t="shared" si="2"/>
        <v>3.7863749683239786E-2</v>
      </c>
      <c r="G80" s="230">
        <f t="shared" si="2"/>
        <v>3.2998609343004394E-2</v>
      </c>
      <c r="H80" s="230"/>
      <c r="I80" s="52"/>
      <c r="J80" s="49"/>
      <c r="K80" s="209"/>
    </row>
    <row r="81" spans="2:11">
      <c r="B81" s="53" t="s">
        <v>23</v>
      </c>
      <c r="C81" s="52" t="s">
        <v>27</v>
      </c>
      <c r="D81" s="230">
        <f t="shared" si="2"/>
        <v>7.4140689563561239E-3</v>
      </c>
      <c r="E81" s="230">
        <f t="shared" si="2"/>
        <v>6.3984662486653273E-3</v>
      </c>
      <c r="F81" s="230">
        <f t="shared" si="2"/>
        <v>5.237149788439659E-3</v>
      </c>
      <c r="G81" s="230">
        <f t="shared" si="2"/>
        <v>4.5642246577606077E-3</v>
      </c>
      <c r="H81" s="230"/>
      <c r="I81" s="52"/>
      <c r="J81" s="49"/>
      <c r="K81" s="209"/>
    </row>
    <row r="82" spans="2:11">
      <c r="B82" s="139" t="s">
        <v>36</v>
      </c>
      <c r="C82" s="52" t="s">
        <v>27</v>
      </c>
      <c r="D82" s="230">
        <f t="shared" si="2"/>
        <v>5.5228569335350688</v>
      </c>
      <c r="E82" s="230">
        <f t="shared" si="2"/>
        <v>0.49789356221441139</v>
      </c>
      <c r="F82" s="230">
        <f t="shared" si="2"/>
        <v>0.4075262824994329</v>
      </c>
      <c r="G82" s="230">
        <f t="shared" si="2"/>
        <v>0.35516293831717999</v>
      </c>
      <c r="H82" s="230"/>
      <c r="I82" s="52"/>
      <c r="J82" s="94"/>
      <c r="K82" s="209"/>
    </row>
    <row r="83" spans="2:11">
      <c r="B83" s="53" t="s">
        <v>24</v>
      </c>
      <c r="C83" s="52" t="s">
        <v>27</v>
      </c>
      <c r="D83" s="230">
        <f t="shared" si="2"/>
        <v>5.220498409164382E-2</v>
      </c>
      <c r="E83" s="230">
        <f t="shared" si="2"/>
        <v>4.9267683610058769E-3</v>
      </c>
      <c r="F83" s="230">
        <f t="shared" si="2"/>
        <v>4.0325638796508906E-3</v>
      </c>
      <c r="G83" s="230">
        <f t="shared" si="2"/>
        <v>3.514416855925189E-3</v>
      </c>
      <c r="H83" s="230"/>
      <c r="I83" s="52"/>
      <c r="J83" s="94"/>
    </row>
    <row r="84" spans="2:11" ht="13.5" thickBot="1">
      <c r="B84" s="48"/>
      <c r="C84" s="47"/>
      <c r="D84" s="207"/>
      <c r="E84" s="207"/>
      <c r="F84" s="207"/>
      <c r="G84" s="207"/>
      <c r="H84" s="207"/>
      <c r="I84" s="47"/>
      <c r="J84" s="65"/>
    </row>
    <row r="86" spans="2:11" ht="13.5" thickBot="1">
      <c r="B86" s="129" t="s">
        <v>129</v>
      </c>
    </row>
    <row r="87" spans="2:11">
      <c r="B87" s="63"/>
      <c r="C87" s="60"/>
      <c r="D87" s="206">
        <v>2015</v>
      </c>
      <c r="E87" s="206">
        <v>2020</v>
      </c>
      <c r="F87" s="206">
        <v>2035</v>
      </c>
      <c r="G87" s="206"/>
      <c r="H87" s="206"/>
      <c r="I87" s="60"/>
      <c r="J87" s="58"/>
    </row>
    <row r="88" spans="2:11">
      <c r="B88" s="205" t="s">
        <v>20</v>
      </c>
      <c r="C88" s="110" t="s">
        <v>130</v>
      </c>
      <c r="D88" s="264"/>
      <c r="E88" s="264"/>
      <c r="F88" s="264"/>
      <c r="G88" s="264"/>
      <c r="H88" s="203"/>
      <c r="I88" s="52"/>
      <c r="J88" s="49"/>
    </row>
    <row r="89" spans="2:11">
      <c r="B89" s="205" t="s">
        <v>21</v>
      </c>
      <c r="C89" s="52" t="s">
        <v>130</v>
      </c>
      <c r="D89" s="263">
        <f>'EU Lastbil Gas'!$G$101</f>
        <v>305.5555555555556</v>
      </c>
      <c r="E89" s="263">
        <f>'EU Lastbil Gas'!$I$101</f>
        <v>138.88888888888889</v>
      </c>
      <c r="F89" s="263">
        <f>'EU Lastbil Gas'!$I$101</f>
        <v>138.88888888888889</v>
      </c>
      <c r="G89" s="263">
        <f>F89</f>
        <v>138.88888888888889</v>
      </c>
      <c r="H89" s="263"/>
      <c r="I89" s="52" t="s">
        <v>218</v>
      </c>
      <c r="J89" s="94" t="s">
        <v>136</v>
      </c>
    </row>
    <row r="90" spans="2:11">
      <c r="B90" s="205" t="s">
        <v>22</v>
      </c>
      <c r="C90" s="52" t="s">
        <v>130</v>
      </c>
      <c r="D90" s="204">
        <f>'EU Lastbil'!D89</f>
        <v>3.3862691824031406</v>
      </c>
      <c r="E90" s="204">
        <f>'EU Lastbil'!E89</f>
        <v>3.3862691824031406</v>
      </c>
      <c r="F90" s="204">
        <f>'EU Lastbil'!F89</f>
        <v>3.3862691824031406</v>
      </c>
      <c r="G90" s="204">
        <f>'EU Lastbil'!G89</f>
        <v>3.3862691824031406</v>
      </c>
      <c r="H90" s="204"/>
      <c r="I90" s="52"/>
      <c r="J90" s="49"/>
    </row>
    <row r="91" spans="2:11">
      <c r="B91" s="205" t="s">
        <v>23</v>
      </c>
      <c r="C91" s="52" t="s">
        <v>130</v>
      </c>
      <c r="D91" s="204">
        <f>'EU Lastbil'!D90</f>
        <v>0.46837408023728822</v>
      </c>
      <c r="E91" s="204">
        <f>'EU Lastbil'!E90</f>
        <v>0.46837408023728822</v>
      </c>
      <c r="F91" s="204">
        <f>'EU Lastbil'!F90</f>
        <v>0.46837408023728822</v>
      </c>
      <c r="G91" s="204">
        <f>'EU Lastbil'!G90</f>
        <v>0.46837408023728822</v>
      </c>
      <c r="H91" s="204"/>
      <c r="I91" s="52"/>
      <c r="J91" s="49"/>
    </row>
    <row r="92" spans="2:11">
      <c r="B92" s="108" t="s">
        <v>36</v>
      </c>
      <c r="C92" s="52" t="s">
        <v>130</v>
      </c>
      <c r="D92" s="203">
        <f>'EU Lastbil'!D91</f>
        <v>348.89924166526276</v>
      </c>
      <c r="E92" s="203">
        <f>'EU Lastbil'!E91</f>
        <v>36.446302941253435</v>
      </c>
      <c r="F92" s="203">
        <f>'EU Lastbil'!F91</f>
        <v>36.446302941253435</v>
      </c>
      <c r="G92" s="203">
        <f>'EU Lastbil'!G91</f>
        <v>36.446302941253435</v>
      </c>
      <c r="H92" s="203"/>
      <c r="I92" s="52"/>
      <c r="J92" s="49"/>
    </row>
    <row r="93" spans="2:11" ht="13.5" thickBot="1">
      <c r="B93" s="202" t="s">
        <v>24</v>
      </c>
      <c r="C93" s="47" t="s">
        <v>130</v>
      </c>
      <c r="D93" s="201">
        <f>'EU Lastbil'!D92</f>
        <v>3.2979813853448934</v>
      </c>
      <c r="E93" s="201">
        <f>'EU Lastbil'!E92</f>
        <v>0.36064433411829616</v>
      </c>
      <c r="F93" s="201">
        <f>'EU Lastbil'!F92</f>
        <v>0.36064433411829616</v>
      </c>
      <c r="G93" s="201">
        <f>'EU Lastbil'!G92</f>
        <v>0.36064433411829616</v>
      </c>
      <c r="H93" s="201"/>
      <c r="I93" s="47"/>
      <c r="J93" s="65"/>
    </row>
    <row r="95" spans="2:11">
      <c r="B95" s="262" t="s">
        <v>208</v>
      </c>
      <c r="C95" s="261"/>
      <c r="D95" s="261"/>
      <c r="E95" s="261"/>
      <c r="F95" s="261"/>
      <c r="G95" s="261"/>
      <c r="H95" s="261"/>
      <c r="I95" s="261"/>
      <c r="J95" s="186"/>
    </row>
    <row r="96" spans="2:11">
      <c r="B96" s="260"/>
      <c r="C96" s="260"/>
      <c r="D96" s="259" t="s">
        <v>207</v>
      </c>
      <c r="E96" s="259" t="s">
        <v>206</v>
      </c>
      <c r="F96" s="259" t="s">
        <v>205</v>
      </c>
      <c r="G96" s="259" t="s">
        <v>204</v>
      </c>
      <c r="H96" s="259" t="s">
        <v>203</v>
      </c>
      <c r="I96" s="259" t="s">
        <v>202</v>
      </c>
      <c r="J96" s="259" t="s">
        <v>201</v>
      </c>
    </row>
    <row r="97" spans="2:10">
      <c r="B97" s="250" t="s">
        <v>36</v>
      </c>
      <c r="C97" s="250" t="s">
        <v>199</v>
      </c>
      <c r="D97" s="258"/>
      <c r="E97" s="258"/>
      <c r="F97" s="257">
        <v>5</v>
      </c>
      <c r="G97" s="257">
        <v>3.5</v>
      </c>
      <c r="H97" s="257">
        <v>2</v>
      </c>
      <c r="I97" s="257">
        <v>0.4</v>
      </c>
      <c r="J97" s="257">
        <v>2</v>
      </c>
    </row>
    <row r="98" spans="2:10">
      <c r="B98" s="247" t="s">
        <v>21</v>
      </c>
      <c r="C98" s="247" t="s">
        <v>139</v>
      </c>
      <c r="D98" s="256"/>
      <c r="E98" s="256"/>
      <c r="F98" s="255">
        <v>1.6</v>
      </c>
      <c r="G98" s="255">
        <v>1.1000000000000001</v>
      </c>
      <c r="H98" s="255">
        <v>1.1000000000000001</v>
      </c>
      <c r="I98" s="254">
        <v>0.5</v>
      </c>
      <c r="J98" s="253">
        <v>0.65</v>
      </c>
    </row>
    <row r="99" spans="2:10">
      <c r="B99" s="244" t="s">
        <v>200</v>
      </c>
      <c r="C99" s="244" t="s">
        <v>199</v>
      </c>
      <c r="D99" s="252"/>
      <c r="E99" s="252"/>
      <c r="F99" s="251">
        <v>0.15</v>
      </c>
      <c r="G99" s="251">
        <v>0.03</v>
      </c>
      <c r="H99" s="251">
        <v>0.01</v>
      </c>
      <c r="I99" s="251">
        <v>0.01</v>
      </c>
      <c r="J99" s="251">
        <v>0.02</v>
      </c>
    </row>
    <row r="100" spans="2:10">
      <c r="B100" s="250" t="str">
        <f>B97</f>
        <v>NOx</v>
      </c>
      <c r="C100" s="250" t="s">
        <v>130</v>
      </c>
      <c r="D100" s="249"/>
      <c r="E100" s="249"/>
      <c r="F100" s="248">
        <v>1388.8888888888889</v>
      </c>
      <c r="G100" s="248">
        <v>972.22222222222217</v>
      </c>
      <c r="H100" s="248">
        <v>555.55555555555554</v>
      </c>
      <c r="I100" s="248">
        <v>111.11111111111111</v>
      </c>
      <c r="J100" s="248">
        <v>555.55555555555554</v>
      </c>
    </row>
    <row r="101" spans="2:10">
      <c r="B101" s="247" t="s">
        <v>21</v>
      </c>
      <c r="C101" s="247" t="s">
        <v>130</v>
      </c>
      <c r="D101" s="246"/>
      <c r="E101" s="246"/>
      <c r="F101" s="245">
        <v>444.44444444444446</v>
      </c>
      <c r="G101" s="245">
        <v>305.5555555555556</v>
      </c>
      <c r="H101" s="245">
        <v>305.5555555555556</v>
      </c>
      <c r="I101" s="245">
        <v>138.88888888888889</v>
      </c>
      <c r="J101" s="245">
        <v>180.55555555555557</v>
      </c>
    </row>
    <row r="102" spans="2:10">
      <c r="B102" s="244" t="str">
        <f>B99</f>
        <v>PM</v>
      </c>
      <c r="C102" s="244" t="s">
        <v>130</v>
      </c>
      <c r="D102" s="243"/>
      <c r="E102" s="243"/>
      <c r="F102" s="242">
        <v>41.666666666666664</v>
      </c>
      <c r="G102" s="241">
        <v>8.3333333333333321</v>
      </c>
      <c r="H102" s="241">
        <v>2.7777777777777777</v>
      </c>
      <c r="I102" s="241">
        <v>2.7777777777777777</v>
      </c>
      <c r="J102" s="241">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4B5EC5F424DF0438C02C794499518FB" ma:contentTypeVersion="0" ma:contentTypeDescription="Create a new document." ma:contentTypeScope="" ma:versionID="5ab65c60870f55e49362d4efb7fd413f">
  <xsd:schema xmlns:xsd="http://www.w3.org/2001/XMLSchema" xmlns:xs="http://www.w3.org/2001/XMLSchema" xmlns:p="http://schemas.microsoft.com/office/2006/metadata/properties" targetNamespace="http://schemas.microsoft.com/office/2006/metadata/properties" ma:root="true" ma:fieldsID="62ea347ee6c5493b9e14b1c149bab3d1">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CCD158E-8736-4401-9DF2-F3C3E4664A97}">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5C271936-3C6A-4FA2-8F74-D7FDEEFD613E}">
  <ds:schemaRefs>
    <ds:schemaRef ds:uri="http://schemas.microsoft.com/sharepoint/v3/contenttype/forms"/>
  </ds:schemaRefs>
</ds:datastoreItem>
</file>

<file path=customXml/itemProps3.xml><?xml version="1.0" encoding="utf-8"?>
<ds:datastoreItem xmlns:ds="http://schemas.openxmlformats.org/officeDocument/2006/customXml" ds:itemID="{9B64FBD8-58E8-4C6A-98CD-23A02C9BE1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vt:i4>
      </vt:variant>
    </vt:vector>
  </HeadingPairs>
  <TitlesOfParts>
    <vt:vector size="21" baseType="lpstr">
      <vt:lpstr>LOG</vt:lpstr>
      <vt:lpstr>Description</vt:lpstr>
      <vt:lpstr>TRA__Eroad_Infra</vt:lpstr>
      <vt:lpstr>TRA__EroadTrucks</vt:lpstr>
      <vt:lpstr>CAP2ACT investigation</vt:lpstr>
      <vt:lpstr>Eroad potential</vt:lpstr>
      <vt:lpstr>Assumptions regarding ERS</vt:lpstr>
      <vt:lpstr>EU Varebil benzin</vt:lpstr>
      <vt:lpstr>EU varebil diesel</vt:lpstr>
      <vt:lpstr>EU Varebil CNG</vt:lpstr>
      <vt:lpstr>EU varebil el</vt:lpstr>
      <vt:lpstr>EU Lastbil</vt:lpstr>
      <vt:lpstr>EU Lastbil El</vt:lpstr>
      <vt:lpstr>EU Lastbil El_2</vt:lpstr>
      <vt:lpstr>EU Lastbil DME</vt:lpstr>
      <vt:lpstr>EU Lastbil RME</vt:lpstr>
      <vt:lpstr>EU Lastbil Gas</vt:lpstr>
      <vt:lpstr>'EU Lastbil'!Print_Area</vt:lpstr>
      <vt:lpstr>'EU Lastbil DME'!Print_Area</vt:lpstr>
      <vt:lpstr>'EU Lastbil El'!Print_Area</vt:lpstr>
      <vt:lpstr>'EU Lastbil Gas'!Print_Area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2019-09-24T10:58:32Z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0x010100C4B5EC5F424DF0438C02C794499518FB</vt:lpwstr>
  </property>
  <property fmtid="{D5CDD505-2E9C-101B-9397-08002B2CF9AE}" pid="3" name="SaveCode">
    <vt:r8>133464992046356</vt:r8>
  </property>
</Properties>
</file>