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filterPrivacy="1" updateLinks="never" codeName="Denne_projektmappe" defaultThemeVersion="124226"/>
  <xr:revisionPtr revIDLastSave="0" documentId="13_ncr:1_{F4CC10E3-6EB9-43D2-9BC6-66B2A1A163D2}" xr6:coauthVersionLast="46" xr6:coauthVersionMax="46" xr10:uidLastSave="{00000000-0000-0000-0000-000000000000}"/>
  <bookViews>
    <workbookView xWindow="-108" yWindow="-108" windowWidth="41496" windowHeight="16896" tabRatio="598" firstSheet="7" activeTab="21" xr2:uid="{00000000-000D-0000-FFFF-FFFF00000000}"/>
  </bookViews>
  <sheets>
    <sheet name="LOG" sheetId="87" r:id="rId1"/>
    <sheet name="Description" sheetId="23" r:id="rId2"/>
    <sheet name="TRA_Cars" sheetId="9" r:id="rId3"/>
    <sheet name="Cars INVCOST" sheetId="88" r:id="rId4"/>
    <sheet name="Eff SF" sheetId="91" r:id="rId5"/>
    <sheet name="Eff PHEV" sheetId="90" r:id="rId6"/>
    <sheet name="Eff BEV" sheetId="89" r:id="rId7"/>
    <sheet name="O&amp;M" sheetId="92" r:id="rId8"/>
    <sheet name="TRA_Moto" sheetId="82" r:id="rId9"/>
    <sheet name="TRA_Bikes" sheetId="83" r:id="rId10"/>
    <sheet name="TRA_Walk" sheetId="84" r:id="rId11"/>
    <sheet name="TRA_Buses" sheetId="85" r:id="rId12"/>
    <sheet name="EU Bus" sheetId="57" r:id="rId13"/>
    <sheet name="EU Bus Gas" sheetId="58" r:id="rId14"/>
    <sheet name="EU Bus El" sheetId="59" r:id="rId15"/>
    <sheet name="EU Bus Hybrid" sheetId="60" r:id="rId16"/>
    <sheet name="TRA_Train" sheetId="86" r:id="rId17"/>
    <sheet name="EU Diesel IC-reg.tog" sheetId="68" r:id="rId18"/>
    <sheet name="EU El IC-reg.tog" sheetId="69" r:id="rId19"/>
    <sheet name="EU Diesel Lokaltog" sheetId="66" r:id="rId20"/>
    <sheet name="EU Gas Lokaltog" sheetId="67" r:id="rId21"/>
    <sheet name="TRA_Trucks" sheetId="19" r:id="rId22"/>
    <sheet name="FCEV truck data" sheetId="95" r:id="rId23"/>
    <sheet name="EU Varebil benzin" sheetId="49" r:id="rId24"/>
    <sheet name="EU varebil diesel" sheetId="51" r:id="rId25"/>
    <sheet name="EU Varebil CNG" sheetId="50" r:id="rId26"/>
    <sheet name="EU varebil el" sheetId="52" r:id="rId27"/>
    <sheet name="EU Lastbil" sheetId="53" r:id="rId28"/>
    <sheet name="EU Lastbil El" sheetId="93" r:id="rId29"/>
    <sheet name="EU Lastbil DME" sheetId="54" r:id="rId30"/>
    <sheet name="EU Lastbil RME" sheetId="55" r:id="rId31"/>
    <sheet name="EU Lastbil Gas" sheetId="56" r:id="rId32"/>
    <sheet name="TRA_Ship_Passenger" sheetId="96" r:id="rId33"/>
    <sheet name="TRA_Ship_Freight" sheetId="97" r:id="rId34"/>
    <sheet name="TRA_Ship_Freight_INT" sheetId="98" r:id="rId35"/>
    <sheet name="ShipData" sheetId="99" r:id="rId36"/>
    <sheet name="TRA_Ships" sheetId="94" r:id="rId37"/>
    <sheet name="EU 9000 TEU HFO" sheetId="61" r:id="rId38"/>
    <sheet name="EU 9000 TEU Diesel" sheetId="62" r:id="rId39"/>
    <sheet name="EU 9000 TEU Dual fuel" sheetId="63" r:id="rId40"/>
    <sheet name="EU Katamaran ferry" sheetId="64" r:id="rId41"/>
    <sheet name="TRA_Airplane" sheetId="72" r:id="rId42"/>
    <sheet name="EU SAS avg. airplane adjusted" sheetId="65" r:id="rId43"/>
    <sheet name="EU SAS avg. airplane Original" sheetId="101" r:id="rId44"/>
    <sheet name="Reference" sheetId="17" r:id="rId45"/>
  </sheets>
  <externalReferences>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_Order2" hidden="1">255</definedName>
    <definedName name="_Sort" localSheetId="38" hidden="1">#REF!</definedName>
    <definedName name="_Sort" localSheetId="39" hidden="1">#REF!</definedName>
    <definedName name="_Sort" localSheetId="37" hidden="1">#REF!</definedName>
    <definedName name="_Sort" localSheetId="12" hidden="1">#REF!</definedName>
    <definedName name="_Sort" localSheetId="14" hidden="1">#REF!</definedName>
    <definedName name="_Sort" localSheetId="13" hidden="1">#REF!</definedName>
    <definedName name="_Sort" localSheetId="15" hidden="1">#REF!</definedName>
    <definedName name="_Sort" localSheetId="19" hidden="1">#REF!</definedName>
    <definedName name="_Sort" localSheetId="20" hidden="1">#REF!</definedName>
    <definedName name="_Sort" localSheetId="40" hidden="1">#REF!</definedName>
    <definedName name="_Sort" localSheetId="28" hidden="1">#REF!</definedName>
    <definedName name="_Sort" localSheetId="31" hidden="1">#REF!</definedName>
    <definedName name="_Sort" localSheetId="42" hidden="1">#REF!</definedName>
    <definedName name="_Sort" localSheetId="43" hidden="1">#REF!</definedName>
    <definedName name="_Sort" localSheetId="9" hidden="1">#REF!</definedName>
    <definedName name="_Sort" localSheetId="11" hidden="1">#REF!</definedName>
    <definedName name="_Sort" localSheetId="8" hidden="1">#REF!</definedName>
    <definedName name="_Sort" localSheetId="33" hidden="1">#REF!</definedName>
    <definedName name="_Sort" localSheetId="34" hidden="1">#REF!</definedName>
    <definedName name="_Sort" localSheetId="32" hidden="1">#REF!</definedName>
    <definedName name="_Sort" localSheetId="16" hidden="1">#REF!</definedName>
    <definedName name="_Sort" localSheetId="10" hidden="1">#REF!</definedName>
    <definedName name="_Sort" hidden="1">#REF!</definedName>
    <definedName name="A4chosenYear" localSheetId="28">#REF!</definedName>
    <definedName name="A4chosenYear" localSheetId="9">#REF!</definedName>
    <definedName name="A4chosenYear" localSheetId="11">#REF!</definedName>
    <definedName name="A4chosenYear" localSheetId="8">#REF!</definedName>
    <definedName name="A4chosenYear" localSheetId="34">#REF!</definedName>
    <definedName name="A4chosenYear" localSheetId="16">#REF!</definedName>
    <definedName name="A4chosenYear" localSheetId="10">#REF!</definedName>
    <definedName name="A4chosenYear">#REF!</definedName>
    <definedName name="A4colActive" localSheetId="28">#REF!</definedName>
    <definedName name="A4colActive" localSheetId="9">#REF!</definedName>
    <definedName name="A4colActive" localSheetId="11">#REF!</definedName>
    <definedName name="A4colActive" localSheetId="8">#REF!</definedName>
    <definedName name="A4colActive" localSheetId="34">#REF!</definedName>
    <definedName name="A4colActive" localSheetId="16">#REF!</definedName>
    <definedName name="A4colActive" localSheetId="10">#REF!</definedName>
    <definedName name="A4colActive">#REF!</definedName>
    <definedName name="A4colCount" localSheetId="28">#REF!</definedName>
    <definedName name="A4colCount" localSheetId="9">#REF!</definedName>
    <definedName name="A4colCount" localSheetId="11">#REF!</definedName>
    <definedName name="A4colCount" localSheetId="8">#REF!</definedName>
    <definedName name="A4colCount" localSheetId="34">#REF!</definedName>
    <definedName name="A4colCount" localSheetId="16">#REF!</definedName>
    <definedName name="A4colCount" localSheetId="10">#REF!</definedName>
    <definedName name="A4colCount">#REF!</definedName>
    <definedName name="A4filePath" localSheetId="28">#REF!</definedName>
    <definedName name="A4filePath" localSheetId="9">#REF!</definedName>
    <definedName name="A4filePath" localSheetId="11">#REF!</definedName>
    <definedName name="A4filePath" localSheetId="8">#REF!</definedName>
    <definedName name="A4filePath" localSheetId="34">#REF!</definedName>
    <definedName name="A4filePath" localSheetId="16">#REF!</definedName>
    <definedName name="A4filePath" localSheetId="10">#REF!</definedName>
    <definedName name="A4filePath">#REF!</definedName>
    <definedName name="A4firstRow" localSheetId="28">#REF!</definedName>
    <definedName name="A4firstRow" localSheetId="9">#REF!</definedName>
    <definedName name="A4firstRow" localSheetId="11">#REF!</definedName>
    <definedName name="A4firstRow" localSheetId="8">#REF!</definedName>
    <definedName name="A4firstRow" localSheetId="34">#REF!</definedName>
    <definedName name="A4firstRow" localSheetId="16">#REF!</definedName>
    <definedName name="A4firstRow" localSheetId="10">#REF!</definedName>
    <definedName name="A4firstRow">#REF!</definedName>
    <definedName name="A4resultCol" localSheetId="28">#REF!</definedName>
    <definedName name="A4resultCol" localSheetId="9">#REF!</definedName>
    <definedName name="A4resultCol" localSheetId="11">#REF!</definedName>
    <definedName name="A4resultCol" localSheetId="8">#REF!</definedName>
    <definedName name="A4resultCol" localSheetId="34">#REF!</definedName>
    <definedName name="A4resultCol" localSheetId="16">#REF!</definedName>
    <definedName name="A4resultCol" localSheetId="10">#REF!</definedName>
    <definedName name="A4resultCol">#REF!</definedName>
    <definedName name="A4rowActive" localSheetId="38">#REF!</definedName>
    <definedName name="A4rowActive" localSheetId="39">#REF!</definedName>
    <definedName name="A4rowActive" localSheetId="37">#REF!</definedName>
    <definedName name="A4rowActive" localSheetId="40">#REF!</definedName>
    <definedName name="A4rowActive" localSheetId="36">[1]A4results!$X$7</definedName>
    <definedName name="A4rowActive">[2]A4results!$X$7</definedName>
    <definedName name="A4rowCount" localSheetId="28">#REF!</definedName>
    <definedName name="A4rowCount" localSheetId="9">#REF!</definedName>
    <definedName name="A4rowCount" localSheetId="11">#REF!</definedName>
    <definedName name="A4rowCount" localSheetId="8">#REF!</definedName>
    <definedName name="A4rowCount" localSheetId="34">#REF!</definedName>
    <definedName name="A4rowCount" localSheetId="16">#REF!</definedName>
    <definedName name="A4rowCount" localSheetId="10">#REF!</definedName>
    <definedName name="A4rowCount">#REF!</definedName>
    <definedName name="A4sensitivity" localSheetId="28">#REF!</definedName>
    <definedName name="A4sensitivity" localSheetId="9">#REF!</definedName>
    <definedName name="A4sensitivity" localSheetId="11">#REF!</definedName>
    <definedName name="A4sensitivity" localSheetId="8">#REF!</definedName>
    <definedName name="A4sensitivity" localSheetId="34">#REF!</definedName>
    <definedName name="A4sensitivity" localSheetId="16">#REF!</definedName>
    <definedName name="A4sensitivity" localSheetId="10">#REF!</definedName>
    <definedName name="A4sensitivity">#REF!</definedName>
    <definedName name="A4yearTable" localSheetId="28">#REF!</definedName>
    <definedName name="A4yearTable" localSheetId="9">#REF!</definedName>
    <definedName name="A4yearTable" localSheetId="11">#REF!</definedName>
    <definedName name="A4yearTable" localSheetId="8">#REF!</definedName>
    <definedName name="A4yearTable" localSheetId="34">#REF!</definedName>
    <definedName name="A4yearTable" localSheetId="16">#REF!</definedName>
    <definedName name="A4yearTable" localSheetId="10">#REF!</definedName>
    <definedName name="A4yearTable">#REF!</definedName>
    <definedName name="BG_valg" localSheetId="36">'[1]Biogas ENS'!$T$201</definedName>
    <definedName name="BG_valg">'[2]Biogas ENS'!$T$201</definedName>
    <definedName name="chosenLUC" localSheetId="38">[3]Sheet1!$B$8</definedName>
    <definedName name="chosenLUC" localSheetId="39">[3]Sheet1!$B$8</definedName>
    <definedName name="chosenLUC" localSheetId="37">[3]Sheet1!$B$8</definedName>
    <definedName name="chosenLUC" localSheetId="40">[3]Sheet1!$B$8</definedName>
    <definedName name="chosenLUC" localSheetId="36">[1]Cockpit!$B$8</definedName>
    <definedName name="chosenLUC">[2]Cockpit!$B$8</definedName>
    <definedName name="chosenYear" localSheetId="38">[3]Sheet1!$B$5</definedName>
    <definedName name="chosenYear" localSheetId="39">[3]Sheet1!$B$5</definedName>
    <definedName name="chosenYear" localSheetId="37">[3]Sheet1!$B$5</definedName>
    <definedName name="chosenYear" localSheetId="40">[3]Sheet1!$B$5</definedName>
    <definedName name="chosenYear" localSheetId="36">[1]Cockpit!$B$5</definedName>
    <definedName name="chosenYear">[2]Cockpit!$B$5</definedName>
    <definedName name="dkkPerEUR" localSheetId="38">[3]Sheet1!$C$5</definedName>
    <definedName name="dkkPerEUR" localSheetId="39">[3]Sheet1!$C$5</definedName>
    <definedName name="dkkPerEUR" localSheetId="37">[3]Sheet1!$C$5</definedName>
    <definedName name="dkkPerEUR" localSheetId="40">[3]Sheet1!$C$5</definedName>
    <definedName name="dkkPerEUR" localSheetId="33">'[4]Centrale data'!$C$34</definedName>
    <definedName name="dkkPerEUR" localSheetId="34">'[4]Centrale data'!$C$34</definedName>
    <definedName name="dkkPerEUR" localSheetId="32">'[4]Centrale data'!$C$34</definedName>
    <definedName name="dkkPerEUR" localSheetId="36">'[5]Centrale data'!$C$34</definedName>
    <definedName name="dkkPerEUR">'[6]Centrale data'!$C$34</definedName>
    <definedName name="dkkPerUSD" localSheetId="38">[3]Sheet1!$C$6</definedName>
    <definedName name="dkkPerUSD" localSheetId="39">[3]Sheet1!$C$6</definedName>
    <definedName name="dkkPerUSD" localSheetId="37">[3]Sheet1!$C$6</definedName>
    <definedName name="dkkPerUSD" localSheetId="40">[3]Sheet1!$C$6</definedName>
    <definedName name="dkkPerUSD" localSheetId="36">[1]Supplementary!$C$38</definedName>
    <definedName name="dkkPerUSD">[2]Supplementary!$C$38</definedName>
    <definedName name="EmissionOil" localSheetId="36">[7]Sheet1!$B$17</definedName>
    <definedName name="EmissionOil">[3]Sheet1!$B$17</definedName>
    <definedName name="FID_1" localSheetId="1">[8]AGR_Fuels!$A$2</definedName>
    <definedName name="FID_1" localSheetId="2">[8]AGR_Fuels!$A$2</definedName>
    <definedName name="FID_1">[9]AGR_Fuels!$A$2</definedName>
    <definedName name="HTML_CodePage" hidden="1">1252</definedName>
    <definedName name="HTML_Control" localSheetId="36" hidden="1">{"'Ark1'!$A$8:$M$33"}</definedName>
    <definedName name="HTML_Control" hidden="1">{"'Ark1'!$A$8:$M$33"}</definedName>
    <definedName name="HTML_Control_1" localSheetId="11"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localSheetId="36"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localSheetId="36"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 localSheetId="38">[3]Sheet1!$C$8</definedName>
    <definedName name="priceYear" localSheetId="39">[3]Sheet1!$C$8</definedName>
    <definedName name="priceYear" localSheetId="37">[3]Sheet1!$C$8</definedName>
    <definedName name="priceYear" localSheetId="40">[3]Sheet1!$C$8</definedName>
    <definedName name="priceYear" localSheetId="36">[1]Supplementary!$C$40</definedName>
    <definedName name="priceYear">[2]Supplementary!$C$40</definedName>
    <definedName name="_xlnm.Print_Area" localSheetId="38">'EU 9000 TEU Diesel'!$B$1:$O$61,'EU 9000 TEU Diesel'!$B$64:$J$85</definedName>
    <definedName name="_xlnm.Print_Area" localSheetId="39">'EU 9000 TEU Dual fuel'!$B$1:$O$61,'EU 9000 TEU Dual fuel'!$B$64:$J$85</definedName>
    <definedName name="_xlnm.Print_Area" localSheetId="37">'EU 9000 TEU HFO'!$B$1:$O$61,'EU 9000 TEU HFO'!$B$64:$J$85</definedName>
    <definedName name="_xlnm.Print_Area" localSheetId="17">'EU Diesel IC-reg.tog'!$B$1:$O$62,'EU Diesel IC-reg.tog'!$B$64:$J$86</definedName>
    <definedName name="_xlnm.Print_Area" localSheetId="19">'EU Diesel Lokaltog'!$B$1:$O$61,'EU Diesel Lokaltog'!$B$64:$J$86</definedName>
    <definedName name="_xlnm.Print_Area" localSheetId="18">'EU El IC-reg.tog'!$B$1:$O$61,'EU El IC-reg.tog'!$B$64:$J$85</definedName>
    <definedName name="_xlnm.Print_Area" localSheetId="20">'EU Gas Lokaltog'!$B$1:$O$61,'EU Gas Lokaltog'!$B$64:$J$86</definedName>
    <definedName name="_xlnm.Print_Area" localSheetId="40">'EU Katamaran ferry'!$B$1:$O$61,'EU Katamaran ferry'!$B$64:$J$86</definedName>
    <definedName name="_xlnm.Print_Area" localSheetId="27">'EU Lastbil'!$B$1:$P$61,'EU Lastbil'!$B$64:$J$81</definedName>
    <definedName name="_xlnm.Print_Area" localSheetId="29">'EU Lastbil DME'!$B$1:$P$61,'EU Lastbil DME'!$B$64:$J$81</definedName>
    <definedName name="_xlnm.Print_Area" localSheetId="28">'EU Lastbil El'!$B$1:$P$69,'EU Lastbil El'!$B$72:$J$99</definedName>
    <definedName name="_xlnm.Print_Area" localSheetId="31">'EU Lastbil Gas'!$B$1:$P$61,'EU Lastbil Gas'!$B$64:$J$82</definedName>
    <definedName name="_xlnm.Print_Area" localSheetId="42">'EU SAS avg. airplane adjusted'!$B$1:$O$65,'EU SAS avg. airplane adjusted'!$B$68:$J$111</definedName>
    <definedName name="_xlnm.Print_Area" localSheetId="43">'EU SAS avg. airplane Original'!$B$1:$O$61,'EU SAS avg. airplane Original'!$B$64:$J$107</definedName>
    <definedName name="referencer" localSheetId="14">#REF!</definedName>
    <definedName name="referencer" localSheetId="28">#REF!</definedName>
    <definedName name="referencer" localSheetId="9">#REF!</definedName>
    <definedName name="referencer" localSheetId="11">#REF!</definedName>
    <definedName name="referencer" localSheetId="8">#REF!</definedName>
    <definedName name="referencer" localSheetId="33">#REF!</definedName>
    <definedName name="referencer" localSheetId="34">#REF!</definedName>
    <definedName name="referencer" localSheetId="32">#REF!</definedName>
    <definedName name="referencer" localSheetId="16">#REF!</definedName>
    <definedName name="referencer" localSheetId="10">#REF!</definedName>
    <definedName name="referencer">#REF!</definedName>
    <definedName name="rfdfd" localSheetId="34">#REF!</definedName>
    <definedName name="rfdfd">#REF!</definedName>
    <definedName name="rSØK" localSheetId="38">[3]Sheet1!$C$3</definedName>
    <definedName name="rSØK" localSheetId="39">[3]Sheet1!$C$3</definedName>
    <definedName name="rSØK" localSheetId="37">[3]Sheet1!$C$3</definedName>
    <definedName name="rSØK" localSheetId="40">[3]Sheet1!$C$3</definedName>
    <definedName name="rSØK" localSheetId="33">'[4]Centrale data'!$C$32</definedName>
    <definedName name="rSØK" localSheetId="34">'[4]Centrale data'!$C$32</definedName>
    <definedName name="rSØK" localSheetId="32">'[4]Centrale data'!$C$32</definedName>
    <definedName name="rSØK" localSheetId="36">'[5]Centrale data'!$C$32</definedName>
    <definedName name="rSØK">'[6]Centrale data'!$C$32</definedName>
    <definedName name="solver_cvg" localSheetId="16" hidden="1">0.0001</definedName>
    <definedName name="solver_drv" localSheetId="16" hidden="1">1</definedName>
    <definedName name="solver_eng" localSheetId="16" hidden="1">1</definedName>
    <definedName name="solver_est" localSheetId="16" hidden="1">1</definedName>
    <definedName name="solver_itr" localSheetId="16" hidden="1">2147483647</definedName>
    <definedName name="solver_mip" localSheetId="16" hidden="1">2147483647</definedName>
    <definedName name="solver_mni" localSheetId="16" hidden="1">30</definedName>
    <definedName name="solver_mrt" localSheetId="16" hidden="1">0.075</definedName>
    <definedName name="solver_msl" localSheetId="16" hidden="1">2</definedName>
    <definedName name="solver_neg" localSheetId="16" hidden="1">1</definedName>
    <definedName name="solver_nod" localSheetId="16" hidden="1">2147483647</definedName>
    <definedName name="solver_num" localSheetId="16" hidden="1">0</definedName>
    <definedName name="solver_nwt" localSheetId="16" hidden="1">1</definedName>
    <definedName name="solver_pre" localSheetId="16" hidden="1">0.000001</definedName>
    <definedName name="solver_rbv" localSheetId="16" hidden="1">1</definedName>
    <definedName name="solver_rel1" localSheetId="16" hidden="1">3</definedName>
    <definedName name="solver_rel2" localSheetId="16" hidden="1">3</definedName>
    <definedName name="solver_rel3" localSheetId="16" hidden="1">3</definedName>
    <definedName name="solver_rel4" localSheetId="16" hidden="1">3</definedName>
    <definedName name="solver_rel5" localSheetId="16" hidden="1">3</definedName>
    <definedName name="solver_rlx" localSheetId="16" hidden="1">2</definedName>
    <definedName name="solver_rsd" localSheetId="16" hidden="1">0</definedName>
    <definedName name="solver_scl" localSheetId="16" hidden="1">1</definedName>
    <definedName name="solver_sho" localSheetId="16" hidden="1">2</definedName>
    <definedName name="solver_ssz" localSheetId="16" hidden="1">100</definedName>
    <definedName name="solver_tim" localSheetId="16" hidden="1">2147483647</definedName>
    <definedName name="solver_tol" localSheetId="16" hidden="1">0.01</definedName>
    <definedName name="solver_typ" localSheetId="16" hidden="1">3</definedName>
    <definedName name="solver_val" localSheetId="16" hidden="1">239.1</definedName>
    <definedName name="solver_ver" localSheetId="16" hidden="1">3</definedName>
    <definedName name="vehicleproductionemissions" localSheetId="36">[7]Sheet1!$B$14</definedName>
    <definedName name="vehicleproductionemissions">[3]Sheet1!$B$14</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62" i="19" l="1"/>
  <c r="P59" i="19"/>
  <c r="AH48" i="19"/>
  <c r="AH47" i="19"/>
  <c r="AH46" i="19"/>
  <c r="P65" i="19"/>
  <c r="L62" i="19"/>
  <c r="L59" i="19"/>
  <c r="AJ48" i="19"/>
  <c r="Q68" i="19" s="1"/>
  <c r="AJ47" i="19"/>
  <c r="AJ46" i="19"/>
  <c r="AQ41" i="19"/>
  <c r="AJ41" i="19"/>
  <c r="C19" i="72"/>
  <c r="C18" i="72"/>
  <c r="C17" i="72"/>
  <c r="M25" i="94"/>
  <c r="M22" i="94"/>
  <c r="M23" i="94"/>
  <c r="M24" i="94"/>
  <c r="M19" i="94"/>
  <c r="M21" i="94"/>
  <c r="M20" i="94"/>
  <c r="L39" i="94"/>
  <c r="L37" i="94"/>
  <c r="L35" i="94"/>
  <c r="L33" i="94"/>
  <c r="L15" i="94"/>
  <c r="L13" i="94"/>
  <c r="M17" i="94"/>
  <c r="H39" i="94"/>
  <c r="H37" i="94"/>
  <c r="H35" i="94"/>
  <c r="H33" i="94"/>
  <c r="H31" i="94"/>
  <c r="H29" i="94"/>
  <c r="H23" i="94"/>
  <c r="H20" i="94"/>
  <c r="H17" i="94"/>
  <c r="E18" i="94"/>
  <c r="E16" i="94"/>
  <c r="E14" i="94"/>
  <c r="E12" i="94"/>
  <c r="D49" i="94"/>
  <c r="D50" i="94"/>
  <c r="D51" i="94"/>
  <c r="D52" i="94"/>
  <c r="D53" i="94"/>
  <c r="D54" i="94"/>
  <c r="D55" i="94"/>
  <c r="D56" i="94"/>
  <c r="D57" i="94"/>
  <c r="D58" i="94"/>
  <c r="D59" i="94"/>
  <c r="D60" i="94"/>
  <c r="D61" i="94"/>
  <c r="D62" i="94"/>
  <c r="D63" i="94"/>
  <c r="D64" i="94"/>
  <c r="D65" i="94"/>
  <c r="C65" i="94"/>
  <c r="C64" i="94"/>
  <c r="C63" i="94"/>
  <c r="C62" i="94"/>
  <c r="C61" i="94"/>
  <c r="C60" i="94"/>
  <c r="C59" i="94"/>
  <c r="C58" i="94"/>
  <c r="C57" i="94"/>
  <c r="C56" i="94"/>
  <c r="C55" i="94"/>
  <c r="C54" i="94"/>
  <c r="C53" i="94"/>
  <c r="C52" i="94"/>
  <c r="C51" i="94"/>
  <c r="C50" i="94"/>
  <c r="C49" i="94"/>
  <c r="E39" i="94"/>
  <c r="E38" i="94"/>
  <c r="E37" i="94"/>
  <c r="E36" i="94"/>
  <c r="E35" i="94"/>
  <c r="E34" i="94"/>
  <c r="E33" i="94"/>
  <c r="E32" i="94"/>
  <c r="E31" i="94"/>
  <c r="E30" i="94"/>
  <c r="E29" i="94"/>
  <c r="E27" i="94"/>
  <c r="E17" i="94"/>
  <c r="E40" i="94"/>
  <c r="E15" i="94"/>
  <c r="E13" i="94"/>
  <c r="E11" i="94"/>
  <c r="D75" i="82" l="1"/>
  <c r="D74" i="82"/>
  <c r="D72" i="82"/>
  <c r="D49" i="82"/>
  <c r="J39" i="82"/>
  <c r="J42" i="82" s="1"/>
  <c r="D39" i="82"/>
  <c r="C39" i="82" l="1"/>
  <c r="D71" i="82" s="1"/>
  <c r="C42" i="82"/>
  <c r="C53" i="82"/>
  <c r="J49" i="82"/>
  <c r="J53" i="82" s="1"/>
  <c r="C49" i="82"/>
  <c r="L36" i="82"/>
  <c r="C36" i="82"/>
  <c r="D70" i="82" s="1"/>
  <c r="C45" i="82"/>
  <c r="D73" i="82" s="1"/>
  <c r="J46" i="82"/>
  <c r="J45" i="82"/>
  <c r="J36" i="82"/>
  <c r="D56" i="72" l="1"/>
  <c r="D55" i="72"/>
  <c r="D54" i="72"/>
  <c r="D53" i="72"/>
  <c r="M29" i="72"/>
  <c r="F29" i="72"/>
  <c r="F32" i="72"/>
  <c r="F33" i="72"/>
  <c r="V34" i="72"/>
  <c r="C32" i="72" l="1"/>
  <c r="C54" i="72" s="1"/>
  <c r="F36" i="72"/>
  <c r="C36" i="72" s="1"/>
  <c r="C56" i="72" s="1"/>
  <c r="C33" i="72"/>
  <c r="C55" i="72" s="1"/>
  <c r="C29" i="72"/>
  <c r="C53" i="72" s="1"/>
  <c r="V33" i="72"/>
  <c r="M27" i="72"/>
  <c r="AN45" i="72" l="1"/>
  <c r="AM45" i="72"/>
  <c r="AN44" i="72"/>
  <c r="AM44" i="72"/>
  <c r="AN43" i="72"/>
  <c r="AM43" i="72"/>
  <c r="AN42" i="72"/>
  <c r="AM42" i="72"/>
  <c r="AN41" i="72"/>
  <c r="AM41" i="72"/>
  <c r="AN40" i="72"/>
  <c r="AM40" i="72"/>
  <c r="AN39" i="72"/>
  <c r="AM39" i="72"/>
  <c r="Q9" i="72" s="1"/>
  <c r="AN38" i="72"/>
  <c r="AM38" i="72"/>
  <c r="Q19" i="72" s="1"/>
  <c r="V28" i="72"/>
  <c r="Q21" i="72" l="1"/>
  <c r="Q32" i="72"/>
  <c r="Q36" i="72"/>
  <c r="R17" i="72"/>
  <c r="R32" i="72"/>
  <c r="R36" i="72"/>
  <c r="Q16" i="72"/>
  <c r="Q15" i="72"/>
  <c r="Q14" i="72"/>
  <c r="Q13" i="72"/>
  <c r="Q12" i="72"/>
  <c r="Q11" i="72"/>
  <c r="R23" i="72"/>
  <c r="R22" i="72"/>
  <c r="R16" i="72"/>
  <c r="R25" i="72"/>
  <c r="R15" i="72"/>
  <c r="R14" i="72"/>
  <c r="R5" i="72"/>
  <c r="R13" i="72"/>
  <c r="R24" i="72"/>
  <c r="R12" i="72"/>
  <c r="R10" i="72"/>
  <c r="R9" i="72"/>
  <c r="R8" i="72"/>
  <c r="R7" i="72"/>
  <c r="Q5" i="72"/>
  <c r="Q24" i="72"/>
  <c r="Q25" i="72"/>
  <c r="Q33" i="72"/>
  <c r="Q29" i="72" s="1"/>
  <c r="R11" i="72"/>
  <c r="R6" i="72"/>
  <c r="Q6" i="72"/>
  <c r="Q23" i="72"/>
  <c r="Q7" i="72"/>
  <c r="Q22" i="72"/>
  <c r="Q17" i="72"/>
  <c r="Q18" i="72"/>
  <c r="Q20" i="72"/>
  <c r="Q8" i="72"/>
  <c r="Q10" i="72"/>
  <c r="R33" i="72"/>
  <c r="R29" i="72" s="1"/>
  <c r="R27" i="72"/>
  <c r="R26" i="72"/>
  <c r="R21" i="72"/>
  <c r="R20" i="72"/>
  <c r="Q27" i="72"/>
  <c r="R19" i="72"/>
  <c r="R28" i="72"/>
  <c r="Q28" i="72"/>
  <c r="Q26" i="72"/>
  <c r="R18" i="72"/>
  <c r="D50" i="72"/>
  <c r="D51" i="72"/>
  <c r="D52" i="72"/>
  <c r="E28" i="72"/>
  <c r="E27" i="72"/>
  <c r="C27" i="72" s="1"/>
  <c r="C51" i="72" s="1"/>
  <c r="E26" i="72"/>
  <c r="C26" i="72" s="1"/>
  <c r="C50" i="72" s="1"/>
  <c r="G28" i="72"/>
  <c r="G27" i="72"/>
  <c r="G26" i="72"/>
  <c r="D44" i="72"/>
  <c r="D45" i="72"/>
  <c r="D46" i="72"/>
  <c r="D47" i="72"/>
  <c r="D48" i="72"/>
  <c r="D49" i="72"/>
  <c r="D58" i="72"/>
  <c r="D59" i="72"/>
  <c r="D57" i="72"/>
  <c r="C57" i="72"/>
  <c r="C58" i="72"/>
  <c r="C59" i="72"/>
  <c r="C25" i="72"/>
  <c r="C49" i="72" s="1"/>
  <c r="C24" i="72"/>
  <c r="C48" i="72" s="1"/>
  <c r="C23" i="72"/>
  <c r="C47" i="72" s="1"/>
  <c r="C22" i="72"/>
  <c r="C46" i="72" s="1"/>
  <c r="C21" i="72"/>
  <c r="C45" i="72" s="1"/>
  <c r="C20" i="72"/>
  <c r="C44" i="72" s="1"/>
  <c r="K20" i="72"/>
  <c r="K33" i="72" s="1"/>
  <c r="K29" i="72" s="1"/>
  <c r="L20" i="72"/>
  <c r="L17" i="72"/>
  <c r="L25" i="72"/>
  <c r="K25" i="72"/>
  <c r="G25" i="72"/>
  <c r="L24" i="72"/>
  <c r="K24" i="72"/>
  <c r="G24" i="72"/>
  <c r="L23" i="72"/>
  <c r="K23" i="72"/>
  <c r="G23" i="72"/>
  <c r="L22" i="72"/>
  <c r="K22" i="72"/>
  <c r="K32" i="72" s="1"/>
  <c r="G22" i="72"/>
  <c r="L21" i="72"/>
  <c r="K21" i="72"/>
  <c r="G21" i="72"/>
  <c r="G20" i="72"/>
  <c r="L19" i="72"/>
  <c r="K19" i="72"/>
  <c r="G19" i="72"/>
  <c r="L18" i="72"/>
  <c r="K18" i="72"/>
  <c r="G18" i="72"/>
  <c r="K17" i="72"/>
  <c r="G17" i="72"/>
  <c r="K7" i="72"/>
  <c r="K6" i="72"/>
  <c r="K5" i="72"/>
  <c r="L7" i="72"/>
  <c r="L6" i="72"/>
  <c r="L5" i="72"/>
  <c r="G29" i="65"/>
  <c r="F29" i="65"/>
  <c r="E29" i="65"/>
  <c r="D29" i="65"/>
  <c r="G30" i="65"/>
  <c r="F30" i="65"/>
  <c r="E30" i="65"/>
  <c r="D30" i="65"/>
  <c r="G25" i="65"/>
  <c r="F25" i="65"/>
  <c r="E25" i="65"/>
  <c r="D26" i="65"/>
  <c r="D23" i="65"/>
  <c r="F26" i="65"/>
  <c r="F23" i="65"/>
  <c r="E26" i="65"/>
  <c r="E23" i="65"/>
  <c r="L14" i="72"/>
  <c r="L26" i="72" s="1"/>
  <c r="K13" i="72"/>
  <c r="K12" i="72"/>
  <c r="K11" i="72"/>
  <c r="F24" i="65"/>
  <c r="F27" i="65"/>
  <c r="F28" i="65"/>
  <c r="L13" i="72"/>
  <c r="E24" i="65"/>
  <c r="E27" i="65"/>
  <c r="E28" i="65"/>
  <c r="L12" i="72"/>
  <c r="D27" i="65"/>
  <c r="D28" i="65"/>
  <c r="L11" i="72"/>
  <c r="G26" i="65"/>
  <c r="G23" i="65"/>
  <c r="G24" i="65"/>
  <c r="G27" i="65"/>
  <c r="G28" i="65"/>
  <c r="D78" i="101"/>
  <c r="D71" i="101"/>
  <c r="G107" i="101"/>
  <c r="F107" i="101"/>
  <c r="E107" i="101"/>
  <c r="D107" i="101"/>
  <c r="G103" i="101"/>
  <c r="F103" i="101"/>
  <c r="E103" i="101"/>
  <c r="D103" i="101"/>
  <c r="G78" i="101"/>
  <c r="G71" i="101"/>
  <c r="G79" i="101"/>
  <c r="G87" i="101"/>
  <c r="G88" i="101"/>
  <c r="F78" i="101"/>
  <c r="F71" i="101"/>
  <c r="F79" i="101"/>
  <c r="F87" i="101"/>
  <c r="F88" i="101"/>
  <c r="E78" i="101"/>
  <c r="E71" i="101"/>
  <c r="E79" i="101"/>
  <c r="E87" i="101"/>
  <c r="E88" i="101"/>
  <c r="D79" i="101"/>
  <c r="D87" i="101"/>
  <c r="D88" i="101"/>
  <c r="E73" i="101"/>
  <c r="G73" i="101"/>
  <c r="G80" i="101"/>
  <c r="G81" i="101"/>
  <c r="G85" i="101"/>
  <c r="F73" i="101"/>
  <c r="F80" i="101"/>
  <c r="F81" i="101"/>
  <c r="F85" i="101"/>
  <c r="E80" i="101"/>
  <c r="E81" i="101"/>
  <c r="E85" i="101"/>
  <c r="D80" i="101"/>
  <c r="D81" i="101"/>
  <c r="D85" i="101"/>
  <c r="G52" i="101"/>
  <c r="G60" i="101"/>
  <c r="F52" i="101"/>
  <c r="F60" i="101"/>
  <c r="E52" i="101"/>
  <c r="E60" i="101"/>
  <c r="D52" i="101"/>
  <c r="D60" i="101"/>
  <c r="G51" i="101"/>
  <c r="G59" i="101"/>
  <c r="F51" i="101"/>
  <c r="F59" i="101"/>
  <c r="E51" i="101"/>
  <c r="E59" i="101"/>
  <c r="D51" i="101"/>
  <c r="D59" i="101"/>
  <c r="G50" i="101"/>
  <c r="G58" i="101"/>
  <c r="F50" i="101"/>
  <c r="F58" i="101"/>
  <c r="E50" i="101"/>
  <c r="E58" i="101"/>
  <c r="D50" i="101"/>
  <c r="D58" i="101"/>
  <c r="G49" i="101"/>
  <c r="G57" i="101"/>
  <c r="F49" i="101"/>
  <c r="F57" i="101"/>
  <c r="E49" i="101"/>
  <c r="E57" i="101"/>
  <c r="D49" i="101"/>
  <c r="D57" i="101"/>
  <c r="G48" i="101"/>
  <c r="G56" i="101"/>
  <c r="F48" i="101"/>
  <c r="F56" i="101"/>
  <c r="E48" i="101"/>
  <c r="E56" i="101"/>
  <c r="D48" i="101"/>
  <c r="D56" i="101"/>
  <c r="G41" i="101"/>
  <c r="F41" i="101"/>
  <c r="E41" i="101"/>
  <c r="D41" i="101"/>
  <c r="G39" i="101"/>
  <c r="F39" i="101"/>
  <c r="E39" i="101"/>
  <c r="D39" i="101"/>
  <c r="G25" i="101"/>
  <c r="F25" i="101"/>
  <c r="E25" i="101"/>
  <c r="D25" i="101"/>
  <c r="G23" i="101"/>
  <c r="G24" i="101"/>
  <c r="F23" i="101"/>
  <c r="F24" i="101"/>
  <c r="E23" i="101"/>
  <c r="E24" i="101"/>
  <c r="D23" i="101"/>
  <c r="D24" i="101"/>
  <c r="G33" i="65"/>
  <c r="F33" i="65"/>
  <c r="E33" i="65"/>
  <c r="D33" i="65"/>
  <c r="L8" i="72"/>
  <c r="L64" i="19"/>
  <c r="L63" i="19"/>
  <c r="L20" i="19"/>
  <c r="G57" i="96"/>
  <c r="Q5" i="99"/>
  <c r="O11" i="99"/>
  <c r="S11" i="99"/>
  <c r="O12" i="99"/>
  <c r="O13" i="99"/>
  <c r="Q7" i="99"/>
  <c r="Q8" i="99"/>
  <c r="P23" i="99"/>
  <c r="X17" i="99"/>
  <c r="X18" i="99"/>
  <c r="AH18" i="99"/>
  <c r="X19" i="99"/>
  <c r="X20" i="99"/>
  <c r="X21" i="99"/>
  <c r="X22" i="99"/>
  <c r="Q23" i="99"/>
  <c r="X23" i="99"/>
  <c r="X24" i="99"/>
  <c r="P30" i="99"/>
  <c r="Q30" i="99"/>
  <c r="R30" i="99"/>
  <c r="P31" i="99"/>
  <c r="Q31" i="99"/>
  <c r="R31" i="99"/>
  <c r="P32" i="99"/>
  <c r="Q32" i="99"/>
  <c r="R32" i="99"/>
  <c r="H33" i="99"/>
  <c r="I33" i="99"/>
  <c r="J33" i="99"/>
  <c r="K33" i="99"/>
  <c r="P33" i="99"/>
  <c r="Q33" i="99"/>
  <c r="R33" i="99"/>
  <c r="H34" i="99"/>
  <c r="I34" i="99"/>
  <c r="J34" i="99"/>
  <c r="K34" i="99"/>
  <c r="P34" i="99"/>
  <c r="Q34" i="99"/>
  <c r="R34" i="99"/>
  <c r="H35" i="99"/>
  <c r="I35" i="99"/>
  <c r="J35" i="99"/>
  <c r="P35" i="99"/>
  <c r="Q35" i="99"/>
  <c r="R35" i="99"/>
  <c r="P36" i="99"/>
  <c r="Q36" i="99"/>
  <c r="R36" i="99"/>
  <c r="P37" i="99"/>
  <c r="Q37" i="99"/>
  <c r="R37" i="99"/>
  <c r="F41" i="99"/>
  <c r="P41" i="99"/>
  <c r="Q41" i="99"/>
  <c r="R41" i="99"/>
  <c r="F42" i="99"/>
  <c r="P42" i="99"/>
  <c r="Q42" i="99"/>
  <c r="R42" i="99"/>
  <c r="P43" i="99"/>
  <c r="Q43" i="99"/>
  <c r="R43" i="99"/>
  <c r="F44" i="99"/>
  <c r="P44" i="99"/>
  <c r="Q44" i="99"/>
  <c r="R44" i="99"/>
  <c r="F45" i="99"/>
  <c r="P45" i="99"/>
  <c r="Q45" i="99"/>
  <c r="R45" i="99"/>
  <c r="F46" i="99"/>
  <c r="P46" i="99"/>
  <c r="Q46" i="99"/>
  <c r="R46" i="99"/>
  <c r="P47" i="99"/>
  <c r="Q47" i="99"/>
  <c r="R47" i="99"/>
  <c r="P48" i="99"/>
  <c r="Q48" i="99"/>
  <c r="R48" i="99"/>
  <c r="P57" i="99"/>
  <c r="AO13" i="98"/>
  <c r="Q57" i="99"/>
  <c r="AP13" i="98"/>
  <c r="R57" i="99"/>
  <c r="AQ13" i="98"/>
  <c r="P65" i="99"/>
  <c r="AR13" i="98"/>
  <c r="Q65" i="99"/>
  <c r="R65" i="99"/>
  <c r="AT13" i="98"/>
  <c r="P75" i="99"/>
  <c r="Q75" i="99"/>
  <c r="R75" i="99"/>
  <c r="S75" i="99"/>
  <c r="T75" i="99"/>
  <c r="U75" i="99"/>
  <c r="V75" i="99"/>
  <c r="W75" i="99"/>
  <c r="X75" i="99"/>
  <c r="P84" i="99"/>
  <c r="Q84" i="99"/>
  <c r="R84" i="99"/>
  <c r="S84" i="99"/>
  <c r="T84" i="99"/>
  <c r="U84" i="99"/>
  <c r="V84" i="99"/>
  <c r="W84" i="99"/>
  <c r="X84" i="99"/>
  <c r="C7" i="98"/>
  <c r="AR10" i="98"/>
  <c r="K7" i="98" a="1"/>
  <c r="K7" i="98"/>
  <c r="L7" i="98" a="1"/>
  <c r="L7" i="98"/>
  <c r="AO10" i="98"/>
  <c r="M7" i="98"/>
  <c r="N7" i="98" a="1"/>
  <c r="N7" i="98"/>
  <c r="F8" i="98"/>
  <c r="AT10" i="98"/>
  <c r="K8" i="98" a="1"/>
  <c r="K8" i="98"/>
  <c r="L8" i="98" a="1"/>
  <c r="L8" i="98"/>
  <c r="AQ10" i="98"/>
  <c r="M8" i="98" a="1"/>
  <c r="M8" i="98"/>
  <c r="N8" i="98" a="1"/>
  <c r="N8" i="98"/>
  <c r="C9" i="98"/>
  <c r="AR11" i="98"/>
  <c r="K9" i="98" a="1"/>
  <c r="K9" i="98"/>
  <c r="L9" i="98" a="1"/>
  <c r="L9" i="98"/>
  <c r="AO11" i="98"/>
  <c r="N9" i="98" a="1"/>
  <c r="N9" i="98"/>
  <c r="F10" i="98"/>
  <c r="AQ11" i="98"/>
  <c r="M10" i="98" a="1"/>
  <c r="M10" i="98"/>
  <c r="N10" i="98" a="1"/>
  <c r="N10" i="98"/>
  <c r="AK10" i="98"/>
  <c r="AM10" i="98"/>
  <c r="AN10" i="98"/>
  <c r="AP10" i="98"/>
  <c r="N18" i="98" a="1"/>
  <c r="N18" i="98"/>
  <c r="L15" i="98" a="1"/>
  <c r="L15" i="98"/>
  <c r="AS10" i="98"/>
  <c r="K26" i="98" a="1"/>
  <c r="K26" i="98"/>
  <c r="K54" i="98"/>
  <c r="C11" i="98"/>
  <c r="AR12" i="98"/>
  <c r="K11" i="98" a="1"/>
  <c r="K11" i="98"/>
  <c r="L11" i="98" a="1"/>
  <c r="L11" i="98"/>
  <c r="AO12" i="98"/>
  <c r="M11" i="98" a="1"/>
  <c r="M11" i="98"/>
  <c r="N11" i="98" a="1"/>
  <c r="N11" i="98"/>
  <c r="AK11" i="98"/>
  <c r="AM11" i="98"/>
  <c r="AL11" i="98"/>
  <c r="AN11" i="98"/>
  <c r="M9" i="98" a="1"/>
  <c r="M9" i="98"/>
  <c r="AP11" i="98"/>
  <c r="N27" i="98" a="1"/>
  <c r="N27" i="98"/>
  <c r="N55" i="98"/>
  <c r="M36" i="98" a="1"/>
  <c r="M36" i="98"/>
  <c r="M48" i="98"/>
  <c r="AS11" i="98"/>
  <c r="AT11" i="98"/>
  <c r="F12" i="98"/>
  <c r="AT12" i="98"/>
  <c r="K12" i="98" a="1"/>
  <c r="K12" i="98"/>
  <c r="L12" i="98" a="1"/>
  <c r="L12" i="98"/>
  <c r="AQ12" i="98"/>
  <c r="M12" i="98" a="1"/>
  <c r="M12" i="98"/>
  <c r="N12" i="98" a="1"/>
  <c r="N12" i="98"/>
  <c r="AK12" i="98"/>
  <c r="AB12" i="98"/>
  <c r="AC12" i="98"/>
  <c r="AM12" i="98"/>
  <c r="AL12" i="98"/>
  <c r="AN12" i="98"/>
  <c r="AP12" i="98"/>
  <c r="AS12" i="98"/>
  <c r="K20" i="98" a="1"/>
  <c r="K20" i="98"/>
  <c r="C13" i="98"/>
  <c r="AK13" i="98"/>
  <c r="AB13" i="98"/>
  <c r="AC13" i="98" a="1"/>
  <c r="AC13" i="98"/>
  <c r="AB25" i="98"/>
  <c r="AC25" i="98"/>
  <c r="AM13" i="98"/>
  <c r="AL13" i="98"/>
  <c r="AN13" i="98"/>
  <c r="AS13" i="98"/>
  <c r="F14" i="98"/>
  <c r="I14" i="98" a="1"/>
  <c r="I14" i="98"/>
  <c r="AB14" i="98"/>
  <c r="AC14" i="98"/>
  <c r="C15" i="98"/>
  <c r="K15" i="98" a="1"/>
  <c r="K15" i="98"/>
  <c r="M15" i="98" a="1"/>
  <c r="M15" i="98"/>
  <c r="N15" i="98" a="1"/>
  <c r="N15" i="98"/>
  <c r="C16" i="98"/>
  <c r="C68" i="98"/>
  <c r="K16" i="98"/>
  <c r="L16" i="98" a="1"/>
  <c r="L16" i="98"/>
  <c r="M16" i="98" a="1"/>
  <c r="M16" i="98"/>
  <c r="N16" i="98" a="1"/>
  <c r="N16" i="98"/>
  <c r="C17" i="98"/>
  <c r="K17" i="98" a="1"/>
  <c r="K17" i="98"/>
  <c r="L17" i="98" a="1"/>
  <c r="L17" i="98"/>
  <c r="M17" i="98" a="1"/>
  <c r="M17" i="98"/>
  <c r="N17" i="98" a="1"/>
  <c r="N17" i="98"/>
  <c r="AB17" i="98"/>
  <c r="AC17" i="98"/>
  <c r="C18" i="98"/>
  <c r="K18" i="98" a="1"/>
  <c r="K18" i="98"/>
  <c r="L18" i="98" a="1"/>
  <c r="L18" i="98"/>
  <c r="M18" i="98" a="1"/>
  <c r="M18" i="98"/>
  <c r="C19" i="98"/>
  <c r="K19" i="98" a="1"/>
  <c r="K19" i="98"/>
  <c r="L19" i="98" a="1"/>
  <c r="L19" i="98"/>
  <c r="M19" i="98" a="1"/>
  <c r="M19" i="98"/>
  <c r="N19" i="98" a="1"/>
  <c r="N19" i="98"/>
  <c r="C20" i="98"/>
  <c r="C75" i="98"/>
  <c r="M20" i="98" a="1"/>
  <c r="M20" i="98"/>
  <c r="N20" i="98" a="1"/>
  <c r="N20" i="98"/>
  <c r="AB20" i="98"/>
  <c r="AC20" i="98"/>
  <c r="C21" i="98"/>
  <c r="K21" i="98" a="1"/>
  <c r="K21" i="98"/>
  <c r="L21" i="98" a="1"/>
  <c r="L21" i="98"/>
  <c r="AB21" i="98"/>
  <c r="AC21" i="98"/>
  <c r="C22" i="98"/>
  <c r="K22" i="98" a="1"/>
  <c r="K22" i="98"/>
  <c r="L22" i="98" a="1"/>
  <c r="L22" i="98"/>
  <c r="N22" i="98" a="1"/>
  <c r="N22" i="98"/>
  <c r="C23" i="98"/>
  <c r="K23" i="98" a="1"/>
  <c r="K23" i="98"/>
  <c r="L23" i="98" a="1"/>
  <c r="L23" i="98"/>
  <c r="M23" i="98" a="1"/>
  <c r="M23" i="98"/>
  <c r="N23" i="98" a="1"/>
  <c r="N23" i="98"/>
  <c r="C24" i="98"/>
  <c r="K24" i="98" a="1"/>
  <c r="K24" i="98"/>
  <c r="M24" i="98" a="1"/>
  <c r="M24" i="98"/>
  <c r="N24" i="98" a="1"/>
  <c r="N24" i="98"/>
  <c r="AB24" i="98"/>
  <c r="AC24" i="98"/>
  <c r="C25" i="98"/>
  <c r="K25" i="98" a="1"/>
  <c r="K25" i="98"/>
  <c r="L25" i="98" a="1"/>
  <c r="L25" i="98"/>
  <c r="M25" i="98" a="1"/>
  <c r="M25" i="98"/>
  <c r="C26" i="98"/>
  <c r="L26" i="98" a="1"/>
  <c r="L26" i="98"/>
  <c r="M26" i="98" a="1"/>
  <c r="M26" i="98"/>
  <c r="M54" i="98"/>
  <c r="N26" i="98" a="1"/>
  <c r="N26" i="98"/>
  <c r="C27" i="98"/>
  <c r="K27" i="98" a="1"/>
  <c r="K27" i="98"/>
  <c r="K55" i="98"/>
  <c r="L27" i="98" a="1"/>
  <c r="L27" i="98"/>
  <c r="L55" i="98"/>
  <c r="M27" i="98" a="1"/>
  <c r="M27" i="98"/>
  <c r="C28" i="98"/>
  <c r="K28" i="98" a="1"/>
  <c r="K28" i="98"/>
  <c r="K56" i="98"/>
  <c r="L28" i="98" a="1"/>
  <c r="L28" i="98"/>
  <c r="M28" i="98" a="1"/>
  <c r="M28" i="98"/>
  <c r="N28" i="98" a="1"/>
  <c r="N28" i="98"/>
  <c r="AB28" i="98"/>
  <c r="AC28" i="98"/>
  <c r="C29" i="98"/>
  <c r="K29" i="98" a="1"/>
  <c r="K29" i="98"/>
  <c r="K57" i="98"/>
  <c r="L29" i="98" a="1"/>
  <c r="L29" i="98"/>
  <c r="AB29" i="98"/>
  <c r="AC29" i="98"/>
  <c r="C30" i="98"/>
  <c r="C80" i="98"/>
  <c r="K30" i="98" a="1"/>
  <c r="K30" i="98"/>
  <c r="L30" i="98" a="1"/>
  <c r="L30" i="98"/>
  <c r="M30" i="98" a="1"/>
  <c r="M30" i="98"/>
  <c r="K32" i="98" a="1"/>
  <c r="K32" i="98"/>
  <c r="K46" i="98"/>
  <c r="L32" i="98" a="1"/>
  <c r="L32" i="98"/>
  <c r="L46" i="98"/>
  <c r="M32" i="98" a="1"/>
  <c r="M32" i="98"/>
  <c r="N32" i="98" a="1"/>
  <c r="N32" i="98"/>
  <c r="N46" i="98"/>
  <c r="C34" i="98"/>
  <c r="C81" i="98"/>
  <c r="K34" i="98" a="1"/>
  <c r="K34" i="98"/>
  <c r="L34" i="98" a="1"/>
  <c r="L34" i="98"/>
  <c r="M34" i="98" a="1"/>
  <c r="M34" i="98"/>
  <c r="N34" i="98" a="1"/>
  <c r="N34" i="98"/>
  <c r="K36" i="98" a="1"/>
  <c r="K36" i="98"/>
  <c r="K48" i="98"/>
  <c r="L36" i="98" a="1"/>
  <c r="L36" i="98"/>
  <c r="L48" i="98"/>
  <c r="N36" i="98" a="1"/>
  <c r="N36" i="98"/>
  <c r="N48" i="98"/>
  <c r="C38" i="98"/>
  <c r="C82" i="98"/>
  <c r="K38" i="98" a="1"/>
  <c r="K38" i="98"/>
  <c r="L38" i="98" a="1"/>
  <c r="L38" i="98"/>
  <c r="M38" i="98" a="1"/>
  <c r="M38" i="98"/>
  <c r="N38" i="98" a="1"/>
  <c r="N38" i="98"/>
  <c r="AB38" i="98"/>
  <c r="AC38" i="98"/>
  <c r="K40" i="98" a="1"/>
  <c r="K40" i="98"/>
  <c r="K50" i="98"/>
  <c r="L40" i="98" a="1"/>
  <c r="L40" i="98"/>
  <c r="L50" i="98"/>
  <c r="M40" i="98" a="1"/>
  <c r="M40" i="98"/>
  <c r="N40" i="98" a="1"/>
  <c r="N40" i="98"/>
  <c r="AB40" i="98"/>
  <c r="AC40" i="98"/>
  <c r="C42" i="98"/>
  <c r="C87" i="98"/>
  <c r="K42" i="98" a="1"/>
  <c r="K42" i="98"/>
  <c r="L42" i="98" a="1"/>
  <c r="L42" i="98"/>
  <c r="M42" i="98" a="1"/>
  <c r="M42" i="98"/>
  <c r="K44" i="98" a="1"/>
  <c r="K44" i="98"/>
  <c r="K52" i="98"/>
  <c r="AB44" i="98"/>
  <c r="AC44" i="98"/>
  <c r="F46" i="98"/>
  <c r="C46" i="98"/>
  <c r="C88" i="98"/>
  <c r="F54" i="98"/>
  <c r="H46" i="98"/>
  <c r="M46" i="98"/>
  <c r="O46" i="98"/>
  <c r="Q46" i="98"/>
  <c r="S46" i="98"/>
  <c r="T46" i="98"/>
  <c r="AF46" i="98"/>
  <c r="E47" i="98"/>
  <c r="AF47" i="98"/>
  <c r="F48" i="98"/>
  <c r="C48" i="98"/>
  <c r="C89" i="98"/>
  <c r="F55" i="98"/>
  <c r="C55" i="98"/>
  <c r="C93" i="98"/>
  <c r="H48" i="98"/>
  <c r="O48" i="98"/>
  <c r="Q48" i="98"/>
  <c r="S48" i="98"/>
  <c r="T48" i="98"/>
  <c r="AF48" i="98"/>
  <c r="E49" i="98"/>
  <c r="AF49" i="98"/>
  <c r="F50" i="98"/>
  <c r="C50" i="98"/>
  <c r="C90" i="98"/>
  <c r="H50" i="98"/>
  <c r="M50" i="98"/>
  <c r="N50" i="98"/>
  <c r="O50" i="98"/>
  <c r="Q50" i="98"/>
  <c r="S50" i="98"/>
  <c r="T50" i="98"/>
  <c r="E51" i="98"/>
  <c r="F52" i="98"/>
  <c r="C52" i="98"/>
  <c r="C91" i="98"/>
  <c r="H52" i="98"/>
  <c r="H57" i="98"/>
  <c r="O52" i="98"/>
  <c r="Q52" i="98"/>
  <c r="S52" i="98"/>
  <c r="T52" i="98"/>
  <c r="E53" i="98"/>
  <c r="C54" i="98"/>
  <c r="C92" i="98"/>
  <c r="H54" i="98"/>
  <c r="L54" i="98"/>
  <c r="N54" i="98"/>
  <c r="O54" i="98"/>
  <c r="S54" i="98"/>
  <c r="T54" i="98"/>
  <c r="AF54" i="98"/>
  <c r="H55" i="98"/>
  <c r="M55" i="98"/>
  <c r="O55" i="98"/>
  <c r="S55" i="98"/>
  <c r="T55" i="98"/>
  <c r="AF55" i="98"/>
  <c r="F56" i="98"/>
  <c r="C56" i="98"/>
  <c r="C94" i="98"/>
  <c r="H56" i="98"/>
  <c r="L56" i="98"/>
  <c r="M56" i="98"/>
  <c r="N56" i="98"/>
  <c r="O56" i="98"/>
  <c r="S56" i="98"/>
  <c r="T56" i="98"/>
  <c r="F57" i="98"/>
  <c r="C57" i="98"/>
  <c r="L57" i="98"/>
  <c r="O57" i="98"/>
  <c r="S57" i="98"/>
  <c r="T57" i="98"/>
  <c r="C65" i="98"/>
  <c r="C66" i="98"/>
  <c r="C67" i="98"/>
  <c r="C69" i="98"/>
  <c r="C70" i="98"/>
  <c r="C71" i="98"/>
  <c r="C72" i="98"/>
  <c r="C73" i="98"/>
  <c r="C74" i="98"/>
  <c r="C76" i="98"/>
  <c r="C77" i="98"/>
  <c r="C78" i="98"/>
  <c r="C79" i="98"/>
  <c r="C83" i="98"/>
  <c r="C84" i="98"/>
  <c r="C85" i="98"/>
  <c r="C86" i="98"/>
  <c r="C95" i="98"/>
  <c r="C7" i="97"/>
  <c r="Z7" i="97" a="1"/>
  <c r="Z7" i="97"/>
  <c r="AA7" i="97" a="1"/>
  <c r="AA7" i="97"/>
  <c r="Z8" i="97" a="1"/>
  <c r="Z8" i="97"/>
  <c r="AA8" i="97" a="1"/>
  <c r="AA8" i="97"/>
  <c r="C9" i="97"/>
  <c r="Z9" i="97" a="1"/>
  <c r="Z9" i="97"/>
  <c r="AA9" i="97" a="1"/>
  <c r="AA9" i="97"/>
  <c r="Z10" i="97" a="1"/>
  <c r="Z10" i="97"/>
  <c r="AA10" i="97" a="1"/>
  <c r="AA10" i="97"/>
  <c r="C11" i="97"/>
  <c r="Z11" i="97" a="1"/>
  <c r="Z11" i="97"/>
  <c r="AA11" i="97" a="1"/>
  <c r="AA11" i="97"/>
  <c r="Z12" i="97" a="1"/>
  <c r="Z12" i="97"/>
  <c r="AA12" i="97" a="1"/>
  <c r="AA12" i="97"/>
  <c r="AO12" i="97"/>
  <c r="AM12" i="97"/>
  <c r="I55" i="97" a="1"/>
  <c r="AP12" i="97"/>
  <c r="AQ12" i="97" a="1"/>
  <c r="AQ12" i="97"/>
  <c r="M29" i="97" a="1"/>
  <c r="M29" i="97"/>
  <c r="N29" i="97"/>
  <c r="AR12" i="97" a="1"/>
  <c r="AR12" i="97"/>
  <c r="M30" i="97" a="1"/>
  <c r="M30" i="97"/>
  <c r="N30" i="97"/>
  <c r="AS12" i="97" a="1"/>
  <c r="AS12" i="97"/>
  <c r="M31" i="97" a="1"/>
  <c r="M31" i="97"/>
  <c r="N31" i="97"/>
  <c r="AT12" i="97" a="1"/>
  <c r="AT12" i="97"/>
  <c r="M43" i="97" a="1"/>
  <c r="M43" i="97"/>
  <c r="N43" i="97"/>
  <c r="AU12" i="97" a="1"/>
  <c r="AU12" i="97"/>
  <c r="M44" i="97" a="1"/>
  <c r="M44" i="97"/>
  <c r="N44" i="97"/>
  <c r="AV12" i="97" a="1"/>
  <c r="AV12" i="97"/>
  <c r="M66" i="97" a="1"/>
  <c r="M66" i="97"/>
  <c r="N66" i="97"/>
  <c r="AW12" i="97" a="1"/>
  <c r="AW12" i="97"/>
  <c r="M135" i="97" a="1"/>
  <c r="M135" i="97"/>
  <c r="N135" i="97"/>
  <c r="AX12" i="97" a="1"/>
  <c r="AX12" i="97"/>
  <c r="AY12" i="97" a="1"/>
  <c r="AY12" i="97"/>
  <c r="AZ12" i="97" a="1"/>
  <c r="AZ12" i="97"/>
  <c r="BA12" i="97" a="1"/>
  <c r="BA12" i="97"/>
  <c r="BB12" i="97" a="1"/>
  <c r="BB12" i="97"/>
  <c r="BC12" i="97" a="1"/>
  <c r="BC12" i="97"/>
  <c r="BD12" i="97" a="1"/>
  <c r="BD12" i="97"/>
  <c r="BE12" i="97" a="1"/>
  <c r="BE12" i="97"/>
  <c r="BF12" i="97" a="1"/>
  <c r="BF12" i="97"/>
  <c r="BG12" i="97" a="1"/>
  <c r="BG12" i="97"/>
  <c r="BH12" i="97" a="1"/>
  <c r="BH12" i="97"/>
  <c r="C13" i="97"/>
  <c r="Z13" i="97" a="1"/>
  <c r="Z13" i="97"/>
  <c r="AA13" i="97" a="1"/>
  <c r="AA13" i="97"/>
  <c r="AO13" i="97" a="1"/>
  <c r="AO13" i="97"/>
  <c r="AN13" i="97"/>
  <c r="AP13" i="97"/>
  <c r="AQ13" i="97" a="1"/>
  <c r="AQ13" i="97"/>
  <c r="AR13" i="97" a="1"/>
  <c r="AR13" i="97"/>
  <c r="AS13" i="97" a="1"/>
  <c r="AS13" i="97"/>
  <c r="M34" i="97" a="1"/>
  <c r="M34" i="97"/>
  <c r="N34" i="97"/>
  <c r="AT13" i="97" a="1"/>
  <c r="AT13" i="97"/>
  <c r="M7" i="97" a="1"/>
  <c r="M7" i="97"/>
  <c r="N7" i="97"/>
  <c r="AU13" i="97" a="1"/>
  <c r="AU13" i="97"/>
  <c r="M9" i="97" a="1"/>
  <c r="M9" i="97"/>
  <c r="N9" i="97"/>
  <c r="AV13" i="97" a="1"/>
  <c r="AV13" i="97"/>
  <c r="M11" i="97" a="1"/>
  <c r="M11" i="97"/>
  <c r="N11" i="97"/>
  <c r="AW13" i="97" a="1"/>
  <c r="AW13" i="97"/>
  <c r="M8" i="97" a="1"/>
  <c r="M8" i="97"/>
  <c r="N8" i="97"/>
  <c r="AX13" i="97" a="1"/>
  <c r="AX13" i="97"/>
  <c r="AY13" i="97" a="1"/>
  <c r="AY13" i="97"/>
  <c r="AZ13" i="97" a="1"/>
  <c r="AZ13" i="97"/>
  <c r="BA13" i="97" a="1"/>
  <c r="BA13" i="97"/>
  <c r="BB13" i="97" a="1"/>
  <c r="BB13" i="97"/>
  <c r="BC13" i="97" a="1"/>
  <c r="BC13" i="97"/>
  <c r="BD13" i="97" a="1"/>
  <c r="BD13" i="97"/>
  <c r="BE13" i="97" a="1"/>
  <c r="BE13" i="97"/>
  <c r="BF13" i="97" a="1"/>
  <c r="BF13" i="97"/>
  <c r="BG13" i="97" a="1"/>
  <c r="BG13" i="97"/>
  <c r="BH13" i="97" a="1"/>
  <c r="BH13" i="97"/>
  <c r="F14" i="97"/>
  <c r="AB14" i="97"/>
  <c r="AO14" i="97"/>
  <c r="AN14" i="97"/>
  <c r="I59" i="97" a="1"/>
  <c r="I59" i="97"/>
  <c r="J59" i="97"/>
  <c r="AP14" i="97"/>
  <c r="AQ14" i="97" a="1"/>
  <c r="AQ14" i="97"/>
  <c r="M35" i="97" a="1"/>
  <c r="M35" i="97"/>
  <c r="N35" i="97"/>
  <c r="AR14" i="97" a="1"/>
  <c r="AR14" i="97"/>
  <c r="M36" i="97" a="1"/>
  <c r="M36" i="97"/>
  <c r="N36" i="97"/>
  <c r="AS14" i="97" a="1"/>
  <c r="AS14" i="97"/>
  <c r="AT14" i="97" a="1"/>
  <c r="AT14" i="97"/>
  <c r="M19" i="97" a="1"/>
  <c r="M19" i="97"/>
  <c r="N19" i="97"/>
  <c r="AU14" i="97" a="1"/>
  <c r="AU14" i="97"/>
  <c r="M68" i="97" a="1"/>
  <c r="M68" i="97"/>
  <c r="N68" i="97"/>
  <c r="AV14" i="97" a="1"/>
  <c r="AV14" i="97"/>
  <c r="M48" i="97" a="1"/>
  <c r="M48" i="97"/>
  <c r="N48" i="97"/>
  <c r="AW14" i="97" a="1"/>
  <c r="AW14" i="97"/>
  <c r="AX14" i="97" a="1"/>
  <c r="AX14" i="97"/>
  <c r="M122" i="97" a="1"/>
  <c r="M122" i="97"/>
  <c r="N122" i="97"/>
  <c r="AY14" i="97" a="1"/>
  <c r="AY14" i="97"/>
  <c r="F24" i="97"/>
  <c r="AB24" i="97"/>
  <c r="M24" i="97" a="1"/>
  <c r="M24" i="97"/>
  <c r="N24" i="97"/>
  <c r="AZ14" i="97" a="1"/>
  <c r="AZ14" i="97"/>
  <c r="BA14" i="97" a="1"/>
  <c r="BA14" i="97"/>
  <c r="BB14" i="97" a="1"/>
  <c r="BB14" i="97"/>
  <c r="BC14" i="97" a="1"/>
  <c r="BC14" i="97"/>
  <c r="BD14" i="97" a="1"/>
  <c r="BD14" i="97"/>
  <c r="BE14" i="97" a="1"/>
  <c r="BE14" i="97"/>
  <c r="BF14" i="97" a="1"/>
  <c r="BF14" i="97"/>
  <c r="BG14" i="97" a="1"/>
  <c r="BG14" i="97"/>
  <c r="BH14" i="97" a="1"/>
  <c r="BH14" i="97"/>
  <c r="C15" i="97"/>
  <c r="M15" i="97" a="1"/>
  <c r="M15" i="97"/>
  <c r="N15" i="97"/>
  <c r="Z15" i="97" a="1"/>
  <c r="Z15" i="97"/>
  <c r="AA15" i="97" a="1"/>
  <c r="AA15" i="97"/>
  <c r="AK15" i="97"/>
  <c r="AO15" i="97"/>
  <c r="AL15" i="97"/>
  <c r="AP15" i="97"/>
  <c r="AQ15" i="97" a="1"/>
  <c r="AQ15" i="97"/>
  <c r="AR15" i="97" a="1"/>
  <c r="AR15" i="97"/>
  <c r="AS15" i="97" a="1"/>
  <c r="AS15" i="97"/>
  <c r="AT15" i="97" a="1"/>
  <c r="AT15" i="97"/>
  <c r="M25" i="97" a="1"/>
  <c r="M25" i="97"/>
  <c r="N25" i="97"/>
  <c r="AU15" i="97" a="1"/>
  <c r="AU15" i="97"/>
  <c r="M27" i="97" a="1"/>
  <c r="M27" i="97"/>
  <c r="N27" i="97"/>
  <c r="AV15" i="97" a="1"/>
  <c r="AV15" i="97"/>
  <c r="M60" i="97" a="1"/>
  <c r="M60" i="97"/>
  <c r="N60" i="97"/>
  <c r="AW15" i="97" a="1"/>
  <c r="AW15" i="97"/>
  <c r="AX15" i="97" a="1"/>
  <c r="AX15" i="97"/>
  <c r="M132" i="97" a="1"/>
  <c r="M132" i="97"/>
  <c r="N132" i="97"/>
  <c r="AY15" i="97" a="1"/>
  <c r="AY15" i="97"/>
  <c r="AZ15" i="97" a="1"/>
  <c r="AZ15" i="97"/>
  <c r="BA15" i="97" a="1"/>
  <c r="BA15" i="97"/>
  <c r="BB15" i="97" a="1"/>
  <c r="BB15" i="97"/>
  <c r="BC15" i="97" a="1"/>
  <c r="BC15" i="97"/>
  <c r="BD15" i="97" a="1"/>
  <c r="BD15" i="97"/>
  <c r="BE15" i="97" a="1"/>
  <c r="BE15" i="97"/>
  <c r="BF15" i="97" a="1"/>
  <c r="BF15" i="97"/>
  <c r="BG15" i="97" a="1"/>
  <c r="BG15" i="97"/>
  <c r="BH15" i="97" a="1"/>
  <c r="BH15" i="97"/>
  <c r="F16" i="97"/>
  <c r="AB16" i="97"/>
  <c r="I16" i="97" a="1"/>
  <c r="I16" i="97"/>
  <c r="J16" i="97"/>
  <c r="C17" i="97"/>
  <c r="M17" i="97" a="1"/>
  <c r="M17" i="97"/>
  <c r="N17" i="97"/>
  <c r="Z17" i="97" a="1"/>
  <c r="Z17" i="97"/>
  <c r="AA17" i="97" a="1"/>
  <c r="AA17" i="97"/>
  <c r="F18" i="97"/>
  <c r="AB18" i="97"/>
  <c r="C19" i="97"/>
  <c r="C188" i="97"/>
  <c r="Z19" i="97" a="1"/>
  <c r="Z19" i="97"/>
  <c r="AA19" i="97" a="1"/>
  <c r="AA19" i="97"/>
  <c r="F20" i="97"/>
  <c r="AB20" i="97"/>
  <c r="Z20" i="97" a="1"/>
  <c r="Z20" i="97"/>
  <c r="AA20" i="97" a="1"/>
  <c r="AA20" i="97"/>
  <c r="C21" i="97"/>
  <c r="Z21" i="97" a="1"/>
  <c r="Z21" i="97"/>
  <c r="AA21" i="97" a="1"/>
  <c r="AA21" i="97"/>
  <c r="F22" i="97"/>
  <c r="AB22" i="97"/>
  <c r="Z22" i="97" a="1"/>
  <c r="Z22" i="97"/>
  <c r="AA22" i="97" a="1"/>
  <c r="AA22" i="97"/>
  <c r="C23" i="97"/>
  <c r="Z23" i="97" a="1"/>
  <c r="Z23" i="97"/>
  <c r="AA23" i="97" a="1"/>
  <c r="AA23" i="97"/>
  <c r="Z24" i="97" a="1"/>
  <c r="Z24" i="97"/>
  <c r="AA24" i="97" a="1"/>
  <c r="AA24" i="97"/>
  <c r="I24" i="97" a="1"/>
  <c r="I24" i="97"/>
  <c r="J24" i="97"/>
  <c r="C25" i="97"/>
  <c r="Z25" i="97" a="1"/>
  <c r="Z25" i="97"/>
  <c r="AA25" i="97" a="1"/>
  <c r="AA25" i="97"/>
  <c r="F26" i="97"/>
  <c r="AB26" i="97"/>
  <c r="C27" i="97"/>
  <c r="Z27" i="97" a="1"/>
  <c r="Z27" i="97"/>
  <c r="AA27" i="97" a="1"/>
  <c r="AA27" i="97"/>
  <c r="F28" i="97"/>
  <c r="AB28" i="97"/>
  <c r="Z28" i="97" a="1"/>
  <c r="Z28" i="97"/>
  <c r="AA28" i="97" a="1"/>
  <c r="AA28" i="97"/>
  <c r="C29" i="97"/>
  <c r="Z29" i="97" a="1"/>
  <c r="Z29" i="97"/>
  <c r="AA29" i="97" a="1"/>
  <c r="AA29" i="97"/>
  <c r="C30" i="97"/>
  <c r="I30" i="97" a="1"/>
  <c r="I30" i="97"/>
  <c r="J30" i="97"/>
  <c r="Z30" i="97" a="1"/>
  <c r="Z30" i="97"/>
  <c r="AA30" i="97" a="1"/>
  <c r="AA30" i="97"/>
  <c r="C31" i="97"/>
  <c r="Z31" i="97" a="1"/>
  <c r="Z31" i="97"/>
  <c r="AA31" i="97" a="1"/>
  <c r="AA31" i="97"/>
  <c r="C32" i="97"/>
  <c r="M32" i="97" a="1"/>
  <c r="M32" i="97"/>
  <c r="N32" i="97"/>
  <c r="Z32" i="97" a="1"/>
  <c r="Z32" i="97"/>
  <c r="AA32" i="97" a="1"/>
  <c r="AA32" i="97"/>
  <c r="C33" i="97"/>
  <c r="M33" i="97" a="1"/>
  <c r="M33" i="97"/>
  <c r="N33" i="97"/>
  <c r="Z33" i="97" a="1"/>
  <c r="Z33" i="97"/>
  <c r="AA33" i="97" a="1"/>
  <c r="AA33" i="97"/>
  <c r="C34" i="97"/>
  <c r="Z34" i="97" a="1"/>
  <c r="Z34" i="97"/>
  <c r="AA34" i="97" a="1"/>
  <c r="AA34" i="97"/>
  <c r="C35" i="97"/>
  <c r="Z35" i="97" a="1"/>
  <c r="Z35" i="97"/>
  <c r="AA35" i="97" a="1"/>
  <c r="AA35" i="97"/>
  <c r="C36" i="97"/>
  <c r="Z36" i="97" a="1"/>
  <c r="Z36" i="97"/>
  <c r="AA36" i="97" a="1"/>
  <c r="AA36" i="97"/>
  <c r="C37" i="97"/>
  <c r="C193" i="97"/>
  <c r="I37" i="97" a="1"/>
  <c r="I37" i="97"/>
  <c r="J37" i="97"/>
  <c r="M37" i="97" a="1"/>
  <c r="M37" i="97"/>
  <c r="N37" i="97"/>
  <c r="Z37" i="97" a="1"/>
  <c r="Z37" i="97"/>
  <c r="AA37" i="97" a="1"/>
  <c r="AA37" i="97"/>
  <c r="C38" i="97"/>
  <c r="Z38" i="97" a="1"/>
  <c r="Z38" i="97"/>
  <c r="AA38" i="97" a="1"/>
  <c r="AA38" i="97"/>
  <c r="AB39" i="97"/>
  <c r="C39" i="97"/>
  <c r="Z39" i="97" a="1"/>
  <c r="Z39" i="97"/>
  <c r="AA39" i="97" a="1"/>
  <c r="AA39" i="97"/>
  <c r="C40" i="97"/>
  <c r="M40" i="97" a="1"/>
  <c r="M40" i="97"/>
  <c r="N40" i="97"/>
  <c r="Z40" i="97" a="1"/>
  <c r="Z40" i="97"/>
  <c r="AA40" i="97" a="1"/>
  <c r="AA40" i="97"/>
  <c r="C41" i="97"/>
  <c r="M41" i="97" a="1"/>
  <c r="M41" i="97"/>
  <c r="N41" i="97"/>
  <c r="Z41" i="97" a="1"/>
  <c r="Z41" i="97"/>
  <c r="AA41" i="97" a="1"/>
  <c r="AA41" i="97"/>
  <c r="C42" i="97"/>
  <c r="I42" i="97" a="1"/>
  <c r="I42" i="97"/>
  <c r="J42" i="97"/>
  <c r="M42" i="97" a="1"/>
  <c r="M42" i="97"/>
  <c r="N42" i="97"/>
  <c r="Z42" i="97" a="1"/>
  <c r="Z42" i="97"/>
  <c r="AA42" i="97" a="1"/>
  <c r="AA42" i="97"/>
  <c r="C43" i="97"/>
  <c r="Z43" i="97" a="1"/>
  <c r="Z43" i="97"/>
  <c r="AA43" i="97" a="1"/>
  <c r="AA43" i="97"/>
  <c r="C44" i="97"/>
  <c r="I44" i="97" a="1"/>
  <c r="I44" i="97"/>
  <c r="J44" i="97"/>
  <c r="Z44" i="97" a="1"/>
  <c r="Z44" i="97"/>
  <c r="AA44" i="97" a="1"/>
  <c r="AA44" i="97"/>
  <c r="C45" i="97"/>
  <c r="Z45" i="97" a="1"/>
  <c r="Z45" i="97"/>
  <c r="AA45" i="97" a="1"/>
  <c r="AA45" i="97"/>
  <c r="C46" i="97"/>
  <c r="C210" i="97"/>
  <c r="M46" i="97" a="1"/>
  <c r="M46" i="97"/>
  <c r="N46" i="97"/>
  <c r="Z46" i="97" a="1"/>
  <c r="Z46" i="97"/>
  <c r="AA46" i="97" a="1"/>
  <c r="AA46" i="97"/>
  <c r="C47" i="97"/>
  <c r="Z47" i="97" a="1"/>
  <c r="Z47" i="97"/>
  <c r="AA47" i="97" a="1"/>
  <c r="AA47" i="97"/>
  <c r="C48" i="97"/>
  <c r="Z48" i="97" a="1"/>
  <c r="Z48" i="97"/>
  <c r="AA48" i="97" a="1"/>
  <c r="AA48" i="97"/>
  <c r="C49" i="97"/>
  <c r="Z49" i="97" a="1"/>
  <c r="Z49" i="97"/>
  <c r="AA49" i="97" a="1"/>
  <c r="AA49" i="97"/>
  <c r="C50" i="97"/>
  <c r="Z50" i="97" a="1"/>
  <c r="Z50" i="97"/>
  <c r="AA50" i="97" a="1"/>
  <c r="AA50" i="97"/>
  <c r="C51" i="97"/>
  <c r="M51" i="97" a="1"/>
  <c r="M51" i="97"/>
  <c r="N51" i="97"/>
  <c r="Z51" i="97" a="1"/>
  <c r="Z51" i="97"/>
  <c r="AA51" i="97" a="1"/>
  <c r="AA51" i="97"/>
  <c r="C52" i="97"/>
  <c r="Z52" i="97" a="1"/>
  <c r="Z52" i="97"/>
  <c r="AA52" i="97" a="1"/>
  <c r="AA52" i="97"/>
  <c r="C53" i="97"/>
  <c r="M53" i="97" a="1"/>
  <c r="M53" i="97"/>
  <c r="N53" i="97"/>
  <c r="Z53" i="97" a="1"/>
  <c r="Z53" i="97"/>
  <c r="AA53" i="97" a="1"/>
  <c r="AA53" i="97"/>
  <c r="C54" i="97"/>
  <c r="M54" i="97" a="1"/>
  <c r="M54" i="97"/>
  <c r="N54" i="97"/>
  <c r="Z54" i="97" a="1"/>
  <c r="Z54" i="97"/>
  <c r="AA54" i="97" a="1"/>
  <c r="AA54" i="97"/>
  <c r="C55" i="97"/>
  <c r="I55" i="97"/>
  <c r="J55" i="97"/>
  <c r="M55" i="97" a="1"/>
  <c r="M55" i="97"/>
  <c r="N55" i="97"/>
  <c r="Z55" i="97" a="1"/>
  <c r="Z55" i="97"/>
  <c r="AA55" i="97" a="1"/>
  <c r="AA55" i="97"/>
  <c r="C56" i="97"/>
  <c r="M56" i="97" a="1"/>
  <c r="M56" i="97"/>
  <c r="N56" i="97"/>
  <c r="Z56" i="97" a="1"/>
  <c r="Z56" i="97"/>
  <c r="AA56" i="97" a="1"/>
  <c r="AA56" i="97"/>
  <c r="C57" i="97"/>
  <c r="Z57" i="97" a="1"/>
  <c r="Z57" i="97"/>
  <c r="AA57" i="97" a="1"/>
  <c r="AA57" i="97"/>
  <c r="C58" i="97"/>
  <c r="Z58" i="97" a="1"/>
  <c r="Z58" i="97"/>
  <c r="AA58" i="97" a="1"/>
  <c r="AA58" i="97"/>
  <c r="C59" i="97"/>
  <c r="Z59" i="97" a="1"/>
  <c r="Z59" i="97"/>
  <c r="AA59" i="97" a="1"/>
  <c r="AA59" i="97"/>
  <c r="C60" i="97"/>
  <c r="Z60" i="97" a="1"/>
  <c r="Z60" i="97"/>
  <c r="AA60" i="97" a="1"/>
  <c r="AA60" i="97"/>
  <c r="C61" i="97"/>
  <c r="I61" i="97" a="1"/>
  <c r="I61" i="97"/>
  <c r="J61" i="97"/>
  <c r="Z61" i="97" a="1"/>
  <c r="Z61" i="97"/>
  <c r="AA61" i="97" a="1"/>
  <c r="AA61" i="97"/>
  <c r="C62" i="97"/>
  <c r="M62" i="97" a="1"/>
  <c r="M62" i="97"/>
  <c r="N62" i="97"/>
  <c r="Z62" i="97" a="1"/>
  <c r="Z62" i="97"/>
  <c r="AA62" i="97" a="1"/>
  <c r="AA62" i="97"/>
  <c r="C63" i="97"/>
  <c r="C221" i="97"/>
  <c r="I63" i="97" a="1"/>
  <c r="I63" i="97"/>
  <c r="J63" i="97"/>
  <c r="M63" i="97" a="1"/>
  <c r="M63" i="97"/>
  <c r="N63" i="97"/>
  <c r="Z63" i="97" a="1"/>
  <c r="Z63" i="97"/>
  <c r="AA63" i="97" a="1"/>
  <c r="AA63" i="97"/>
  <c r="C64" i="97"/>
  <c r="C222" i="97"/>
  <c r="M64" i="97" a="1"/>
  <c r="M64" i="97"/>
  <c r="N64" i="97"/>
  <c r="Z64" i="97" a="1"/>
  <c r="Z64" i="97"/>
  <c r="AA64" i="97" a="1"/>
  <c r="AA64" i="97"/>
  <c r="C65" i="97"/>
  <c r="I65" i="97" a="1"/>
  <c r="I65" i="97"/>
  <c r="J65" i="97"/>
  <c r="M65" i="97" a="1"/>
  <c r="M65" i="97"/>
  <c r="N65" i="97"/>
  <c r="Z65" i="97" a="1"/>
  <c r="Z65" i="97"/>
  <c r="AA65" i="97" a="1"/>
  <c r="AA65" i="97"/>
  <c r="C66" i="97"/>
  <c r="Z66" i="97" a="1"/>
  <c r="Z66" i="97"/>
  <c r="AA66" i="97" a="1"/>
  <c r="AA66" i="97"/>
  <c r="C67" i="97"/>
  <c r="C225" i="97"/>
  <c r="M67" i="97" a="1"/>
  <c r="M67" i="97"/>
  <c r="N67" i="97"/>
  <c r="Z67" i="97" a="1"/>
  <c r="Z67" i="97"/>
  <c r="AA67" i="97" a="1"/>
  <c r="AA67" i="97"/>
  <c r="C68" i="97"/>
  <c r="Z68" i="97" a="1"/>
  <c r="Z68" i="97"/>
  <c r="AA68" i="97" a="1"/>
  <c r="AA68" i="97"/>
  <c r="C69" i="97"/>
  <c r="C227" i="97"/>
  <c r="I69" i="97" a="1"/>
  <c r="I69" i="97"/>
  <c r="J69" i="97"/>
  <c r="M69" i="97" a="1"/>
  <c r="M69" i="97"/>
  <c r="N69" i="97"/>
  <c r="Z69" i="97" a="1"/>
  <c r="Z69" i="97"/>
  <c r="AA69" i="97" a="1"/>
  <c r="AA69" i="97"/>
  <c r="C70" i="97"/>
  <c r="M70" i="97" a="1"/>
  <c r="M70" i="97"/>
  <c r="N70" i="97"/>
  <c r="Z70" i="97" a="1"/>
  <c r="Z70" i="97"/>
  <c r="AA70" i="97" a="1"/>
  <c r="AA70" i="97"/>
  <c r="C71" i="97"/>
  <c r="Z71" i="97" a="1"/>
  <c r="Z71" i="97"/>
  <c r="AA71" i="97" a="1"/>
  <c r="AA71" i="97"/>
  <c r="C72" i="97"/>
  <c r="C73" i="97"/>
  <c r="M73" i="97" a="1"/>
  <c r="M73" i="97"/>
  <c r="N73" i="97"/>
  <c r="Z73" i="97" a="1"/>
  <c r="Z73" i="97"/>
  <c r="AA73" i="97" a="1"/>
  <c r="AA73" i="97"/>
  <c r="Z74" i="97" a="1"/>
  <c r="Z74" i="97"/>
  <c r="AA74" i="97" a="1"/>
  <c r="AA74" i="97"/>
  <c r="AB75" i="97"/>
  <c r="M75" i="97" a="1"/>
  <c r="M75" i="97"/>
  <c r="N75" i="97"/>
  <c r="Z75" i="97" a="1"/>
  <c r="Z75" i="97"/>
  <c r="AA75" i="97" a="1"/>
  <c r="AA75" i="97"/>
  <c r="Z76" i="97" a="1"/>
  <c r="Z76" i="97"/>
  <c r="AA76" i="97" a="1"/>
  <c r="AA76" i="97"/>
  <c r="C77" i="97"/>
  <c r="M77" i="97" a="1"/>
  <c r="M77" i="97"/>
  <c r="N77" i="97"/>
  <c r="Z77" i="97" a="1"/>
  <c r="Z77" i="97"/>
  <c r="AA77" i="97" a="1"/>
  <c r="AA77" i="97"/>
  <c r="Z78" i="97" a="1"/>
  <c r="Z78" i="97"/>
  <c r="AA78" i="97" a="1"/>
  <c r="AA78" i="97"/>
  <c r="AB79" i="97"/>
  <c r="Z79" i="97" a="1"/>
  <c r="Z79" i="97"/>
  <c r="AA79" i="97" a="1"/>
  <c r="AA79" i="97"/>
  <c r="Z80" i="97" a="1"/>
  <c r="Z80" i="97"/>
  <c r="AA80" i="97" a="1"/>
  <c r="AA80" i="97"/>
  <c r="C81" i="97"/>
  <c r="I81" i="97" a="1"/>
  <c r="I81" i="97"/>
  <c r="J81" i="97"/>
  <c r="M81" i="97" a="1"/>
  <c r="M81" i="97"/>
  <c r="N81" i="97"/>
  <c r="Z81" i="97" a="1"/>
  <c r="Z81" i="97"/>
  <c r="AA81" i="97" a="1"/>
  <c r="AA81" i="97"/>
  <c r="Z82" i="97" a="1"/>
  <c r="Z82" i="97"/>
  <c r="AA82" i="97" a="1"/>
  <c r="AA82" i="97"/>
  <c r="AB83" i="97"/>
  <c r="I83" i="97" a="1"/>
  <c r="I83" i="97"/>
  <c r="J83" i="97"/>
  <c r="Z83" i="97" a="1"/>
  <c r="Z83" i="97"/>
  <c r="AA83" i="97" a="1"/>
  <c r="AA83" i="97"/>
  <c r="Z84" i="97" a="1"/>
  <c r="Z84" i="97"/>
  <c r="AA84" i="97" a="1"/>
  <c r="AA84" i="97"/>
  <c r="C85" i="97"/>
  <c r="Z85" i="97" a="1"/>
  <c r="Z85" i="97"/>
  <c r="AA85" i="97" a="1"/>
  <c r="AA85" i="97"/>
  <c r="Z86" i="97" a="1"/>
  <c r="Z86" i="97"/>
  <c r="AA86" i="97" a="1"/>
  <c r="AA86" i="97"/>
  <c r="AB87" i="97"/>
  <c r="Z88" i="97" a="1"/>
  <c r="Z88" i="97"/>
  <c r="AA88" i="97" a="1"/>
  <c r="AA88" i="97"/>
  <c r="C89" i="97"/>
  <c r="I89" i="97" a="1"/>
  <c r="I89" i="97"/>
  <c r="J89" i="97"/>
  <c r="M89" i="97" a="1"/>
  <c r="M89" i="97"/>
  <c r="N89" i="97"/>
  <c r="Z89" i="97" a="1"/>
  <c r="Z89" i="97"/>
  <c r="AA89" i="97" a="1"/>
  <c r="AA89" i="97"/>
  <c r="Z90" i="97" a="1"/>
  <c r="Z90" i="97"/>
  <c r="AA90" i="97" a="1"/>
  <c r="AA90" i="97"/>
  <c r="AB91" i="97"/>
  <c r="Z92" i="97" a="1"/>
  <c r="Z92" i="97"/>
  <c r="AA92" i="97" a="1"/>
  <c r="AA92" i="97"/>
  <c r="C93" i="97"/>
  <c r="M93" i="97" a="1"/>
  <c r="M93" i="97"/>
  <c r="N93" i="97"/>
  <c r="Z93" i="97" a="1"/>
  <c r="Z93" i="97"/>
  <c r="AA93" i="97" a="1"/>
  <c r="AA93" i="97"/>
  <c r="Z94" i="97" a="1"/>
  <c r="Z94" i="97"/>
  <c r="AA94" i="97" a="1"/>
  <c r="AA94" i="97"/>
  <c r="AB95" i="97"/>
  <c r="Z95" i="97" a="1"/>
  <c r="Z95" i="97"/>
  <c r="AA95" i="97" a="1"/>
  <c r="AA95" i="97"/>
  <c r="Z96" i="97" a="1"/>
  <c r="Z96" i="97"/>
  <c r="AA96" i="97" a="1"/>
  <c r="AA96" i="97"/>
  <c r="C97" i="97"/>
  <c r="M97" i="97" a="1"/>
  <c r="M97" i="97"/>
  <c r="N97" i="97"/>
  <c r="Z97" i="97" a="1"/>
  <c r="Z97" i="97"/>
  <c r="AA97" i="97" a="1"/>
  <c r="AA97" i="97"/>
  <c r="Z98" i="97" a="1"/>
  <c r="Z98" i="97"/>
  <c r="AA98" i="97" a="1"/>
  <c r="AA98" i="97"/>
  <c r="AB99" i="97"/>
  <c r="Z100" i="97" a="1"/>
  <c r="Z100" i="97"/>
  <c r="AA100" i="97" a="1"/>
  <c r="AA100" i="97"/>
  <c r="C101" i="97"/>
  <c r="C238" i="97"/>
  <c r="M101" i="97" a="1"/>
  <c r="M101" i="97"/>
  <c r="N101" i="97"/>
  <c r="Z101" i="97" a="1"/>
  <c r="Z101" i="97"/>
  <c r="AA101" i="97" a="1"/>
  <c r="AA101" i="97"/>
  <c r="Z102" i="97" a="1"/>
  <c r="Z102" i="97"/>
  <c r="AA102" i="97" a="1"/>
  <c r="AA102" i="97"/>
  <c r="AB103" i="97"/>
  <c r="Z104" i="97" a="1"/>
  <c r="Z104" i="97"/>
  <c r="AA104" i="97" a="1"/>
  <c r="AA104" i="97"/>
  <c r="C105" i="97"/>
  <c r="Z105" i="97" a="1"/>
  <c r="Z105" i="97"/>
  <c r="AA105" i="97" a="1"/>
  <c r="AA105" i="97"/>
  <c r="Z106" i="97" a="1"/>
  <c r="Z106" i="97"/>
  <c r="AA106" i="97" a="1"/>
  <c r="AA106" i="97"/>
  <c r="AB107" i="97"/>
  <c r="Z107" i="97" a="1"/>
  <c r="Z107" i="97"/>
  <c r="AA107" i="97" a="1"/>
  <c r="AA107" i="97"/>
  <c r="Z108" i="97" a="1"/>
  <c r="Z108" i="97"/>
  <c r="AA108" i="97" a="1"/>
  <c r="AA108" i="97"/>
  <c r="C109" i="97"/>
  <c r="Z109" i="97" a="1"/>
  <c r="Z109" i="97"/>
  <c r="AA109" i="97" a="1"/>
  <c r="AA109" i="97"/>
  <c r="Z110" i="97" a="1"/>
  <c r="Z110" i="97"/>
  <c r="AA110" i="97" a="1"/>
  <c r="AA110" i="97"/>
  <c r="AB111" i="97"/>
  <c r="I111" i="97" a="1"/>
  <c r="I111" i="97"/>
  <c r="J111" i="97"/>
  <c r="M111" i="97" a="1"/>
  <c r="M111" i="97"/>
  <c r="N111" i="97"/>
  <c r="Z111" i="97" a="1"/>
  <c r="Z111" i="97"/>
  <c r="AA111" i="97" a="1"/>
  <c r="AA111" i="97"/>
  <c r="Z112" i="97" a="1"/>
  <c r="Z112" i="97"/>
  <c r="AA112" i="97" a="1"/>
  <c r="AA112" i="97"/>
  <c r="C113" i="97"/>
  <c r="Z113" i="97" a="1"/>
  <c r="Z113" i="97"/>
  <c r="AA113" i="97" a="1"/>
  <c r="AA113" i="97"/>
  <c r="Z114" i="97" a="1"/>
  <c r="Z114" i="97"/>
  <c r="AA114" i="97" a="1"/>
  <c r="AA114" i="97"/>
  <c r="AB115" i="97"/>
  <c r="Z116" i="97" a="1"/>
  <c r="Z116" i="97"/>
  <c r="AA116" i="97" a="1"/>
  <c r="AA116" i="97"/>
  <c r="C117" i="97"/>
  <c r="M117" i="97" a="1"/>
  <c r="M117" i="97"/>
  <c r="N117" i="97"/>
  <c r="Q117" i="97"/>
  <c r="Z117" i="97" a="1"/>
  <c r="Z117" i="97"/>
  <c r="AA117" i="97" a="1"/>
  <c r="AA117" i="97"/>
  <c r="C118" i="97"/>
  <c r="Q118" i="97"/>
  <c r="Z118" i="97" a="1"/>
  <c r="Z118" i="97"/>
  <c r="AA118" i="97" a="1"/>
  <c r="AA118" i="97"/>
  <c r="C119" i="97"/>
  <c r="C244" i="97"/>
  <c r="M119" i="97" a="1"/>
  <c r="M119" i="97"/>
  <c r="N119" i="97"/>
  <c r="Q119" i="97"/>
  <c r="Z119" i="97" a="1"/>
  <c r="Z119" i="97"/>
  <c r="AA119" i="97" a="1"/>
  <c r="AA119" i="97"/>
  <c r="C120" i="97"/>
  <c r="C245" i="97"/>
  <c r="I120" i="97" a="1"/>
  <c r="I120" i="97"/>
  <c r="J120" i="97"/>
  <c r="Q120" i="97"/>
  <c r="Z120" i="97" a="1"/>
  <c r="Z120" i="97"/>
  <c r="AA120" i="97" a="1"/>
  <c r="AA120" i="97"/>
  <c r="C121" i="97"/>
  <c r="C246" i="97"/>
  <c r="M121" i="97" a="1"/>
  <c r="M121" i="97"/>
  <c r="N121" i="97"/>
  <c r="Q121" i="97"/>
  <c r="Z121" i="97" a="1"/>
  <c r="Z121" i="97"/>
  <c r="AA121" i="97" a="1"/>
  <c r="AA121" i="97"/>
  <c r="C122" i="97"/>
  <c r="Q122" i="97"/>
  <c r="Z122" i="97" a="1"/>
  <c r="Z122" i="97"/>
  <c r="AA122" i="97" a="1"/>
  <c r="AA122" i="97"/>
  <c r="C123" i="97"/>
  <c r="I123" i="97" a="1"/>
  <c r="I123" i="97"/>
  <c r="J123" i="97"/>
  <c r="M123" i="97" a="1"/>
  <c r="M123" i="97"/>
  <c r="N123" i="97"/>
  <c r="Q123" i="97"/>
  <c r="Z123" i="97" a="1"/>
  <c r="Z123" i="97"/>
  <c r="AA123" i="97" a="1"/>
  <c r="AA123" i="97"/>
  <c r="C124" i="97"/>
  <c r="C249" i="97"/>
  <c r="M124" i="97" a="1"/>
  <c r="M124" i="97"/>
  <c r="N124" i="97"/>
  <c r="Q124" i="97"/>
  <c r="Z124" i="97" a="1"/>
  <c r="Z124" i="97"/>
  <c r="AA124" i="97" a="1"/>
  <c r="AA124" i="97"/>
  <c r="C125" i="97"/>
  <c r="M125" i="97" a="1"/>
  <c r="M125" i="97"/>
  <c r="N125" i="97"/>
  <c r="Z125" i="97" a="1"/>
  <c r="Z125" i="97"/>
  <c r="AA125" i="97" a="1"/>
  <c r="AA125" i="97"/>
  <c r="C126" i="97"/>
  <c r="Z126" i="97" a="1"/>
  <c r="Z126" i="97"/>
  <c r="AA126" i="97" a="1"/>
  <c r="AA126" i="97"/>
  <c r="C127" i="97"/>
  <c r="M127" i="97" a="1"/>
  <c r="M127" i="97"/>
  <c r="N127" i="97"/>
  <c r="Z127" i="97" a="1"/>
  <c r="Z127" i="97"/>
  <c r="AA127" i="97" a="1"/>
  <c r="AA127" i="97"/>
  <c r="C128" i="97"/>
  <c r="I128" i="97" a="1"/>
  <c r="I128" i="97"/>
  <c r="J128" i="97"/>
  <c r="Z128" i="97" a="1"/>
  <c r="Z128" i="97"/>
  <c r="AA128" i="97" a="1"/>
  <c r="AA128" i="97"/>
  <c r="C129" i="97"/>
  <c r="M129" i="97" a="1"/>
  <c r="M129" i="97"/>
  <c r="N129" i="97"/>
  <c r="Z129" i="97" a="1"/>
  <c r="Z129" i="97"/>
  <c r="AA129" i="97" a="1"/>
  <c r="AA129" i="97"/>
  <c r="C130" i="97"/>
  <c r="Z130" i="97" a="1"/>
  <c r="Z130" i="97"/>
  <c r="AA130" i="97" a="1"/>
  <c r="AA130" i="97"/>
  <c r="C131" i="97"/>
  <c r="I131" i="97" a="1"/>
  <c r="I131" i="97"/>
  <c r="J131" i="97"/>
  <c r="Z131" i="97" a="1"/>
  <c r="Z131" i="97"/>
  <c r="AA131" i="97" a="1"/>
  <c r="AA131" i="97"/>
  <c r="C132" i="97"/>
  <c r="Z132" i="97" a="1"/>
  <c r="Z132" i="97"/>
  <c r="AA132" i="97" a="1"/>
  <c r="AA132" i="97"/>
  <c r="C133" i="97"/>
  <c r="M133" i="97" a="1"/>
  <c r="M133" i="97"/>
  <c r="N133" i="97"/>
  <c r="Z133" i="97" a="1"/>
  <c r="Z133" i="97"/>
  <c r="AA133" i="97" a="1"/>
  <c r="AA133" i="97"/>
  <c r="C134" i="97"/>
  <c r="Z134" i="97" a="1"/>
  <c r="Z134" i="97"/>
  <c r="AA134" i="97" a="1"/>
  <c r="AA134" i="97"/>
  <c r="C135" i="97"/>
  <c r="C284" i="97"/>
  <c r="Z135" i="97" a="1"/>
  <c r="Z135" i="97"/>
  <c r="AA135" i="97" a="1"/>
  <c r="AA135" i="97"/>
  <c r="C136" i="97"/>
  <c r="C285" i="97"/>
  <c r="I136" i="97" a="1"/>
  <c r="I136" i="97"/>
  <c r="J136" i="97"/>
  <c r="Z136" i="97" a="1"/>
  <c r="Z136" i="97"/>
  <c r="AA136" i="97" a="1"/>
  <c r="AA136" i="97"/>
  <c r="C137" i="97"/>
  <c r="C286" i="97"/>
  <c r="Z137" i="97" a="1"/>
  <c r="Z137" i="97"/>
  <c r="AA137" i="97" a="1"/>
  <c r="AA137" i="97"/>
  <c r="C138" i="97"/>
  <c r="C287" i="97"/>
  <c r="M138" i="97" a="1"/>
  <c r="M138" i="97"/>
  <c r="N138" i="97"/>
  <c r="Z138" i="97" a="1"/>
  <c r="Z138" i="97"/>
  <c r="AA138" i="97" a="1"/>
  <c r="AA138" i="97"/>
  <c r="C139" i="97"/>
  <c r="M139" i="97" a="1"/>
  <c r="M139" i="97"/>
  <c r="N139" i="97"/>
  <c r="Z139" i="97" a="1"/>
  <c r="Z139" i="97"/>
  <c r="AA139" i="97" a="1"/>
  <c r="AA139" i="97"/>
  <c r="C140" i="97"/>
  <c r="C289" i="97"/>
  <c r="Z140" i="97" a="1"/>
  <c r="Z140" i="97"/>
  <c r="AA140" i="97" a="1"/>
  <c r="AA140" i="97"/>
  <c r="C141" i="97"/>
  <c r="Z141" i="97" a="1"/>
  <c r="Z141" i="97"/>
  <c r="AA141" i="97" a="1"/>
  <c r="AA141" i="97"/>
  <c r="C142" i="97"/>
  <c r="C253" i="97"/>
  <c r="Z142" i="97" a="1"/>
  <c r="Z142" i="97"/>
  <c r="AA142" i="97" a="1"/>
  <c r="AA142" i="97"/>
  <c r="C143" i="97"/>
  <c r="M143" i="97" a="1"/>
  <c r="M143" i="97"/>
  <c r="N143" i="97"/>
  <c r="Z143" i="97" a="1"/>
  <c r="Z143" i="97"/>
  <c r="AA143" i="97" a="1"/>
  <c r="AA143" i="97"/>
  <c r="C144" i="97"/>
  <c r="C261" i="97"/>
  <c r="I144" i="97" a="1"/>
  <c r="I144" i="97"/>
  <c r="J144" i="97"/>
  <c r="Z144" i="97" a="1"/>
  <c r="Z144" i="97"/>
  <c r="AA144" i="97" a="1"/>
  <c r="AA144" i="97"/>
  <c r="C145" i="97"/>
  <c r="M145" i="97" a="1"/>
  <c r="M145" i="97"/>
  <c r="N145" i="97"/>
  <c r="Z145" i="97" a="1"/>
  <c r="Z145" i="97"/>
  <c r="AA145" i="97" a="1"/>
  <c r="AA145" i="97"/>
  <c r="C146" i="97"/>
  <c r="Z146" i="97" a="1"/>
  <c r="Z146" i="97"/>
  <c r="AA146" i="97" a="1"/>
  <c r="AA146" i="97"/>
  <c r="C147" i="97"/>
  <c r="C276" i="97"/>
  <c r="Z147" i="97" a="1"/>
  <c r="Z147" i="97"/>
  <c r="AA147" i="97" a="1"/>
  <c r="AA147" i="97"/>
  <c r="C148" i="97"/>
  <c r="C277" i="97"/>
  <c r="Z148" i="97" a="1"/>
  <c r="Z148" i="97"/>
  <c r="AA148" i="97" a="1"/>
  <c r="AA148" i="97"/>
  <c r="C149" i="97"/>
  <c r="C254" i="97"/>
  <c r="M149" i="97" a="1"/>
  <c r="M149" i="97"/>
  <c r="N149" i="97"/>
  <c r="Z149" i="97" a="1"/>
  <c r="Z149" i="97"/>
  <c r="AA149" i="97" a="1"/>
  <c r="AA149" i="97"/>
  <c r="C150" i="97"/>
  <c r="Z150" i="97" a="1"/>
  <c r="Z150" i="97"/>
  <c r="AA150" i="97" a="1"/>
  <c r="AA150" i="97"/>
  <c r="C151" i="97"/>
  <c r="C262" i="97"/>
  <c r="M151" i="97" a="1"/>
  <c r="M151" i="97"/>
  <c r="N151" i="97"/>
  <c r="Z151" i="97" a="1"/>
  <c r="Z151" i="97"/>
  <c r="AA151" i="97" a="1"/>
  <c r="AA151" i="97"/>
  <c r="C152" i="97"/>
  <c r="I152" i="97" a="1"/>
  <c r="I152" i="97"/>
  <c r="J152" i="97"/>
  <c r="Z152" i="97" a="1"/>
  <c r="Z152" i="97"/>
  <c r="AA152" i="97" a="1"/>
  <c r="AA152" i="97"/>
  <c r="C153" i="97"/>
  <c r="M153" i="97" a="1"/>
  <c r="M153" i="97"/>
  <c r="N153" i="97"/>
  <c r="Z153" i="97" a="1"/>
  <c r="Z153" i="97"/>
  <c r="AA153" i="97" a="1"/>
  <c r="AA153" i="97"/>
  <c r="C154" i="97"/>
  <c r="Z154" i="97" a="1"/>
  <c r="Z154" i="97"/>
  <c r="AA154" i="97" a="1"/>
  <c r="AA154" i="97"/>
  <c r="C155" i="97"/>
  <c r="C278" i="97"/>
  <c r="I155" i="97" a="1"/>
  <c r="I155" i="97"/>
  <c r="J155" i="97"/>
  <c r="M155" i="97" a="1"/>
  <c r="M155" i="97"/>
  <c r="N155" i="97"/>
  <c r="Z155" i="97" a="1"/>
  <c r="Z155" i="97"/>
  <c r="AA155" i="97" a="1"/>
  <c r="AA155" i="97"/>
  <c r="C156" i="97"/>
  <c r="C279" i="97"/>
  <c r="M156" i="97" a="1"/>
  <c r="M156" i="97"/>
  <c r="N156" i="97"/>
  <c r="Z156" i="97" a="1"/>
  <c r="Z156" i="97"/>
  <c r="AA156" i="97" a="1"/>
  <c r="AA156" i="97"/>
  <c r="C157" i="97"/>
  <c r="C256" i="97"/>
  <c r="M157" i="97" a="1"/>
  <c r="M157" i="97"/>
  <c r="N157" i="97"/>
  <c r="Z157" i="97" a="1"/>
  <c r="Z157" i="97"/>
  <c r="AA157" i="97" a="1"/>
  <c r="AA157" i="97"/>
  <c r="C158" i="97"/>
  <c r="C257" i="97"/>
  <c r="Z158" i="97" a="1"/>
  <c r="Z158" i="97"/>
  <c r="AA158" i="97" a="1"/>
  <c r="AA158" i="97"/>
  <c r="C159" i="97"/>
  <c r="Z159" i="97" a="1"/>
  <c r="Z159" i="97"/>
  <c r="AA159" i="97" a="1"/>
  <c r="AA159" i="97"/>
  <c r="C160" i="97"/>
  <c r="I160" i="97" a="1"/>
  <c r="I160" i="97"/>
  <c r="J160" i="97"/>
  <c r="Z160" i="97" a="1"/>
  <c r="Z160" i="97"/>
  <c r="AA160" i="97" a="1"/>
  <c r="AA160" i="97"/>
  <c r="C161" i="97"/>
  <c r="M161" i="97" a="1"/>
  <c r="M161" i="97"/>
  <c r="N161" i="97"/>
  <c r="Z161" i="97" a="1"/>
  <c r="Z161" i="97"/>
  <c r="AA161" i="97" a="1"/>
  <c r="AA161" i="97"/>
  <c r="C162" i="97"/>
  <c r="C273" i="97"/>
  <c r="Z162" i="97" a="1"/>
  <c r="Z162" i="97"/>
  <c r="AA162" i="97" a="1"/>
  <c r="AA162" i="97"/>
  <c r="C163" i="97"/>
  <c r="C280" i="97"/>
  <c r="I163" i="97" a="1"/>
  <c r="I163" i="97"/>
  <c r="J163" i="97"/>
  <c r="Z163" i="97" a="1"/>
  <c r="Z163" i="97"/>
  <c r="AA163" i="97" a="1"/>
  <c r="AA163" i="97"/>
  <c r="C164" i="97"/>
  <c r="C281" i="97"/>
  <c r="Z164" i="97" a="1"/>
  <c r="Z164" i="97"/>
  <c r="AA164" i="97" a="1"/>
  <c r="AA164" i="97"/>
  <c r="C176" i="97"/>
  <c r="C177" i="97"/>
  <c r="C178" i="97"/>
  <c r="C179" i="97"/>
  <c r="C180" i="97"/>
  <c r="C181" i="97"/>
  <c r="C182" i="97"/>
  <c r="C183" i="97"/>
  <c r="C184" i="97"/>
  <c r="C185" i="97"/>
  <c r="C186" i="97"/>
  <c r="C187" i="97"/>
  <c r="C189" i="97"/>
  <c r="C190" i="97"/>
  <c r="C191" i="97"/>
  <c r="C192" i="97"/>
  <c r="C194" i="97"/>
  <c r="C195" i="97"/>
  <c r="C196" i="97"/>
  <c r="C197" i="97"/>
  <c r="C198" i="97"/>
  <c r="C199" i="97"/>
  <c r="C200" i="97"/>
  <c r="C201" i="97"/>
  <c r="C202" i="97"/>
  <c r="C203" i="97"/>
  <c r="C204" i="97"/>
  <c r="C205" i="97"/>
  <c r="C206" i="97"/>
  <c r="C207" i="97"/>
  <c r="C208" i="97"/>
  <c r="C209" i="97"/>
  <c r="C211" i="97"/>
  <c r="C212" i="97"/>
  <c r="C213" i="97"/>
  <c r="C214" i="97"/>
  <c r="C215" i="97"/>
  <c r="C216" i="97"/>
  <c r="C217" i="97"/>
  <c r="C218" i="97"/>
  <c r="C219" i="97"/>
  <c r="C220" i="97"/>
  <c r="C223" i="97"/>
  <c r="C224" i="97"/>
  <c r="C226" i="97"/>
  <c r="C228" i="97"/>
  <c r="C229" i="97"/>
  <c r="C230" i="97"/>
  <c r="C231" i="97"/>
  <c r="C232" i="97"/>
  <c r="C233" i="97"/>
  <c r="C234" i="97"/>
  <c r="C235" i="97"/>
  <c r="C236" i="97"/>
  <c r="C237" i="97"/>
  <c r="C239" i="97"/>
  <c r="C240" i="97"/>
  <c r="C241" i="97"/>
  <c r="C242" i="97"/>
  <c r="C243" i="97"/>
  <c r="C247" i="97"/>
  <c r="C248" i="97"/>
  <c r="C250" i="97"/>
  <c r="C251" i="97"/>
  <c r="C252" i="97"/>
  <c r="C255" i="97"/>
  <c r="C258" i="97"/>
  <c r="C259" i="97"/>
  <c r="C260" i="97"/>
  <c r="C263" i="97"/>
  <c r="C264" i="97"/>
  <c r="C265" i="97"/>
  <c r="C266" i="97"/>
  <c r="C267" i="97"/>
  <c r="C268" i="97"/>
  <c r="C269" i="97"/>
  <c r="C270" i="97"/>
  <c r="C271" i="97"/>
  <c r="C272" i="97"/>
  <c r="C274" i="97"/>
  <c r="C275" i="97"/>
  <c r="C282" i="97"/>
  <c r="C283" i="97"/>
  <c r="C288" i="97"/>
  <c r="B7" i="96"/>
  <c r="C86" i="96"/>
  <c r="R7" i="96"/>
  <c r="Q7" i="96"/>
  <c r="R19" i="96"/>
  <c r="Q19" i="96"/>
  <c r="B9" i="96"/>
  <c r="C87" i="96"/>
  <c r="R9" i="96"/>
  <c r="R43" i="96"/>
  <c r="Q43" i="96"/>
  <c r="B11" i="96"/>
  <c r="C88" i="96"/>
  <c r="R11" i="96"/>
  <c r="R21" i="96"/>
  <c r="Q21" i="96"/>
  <c r="B13" i="96"/>
  <c r="C89" i="96"/>
  <c r="R13" i="96"/>
  <c r="Q13" i="96"/>
  <c r="B15" i="96"/>
  <c r="R15" i="96"/>
  <c r="Q15" i="96"/>
  <c r="B16" i="96"/>
  <c r="R16" i="96"/>
  <c r="Q16" i="96"/>
  <c r="B17" i="96"/>
  <c r="R17" i="96"/>
  <c r="Q17" i="96"/>
  <c r="B18" i="96"/>
  <c r="R18" i="96"/>
  <c r="Q18" i="96"/>
  <c r="B19" i="96"/>
  <c r="B20" i="96"/>
  <c r="B21" i="96"/>
  <c r="C96" i="96"/>
  <c r="B22" i="96"/>
  <c r="C97" i="96"/>
  <c r="R22" i="96"/>
  <c r="Q22" i="96"/>
  <c r="B23" i="96"/>
  <c r="C98" i="96"/>
  <c r="R23" i="96"/>
  <c r="Q23" i="96"/>
  <c r="B27" i="96"/>
  <c r="R27" i="96"/>
  <c r="Q27" i="96"/>
  <c r="B31" i="96"/>
  <c r="R31" i="96"/>
  <c r="Q31" i="96"/>
  <c r="B35" i="96"/>
  <c r="C101" i="96"/>
  <c r="R35" i="96"/>
  <c r="Q35" i="96"/>
  <c r="B39" i="96"/>
  <c r="R39" i="96"/>
  <c r="Q39" i="96"/>
  <c r="B43" i="96"/>
  <c r="C103" i="96"/>
  <c r="B47" i="96"/>
  <c r="B51" i="96"/>
  <c r="R51" i="96"/>
  <c r="Q51" i="96"/>
  <c r="B55" i="96"/>
  <c r="C106" i="96"/>
  <c r="Q55" i="96"/>
  <c r="B56" i="96"/>
  <c r="Q56" i="96"/>
  <c r="B57" i="96"/>
  <c r="C108" i="96"/>
  <c r="R57" i="96"/>
  <c r="Q57" i="96"/>
  <c r="G58" i="96"/>
  <c r="B58" i="96"/>
  <c r="C109" i="96"/>
  <c r="R58" i="96"/>
  <c r="Q58" i="96"/>
  <c r="G59" i="96"/>
  <c r="B59" i="96"/>
  <c r="C110" i="96"/>
  <c r="R59" i="96"/>
  <c r="Q59" i="96"/>
  <c r="G60" i="96"/>
  <c r="B60" i="96"/>
  <c r="C111" i="96"/>
  <c r="R60" i="96"/>
  <c r="Q60" i="96"/>
  <c r="G61" i="96"/>
  <c r="B61" i="96"/>
  <c r="C112" i="96"/>
  <c r="R61" i="96"/>
  <c r="Q61" i="96"/>
  <c r="G62" i="96"/>
  <c r="B62" i="96"/>
  <c r="C113" i="96"/>
  <c r="R62" i="96"/>
  <c r="Q62" i="96"/>
  <c r="G63" i="96"/>
  <c r="B63" i="96"/>
  <c r="R63" i="96"/>
  <c r="Q63" i="96"/>
  <c r="G64" i="96"/>
  <c r="B64" i="96"/>
  <c r="C115" i="96"/>
  <c r="R64" i="96"/>
  <c r="Q64" i="96"/>
  <c r="G65" i="96"/>
  <c r="B65" i="96"/>
  <c r="C116" i="96"/>
  <c r="R65" i="96"/>
  <c r="Q65" i="96"/>
  <c r="G66" i="96"/>
  <c r="B66" i="96"/>
  <c r="R66" i="96"/>
  <c r="Q66" i="96"/>
  <c r="G67" i="96"/>
  <c r="B67" i="96"/>
  <c r="C118" i="96"/>
  <c r="R67" i="96"/>
  <c r="Q67" i="96"/>
  <c r="G68" i="96"/>
  <c r="B68" i="96"/>
  <c r="C119" i="96"/>
  <c r="R68" i="96"/>
  <c r="Q68" i="96"/>
  <c r="G69" i="96"/>
  <c r="B69" i="96"/>
  <c r="C120" i="96"/>
  <c r="R69" i="96"/>
  <c r="Q69" i="96"/>
  <c r="G70" i="96"/>
  <c r="B70" i="96"/>
  <c r="C121" i="96"/>
  <c r="R70" i="96"/>
  <c r="Q70" i="96"/>
  <c r="B71" i="96"/>
  <c r="C122" i="96"/>
  <c r="H71" i="96"/>
  <c r="Q71" i="96"/>
  <c r="G73" i="96"/>
  <c r="B73" i="96"/>
  <c r="C123" i="96"/>
  <c r="H73" i="96"/>
  <c r="Q73" i="96"/>
  <c r="G75" i="96"/>
  <c r="B75" i="96"/>
  <c r="C124" i="96"/>
  <c r="H75" i="96"/>
  <c r="Q75" i="96"/>
  <c r="C90" i="96"/>
  <c r="C91" i="96"/>
  <c r="C92" i="96"/>
  <c r="C93" i="96"/>
  <c r="C94" i="96"/>
  <c r="C95" i="96"/>
  <c r="C99" i="96"/>
  <c r="C100" i="96"/>
  <c r="C102" i="96"/>
  <c r="C104" i="96"/>
  <c r="C105" i="96"/>
  <c r="C107" i="96"/>
  <c r="C114" i="96"/>
  <c r="C117" i="96"/>
  <c r="M160" i="97" a="1"/>
  <c r="M160" i="97"/>
  <c r="N160" i="97"/>
  <c r="M144" i="97" a="1"/>
  <c r="M144" i="97"/>
  <c r="N144" i="97"/>
  <c r="M120" i="97" a="1"/>
  <c r="M120" i="97"/>
  <c r="N120" i="97"/>
  <c r="M152" i="97" a="1"/>
  <c r="M152" i="97"/>
  <c r="N152" i="97"/>
  <c r="M136" i="97" a="1"/>
  <c r="M136" i="97"/>
  <c r="N136" i="97"/>
  <c r="M128" i="97" a="1"/>
  <c r="M128" i="97"/>
  <c r="N128" i="97"/>
  <c r="M10" i="97" a="1"/>
  <c r="M10" i="97"/>
  <c r="N10" i="97"/>
  <c r="M118" i="97" a="1"/>
  <c r="M118" i="97"/>
  <c r="N118" i="97"/>
  <c r="M150" i="97" a="1"/>
  <c r="M150" i="97"/>
  <c r="N150" i="97"/>
  <c r="M158" i="97" a="1"/>
  <c r="M158" i="97"/>
  <c r="N158" i="97"/>
  <c r="M79" i="97" a="1"/>
  <c r="M79" i="97"/>
  <c r="N79" i="97"/>
  <c r="M142" i="97" a="1"/>
  <c r="M142" i="97"/>
  <c r="N142" i="97"/>
  <c r="M126" i="97" a="1"/>
  <c r="M126" i="97"/>
  <c r="N126" i="97"/>
  <c r="M137" i="97" a="1"/>
  <c r="M137" i="97"/>
  <c r="N137" i="97"/>
  <c r="M99" i="97" a="1"/>
  <c r="M99" i="97"/>
  <c r="N99" i="97"/>
  <c r="M20" i="97" a="1"/>
  <c r="M20" i="97"/>
  <c r="N20" i="97"/>
  <c r="M38" i="97" a="1"/>
  <c r="M38" i="97"/>
  <c r="N38" i="97"/>
  <c r="M39" i="97" a="1"/>
  <c r="M39" i="97"/>
  <c r="N39" i="97"/>
  <c r="M148" i="97" a="1"/>
  <c r="M148" i="97"/>
  <c r="N148" i="97"/>
  <c r="M163" i="97" a="1"/>
  <c r="M163" i="97"/>
  <c r="N163" i="97"/>
  <c r="M71" i="97" a="1"/>
  <c r="M71" i="97"/>
  <c r="N71" i="97"/>
  <c r="M22" i="97" a="1"/>
  <c r="M22" i="97"/>
  <c r="N22" i="97"/>
  <c r="R135" i="97" a="1"/>
  <c r="R135" i="97"/>
  <c r="M21" i="97" a="1"/>
  <c r="M21" i="97"/>
  <c r="N21" i="97"/>
  <c r="M147" i="97" a="1"/>
  <c r="M147" i="97"/>
  <c r="N147" i="97"/>
  <c r="I107" i="97" a="1"/>
  <c r="I107" i="97"/>
  <c r="J107" i="97"/>
  <c r="M45" i="97" a="1"/>
  <c r="M45" i="97"/>
  <c r="N45" i="97"/>
  <c r="M131" i="97" a="1"/>
  <c r="M131" i="97"/>
  <c r="N131" i="97"/>
  <c r="M107" i="97" a="1"/>
  <c r="M107" i="97"/>
  <c r="N107" i="97"/>
  <c r="AL14" i="97"/>
  <c r="M130" i="97" a="1"/>
  <c r="M130" i="97"/>
  <c r="N130" i="97"/>
  <c r="M58" i="97" a="1"/>
  <c r="M58" i="97"/>
  <c r="N58" i="97"/>
  <c r="I105" i="97" a="1"/>
  <c r="I105" i="97"/>
  <c r="J105" i="97"/>
  <c r="M140" i="97" a="1"/>
  <c r="M140" i="97"/>
  <c r="N140" i="97"/>
  <c r="AN12" i="97"/>
  <c r="M146" i="97" a="1"/>
  <c r="M146" i="97"/>
  <c r="N146" i="97"/>
  <c r="M95" i="97" a="1"/>
  <c r="M95" i="97"/>
  <c r="N95" i="97"/>
  <c r="M103" i="97" a="1"/>
  <c r="M103" i="97"/>
  <c r="N103" i="97"/>
  <c r="R133" i="97" a="1"/>
  <c r="R133" i="97"/>
  <c r="M49" i="97" a="1"/>
  <c r="M49" i="97"/>
  <c r="N49" i="97"/>
  <c r="M72" i="97" a="1"/>
  <c r="M72" i="97"/>
  <c r="N72" i="97"/>
  <c r="M47" i="97" a="1"/>
  <c r="M47" i="97"/>
  <c r="N47" i="97"/>
  <c r="M154" i="97" a="1"/>
  <c r="M154" i="97"/>
  <c r="N154" i="97"/>
  <c r="M159" i="97" a="1"/>
  <c r="M159" i="97"/>
  <c r="N159" i="97"/>
  <c r="R127" i="97" a="1"/>
  <c r="R127" i="97"/>
  <c r="Q127" i="97"/>
  <c r="AN15" i="97"/>
  <c r="M61" i="97" a="1"/>
  <c r="M61" i="97"/>
  <c r="N61" i="97"/>
  <c r="M109" i="97" a="1"/>
  <c r="M109" i="97"/>
  <c r="N109" i="97"/>
  <c r="I23" i="97" a="1"/>
  <c r="I23" i="97"/>
  <c r="J23" i="97"/>
  <c r="R19" i="99"/>
  <c r="R39" i="97" a="1"/>
  <c r="R39" i="97"/>
  <c r="Q39" i="97"/>
  <c r="R35" i="97" a="1"/>
  <c r="R35" i="97"/>
  <c r="Q35" i="97"/>
  <c r="R23" i="99"/>
  <c r="R140" i="97" a="1"/>
  <c r="R140" i="97"/>
  <c r="P22" i="99"/>
  <c r="R51" i="97" a="1"/>
  <c r="R51" i="97"/>
  <c r="Q51" i="97"/>
  <c r="R129" i="97" a="1"/>
  <c r="R129" i="97"/>
  <c r="Q129" i="97"/>
  <c r="P20" i="99"/>
  <c r="R44" i="97" a="1"/>
  <c r="R44" i="97"/>
  <c r="Q44" i="97"/>
  <c r="R43" i="97" a="1"/>
  <c r="R43" i="97"/>
  <c r="Q43" i="97"/>
  <c r="R27" i="97" a="1"/>
  <c r="R27" i="97"/>
  <c r="R138" i="97" a="1"/>
  <c r="R138" i="97"/>
  <c r="R132" i="97" a="1"/>
  <c r="R132" i="97"/>
  <c r="Q132" i="97"/>
  <c r="R21" i="99"/>
  <c r="R111" i="97"/>
  <c r="P21" i="99"/>
  <c r="R73" i="97"/>
  <c r="Q73" i="97"/>
  <c r="R62" i="97" a="1"/>
  <c r="R62" i="97"/>
  <c r="Q62" i="97"/>
  <c r="R55" i="97" a="1"/>
  <c r="R55" i="97"/>
  <c r="Q55" i="97"/>
  <c r="R37" i="97" a="1"/>
  <c r="R37" i="97"/>
  <c r="Q37" i="97"/>
  <c r="R25" i="97" a="1"/>
  <c r="R25" i="97"/>
  <c r="R41" i="97" a="1"/>
  <c r="R41" i="97"/>
  <c r="Q41" i="97"/>
  <c r="R131" i="97" a="1"/>
  <c r="R131" i="97"/>
  <c r="Q131" i="97"/>
  <c r="R65" i="97" a="1"/>
  <c r="R65" i="97"/>
  <c r="Q65" i="97"/>
  <c r="R20" i="99"/>
  <c r="R46" i="97" a="1"/>
  <c r="R46" i="97"/>
  <c r="Q46" i="97"/>
  <c r="M28" i="97" a="1"/>
  <c r="M28" i="97"/>
  <c r="N28" i="97"/>
  <c r="M164" i="97" a="1"/>
  <c r="M164" i="97"/>
  <c r="N164" i="97"/>
  <c r="M44" i="98" a="1"/>
  <c r="M44" i="98"/>
  <c r="M52" i="98"/>
  <c r="N44" i="98" a="1"/>
  <c r="N44" i="98"/>
  <c r="N52" i="98"/>
  <c r="M14" i="98" a="1"/>
  <c r="M14" i="98"/>
  <c r="N14" i="98" a="1"/>
  <c r="N14" i="98"/>
  <c r="R24" i="97" a="1"/>
  <c r="R24" i="97"/>
  <c r="I18" i="97" a="1"/>
  <c r="I18" i="97"/>
  <c r="J18" i="97"/>
  <c r="M18" i="97" a="1"/>
  <c r="M18" i="97"/>
  <c r="N18" i="97"/>
  <c r="Z18" i="97" a="1"/>
  <c r="Z18" i="97"/>
  <c r="AA18" i="97" a="1"/>
  <c r="AA18" i="97"/>
  <c r="I99" i="97" a="1"/>
  <c r="I99" i="97"/>
  <c r="J99" i="97"/>
  <c r="Z99" i="97" a="1"/>
  <c r="Z99" i="97"/>
  <c r="AA99" i="97" a="1"/>
  <c r="AA99" i="97"/>
  <c r="K13" i="98" a="1"/>
  <c r="K13" i="98"/>
  <c r="L13" i="98" a="1"/>
  <c r="L13" i="98"/>
  <c r="R136" i="97" a="1"/>
  <c r="R136" i="97"/>
  <c r="I95" i="97" a="1"/>
  <c r="I95" i="97"/>
  <c r="J95" i="97"/>
  <c r="R38" i="97" a="1"/>
  <c r="R38" i="97"/>
  <c r="Q38" i="97"/>
  <c r="Z103" i="97" a="1"/>
  <c r="Z103" i="97"/>
  <c r="AA103" i="97" a="1"/>
  <c r="AA103" i="97"/>
  <c r="R103" i="97"/>
  <c r="M12" i="97" a="1"/>
  <c r="M12" i="97"/>
  <c r="N12" i="97"/>
  <c r="M83" i="97" a="1"/>
  <c r="M83" i="97"/>
  <c r="N83" i="97"/>
  <c r="M59" i="97" a="1"/>
  <c r="M59" i="97"/>
  <c r="N59" i="97"/>
  <c r="M23" i="97" a="1"/>
  <c r="M23" i="97"/>
  <c r="N23" i="97"/>
  <c r="R47" i="97" a="1"/>
  <c r="R47" i="97"/>
  <c r="Q47" i="97"/>
  <c r="R22" i="97" a="1"/>
  <c r="R22" i="97"/>
  <c r="Q11" i="96"/>
  <c r="Z115" i="97" a="1"/>
  <c r="Z115" i="97"/>
  <c r="AA115" i="97" a="1"/>
  <c r="AA115" i="97"/>
  <c r="M115" i="97" a="1"/>
  <c r="M115" i="97"/>
  <c r="R115" i="97"/>
  <c r="I147" i="97" a="1"/>
  <c r="I147" i="97"/>
  <c r="J147" i="97"/>
  <c r="I49" i="97" a="1"/>
  <c r="I49" i="97"/>
  <c r="J49" i="97"/>
  <c r="I25" i="97" a="1"/>
  <c r="I25" i="97"/>
  <c r="J25" i="97"/>
  <c r="I109" i="97" a="1"/>
  <c r="I109" i="97"/>
  <c r="J109" i="97"/>
  <c r="I139" i="97" a="1"/>
  <c r="I139" i="97"/>
  <c r="J139" i="97"/>
  <c r="I26" i="97" a="1"/>
  <c r="I26" i="97"/>
  <c r="J26" i="97"/>
  <c r="M26" i="97" a="1"/>
  <c r="M26" i="97"/>
  <c r="N26" i="97"/>
  <c r="Z26" i="97" a="1"/>
  <c r="Z26" i="97"/>
  <c r="AA26" i="97" a="1"/>
  <c r="AA26" i="97"/>
  <c r="R26" i="97" a="1"/>
  <c r="R26" i="97"/>
  <c r="R40" i="97" a="1"/>
  <c r="R40" i="97"/>
  <c r="Q40" i="97" a="1"/>
  <c r="Q40" i="97"/>
  <c r="Q9" i="96"/>
  <c r="N115" i="97"/>
  <c r="R20" i="97" a="1"/>
  <c r="R20" i="97"/>
  <c r="R20" i="96"/>
  <c r="Q20" i="96"/>
  <c r="R47" i="96"/>
  <c r="Q47" i="96"/>
  <c r="M87" i="97" a="1"/>
  <c r="M87" i="97"/>
  <c r="N87" i="97"/>
  <c r="Z87" i="97" a="1"/>
  <c r="Z87" i="97"/>
  <c r="AA87" i="97" a="1"/>
  <c r="AA87" i="97"/>
  <c r="R87" i="97"/>
  <c r="R19" i="97" a="1"/>
  <c r="R19" i="97"/>
  <c r="AL12" i="97"/>
  <c r="I14" i="97" a="1"/>
  <c r="I14" i="97"/>
  <c r="J14" i="97"/>
  <c r="P25" i="99"/>
  <c r="R159" i="97" a="1"/>
  <c r="R159" i="97"/>
  <c r="Q159" i="97"/>
  <c r="R125" i="97" a="1"/>
  <c r="R125" i="97"/>
  <c r="Q125" i="97"/>
  <c r="M105" i="97" a="1"/>
  <c r="M105" i="97"/>
  <c r="N105" i="97"/>
  <c r="I87" i="97" a="1"/>
  <c r="I87" i="97"/>
  <c r="J87" i="97"/>
  <c r="P19" i="99"/>
  <c r="R29" i="97" a="1"/>
  <c r="R29" i="97"/>
  <c r="Q29" i="97"/>
  <c r="M91" i="97" a="1"/>
  <c r="M91" i="97"/>
  <c r="N91" i="97"/>
  <c r="I91" i="97" a="1"/>
  <c r="I91" i="97"/>
  <c r="J91" i="97"/>
  <c r="Z91" i="97" a="1"/>
  <c r="Z91" i="97"/>
  <c r="AA91" i="97" a="1"/>
  <c r="AA91" i="97"/>
  <c r="I19" i="98" a="1"/>
  <c r="I19" i="98"/>
  <c r="J19" i="98" a="1"/>
  <c r="J19" i="98"/>
  <c r="I16" i="98" a="1"/>
  <c r="I16" i="98"/>
  <c r="J16" i="98" a="1"/>
  <c r="J16" i="98"/>
  <c r="I9" i="98" a="1"/>
  <c r="I9" i="98"/>
  <c r="I23" i="98"/>
  <c r="J9" i="98" a="1"/>
  <c r="J9" i="98"/>
  <c r="I12" i="97" a="1"/>
  <c r="I12" i="97"/>
  <c r="J12" i="97"/>
  <c r="I53" i="97" a="1"/>
  <c r="I53" i="97"/>
  <c r="J53" i="97"/>
  <c r="M29" i="98" a="1"/>
  <c r="M29" i="98"/>
  <c r="M57" i="98"/>
  <c r="N29" i="98" a="1"/>
  <c r="N29" i="98"/>
  <c r="N57" i="98"/>
  <c r="N42" i="98" a="1"/>
  <c r="N42" i="98"/>
  <c r="M21" i="98" a="1"/>
  <c r="M21" i="98"/>
  <c r="N21" i="98" a="1"/>
  <c r="N21" i="98"/>
  <c r="Z16" i="97" a="1"/>
  <c r="Z16" i="97"/>
  <c r="AA16" i="97" a="1"/>
  <c r="AA16" i="97"/>
  <c r="R20" i="98"/>
  <c r="Q20" i="98"/>
  <c r="M13" i="98" a="1"/>
  <c r="M13" i="98"/>
  <c r="N13" i="98" a="1"/>
  <c r="N13" i="98"/>
  <c r="M162" i="97" a="1"/>
  <c r="M162" i="97"/>
  <c r="N162" i="97"/>
  <c r="M141" i="97" a="1"/>
  <c r="M141" i="97"/>
  <c r="N141" i="97"/>
  <c r="M134" i="97" a="1"/>
  <c r="M134" i="97"/>
  <c r="N134" i="97"/>
  <c r="M113" i="97" a="1"/>
  <c r="M113" i="97"/>
  <c r="N113" i="97"/>
  <c r="I48" i="97" a="1"/>
  <c r="I48" i="97"/>
  <c r="J48" i="97"/>
  <c r="I15" i="97" a="1"/>
  <c r="I15" i="97"/>
  <c r="J15" i="97"/>
  <c r="AM13" i="97"/>
  <c r="M57" i="97" a="1"/>
  <c r="M57" i="97"/>
  <c r="N57" i="97"/>
  <c r="M50" i="97" a="1"/>
  <c r="M50" i="97"/>
  <c r="N50" i="97"/>
  <c r="AL13" i="97"/>
  <c r="M16" i="97" a="1"/>
  <c r="M16" i="97"/>
  <c r="N16" i="97"/>
  <c r="I17" i="98" a="1"/>
  <c r="I17" i="98"/>
  <c r="J17" i="98" a="1"/>
  <c r="J17" i="98"/>
  <c r="I12" i="98" a="1"/>
  <c r="I12" i="98"/>
  <c r="I11" i="98" a="1"/>
  <c r="I11" i="98"/>
  <c r="I24" i="98"/>
  <c r="J12" i="98" a="1"/>
  <c r="J12" i="98"/>
  <c r="J11" i="98" a="1"/>
  <c r="J11" i="98"/>
  <c r="I20" i="98" a="1"/>
  <c r="I20" i="98"/>
  <c r="J20" i="98" a="1"/>
  <c r="J20" i="98"/>
  <c r="R12" i="98"/>
  <c r="I66" i="97" a="1"/>
  <c r="I66" i="97"/>
  <c r="J66" i="97"/>
  <c r="M52" i="97" a="1"/>
  <c r="M52" i="97"/>
  <c r="N52" i="97"/>
  <c r="I34" i="97" a="1"/>
  <c r="I34" i="97"/>
  <c r="J34" i="97"/>
  <c r="Z72" i="97" a="1"/>
  <c r="Z72" i="97"/>
  <c r="AA72" i="97" a="1"/>
  <c r="AA72" i="97"/>
  <c r="R72" i="97" a="1"/>
  <c r="R72" i="97"/>
  <c r="Q72" i="97"/>
  <c r="AM14" i="97"/>
  <c r="I145" i="97" a="1"/>
  <c r="I145" i="97"/>
  <c r="J145" i="97"/>
  <c r="I57" i="97" a="1"/>
  <c r="I57" i="97"/>
  <c r="J57" i="97"/>
  <c r="M13" i="97" a="1"/>
  <c r="M13" i="97"/>
  <c r="N13" i="97"/>
  <c r="M85" i="97" a="1"/>
  <c r="M85" i="97"/>
  <c r="N85" i="97"/>
  <c r="AB7" i="98" a="1"/>
  <c r="AB7" i="98"/>
  <c r="AC7" i="98"/>
  <c r="Q19" i="99"/>
  <c r="R7" i="98"/>
  <c r="AL10" i="98"/>
  <c r="AB18" i="98"/>
  <c r="AC18" i="98"/>
  <c r="Q20" i="99"/>
  <c r="R18" i="98"/>
  <c r="Q18" i="98"/>
  <c r="AB32" i="98"/>
  <c r="AC32" i="98"/>
  <c r="Q21" i="99"/>
  <c r="R32" i="98"/>
  <c r="R46" i="98"/>
  <c r="AB15" i="98"/>
  <c r="AC15" i="98"/>
  <c r="AB22" i="98"/>
  <c r="AC22" i="98"/>
  <c r="AB8" i="98"/>
  <c r="AC8" i="98" a="1"/>
  <c r="AC8" i="98"/>
  <c r="AB26" i="98"/>
  <c r="AC26" i="98"/>
  <c r="AB30" i="98"/>
  <c r="AC30" i="98"/>
  <c r="I11" i="97" a="1"/>
  <c r="I11" i="97"/>
  <c r="J11" i="97"/>
  <c r="Z14" i="97" a="1"/>
  <c r="Z14" i="97"/>
  <c r="AA14" i="97" a="1"/>
  <c r="AA14" i="97"/>
  <c r="I10" i="98" a="1"/>
  <c r="I10" i="98"/>
  <c r="AM15" i="97"/>
  <c r="I115" i="97" a="1"/>
  <c r="I115" i="97"/>
  <c r="J115" i="97"/>
  <c r="M14" i="97" a="1"/>
  <c r="M14" i="97"/>
  <c r="N14" i="97"/>
  <c r="I13" i="98" a="1"/>
  <c r="I13" i="98"/>
  <c r="I25" i="98"/>
  <c r="J13" i="98" a="1"/>
  <c r="J13" i="98"/>
  <c r="J14" i="98" a="1"/>
  <c r="J14" i="98"/>
  <c r="I21" i="98" a="1"/>
  <c r="I21" i="98"/>
  <c r="J21" i="98" a="1"/>
  <c r="J21" i="98"/>
  <c r="R139" i="97" a="1"/>
  <c r="R139" i="97"/>
  <c r="P24" i="99"/>
  <c r="R144" i="97" a="1"/>
  <c r="R144" i="97"/>
  <c r="Q144" i="97"/>
  <c r="Q24" i="99"/>
  <c r="R24" i="99"/>
  <c r="R148" i="97" a="1"/>
  <c r="R148" i="97"/>
  <c r="Q148" i="97"/>
  <c r="R158" i="97" a="1"/>
  <c r="R158" i="97"/>
  <c r="Q158" i="97"/>
  <c r="Q25" i="99"/>
  <c r="R25" i="99"/>
  <c r="R161" i="97" a="1"/>
  <c r="R161" i="97"/>
  <c r="Q161" i="97"/>
  <c r="P26" i="99"/>
  <c r="R152" i="97" a="1"/>
  <c r="R152" i="97"/>
  <c r="Q152" i="97"/>
  <c r="R12" i="97" a="1"/>
  <c r="R12" i="97"/>
  <c r="Q26" i="99"/>
  <c r="R26" i="99"/>
  <c r="R156" i="97" a="1"/>
  <c r="R156" i="97"/>
  <c r="Q156" i="97"/>
  <c r="R36" i="97" a="1"/>
  <c r="R36" i="97"/>
  <c r="Q36" i="97"/>
  <c r="R42" i="97" a="1"/>
  <c r="R42" i="97"/>
  <c r="Q42" i="97"/>
  <c r="R48" i="97" a="1"/>
  <c r="R48" i="97"/>
  <c r="Q48" i="97"/>
  <c r="R64" i="97" a="1"/>
  <c r="R64" i="97"/>
  <c r="Q64" i="97"/>
  <c r="R44" i="98"/>
  <c r="R52" i="98"/>
  <c r="R38" i="98"/>
  <c r="Q38" i="98"/>
  <c r="R54" i="97" a="1"/>
  <c r="R54" i="97"/>
  <c r="Q54" i="97"/>
  <c r="Q22" i="99"/>
  <c r="R22" i="99"/>
  <c r="R29" i="98"/>
  <c r="R17" i="98"/>
  <c r="Q17" i="98"/>
  <c r="R25" i="98"/>
  <c r="Q25" i="98"/>
  <c r="R40" i="98"/>
  <c r="R50" i="98"/>
  <c r="R13" i="98"/>
  <c r="Q13" i="98"/>
  <c r="AB23" i="98"/>
  <c r="AC23" i="98"/>
  <c r="AB27" i="98"/>
  <c r="AC27" i="98"/>
  <c r="R27" i="98"/>
  <c r="AB9" i="98"/>
  <c r="AC9" i="98" a="1"/>
  <c r="AC9" i="98"/>
  <c r="R9" i="98"/>
  <c r="Q9" i="98"/>
  <c r="AB36" i="98"/>
  <c r="AC36" i="98"/>
  <c r="R36" i="98"/>
  <c r="R48" i="98"/>
  <c r="AB19" i="98"/>
  <c r="AC19" i="98"/>
  <c r="R19" i="98"/>
  <c r="Q19" i="98"/>
  <c r="AB34" i="98"/>
  <c r="AC34" i="98"/>
  <c r="R34" i="98"/>
  <c r="Q34" i="98"/>
  <c r="AB16" i="98"/>
  <c r="AC16" i="98" a="1"/>
  <c r="AC16" i="98"/>
  <c r="R16" i="98"/>
  <c r="Q16" i="98"/>
  <c r="L44" i="98" a="1"/>
  <c r="L44" i="98"/>
  <c r="L52" i="98"/>
  <c r="K14" i="98" a="1"/>
  <c r="K14" i="98"/>
  <c r="L14" i="98" a="1"/>
  <c r="L14" i="98"/>
  <c r="N25" i="98" a="1"/>
  <c r="N25" i="98"/>
  <c r="AB11" i="98"/>
  <c r="AC11" i="98"/>
  <c r="R11" i="98"/>
  <c r="Q11" i="98"/>
  <c r="AB10" i="98"/>
  <c r="AC10" i="98" a="1"/>
  <c r="AC10" i="98"/>
  <c r="AB42" i="98"/>
  <c r="AC42" i="98"/>
  <c r="N30" i="98" a="1"/>
  <c r="N30" i="98"/>
  <c r="L10" i="98" a="1"/>
  <c r="L10" i="98"/>
  <c r="K10" i="98" a="1"/>
  <c r="K10" i="98"/>
  <c r="J10" i="98" a="1"/>
  <c r="J10" i="98"/>
  <c r="L24" i="98" a="1"/>
  <c r="L24" i="98"/>
  <c r="M22" i="98" a="1"/>
  <c r="M22" i="98"/>
  <c r="L20" i="98" a="1"/>
  <c r="L20" i="98"/>
  <c r="R134" i="97" a="1"/>
  <c r="R134" i="97"/>
  <c r="R21" i="97" a="1"/>
  <c r="R21" i="97"/>
  <c r="I72" i="97" a="1"/>
  <c r="I72" i="97"/>
  <c r="J72" i="97"/>
  <c r="I38" i="97" a="1"/>
  <c r="I38" i="97"/>
  <c r="J38" i="97"/>
  <c r="I39" i="97" a="1"/>
  <c r="I39" i="97"/>
  <c r="J39" i="97"/>
  <c r="I60" i="97" a="1"/>
  <c r="I60" i="97"/>
  <c r="J60" i="97"/>
  <c r="R126" i="97" a="1"/>
  <c r="R126" i="97"/>
  <c r="Q126" i="97"/>
  <c r="R58" i="97" a="1"/>
  <c r="R58" i="97"/>
  <c r="Q58" i="97"/>
  <c r="R23" i="97" a="1"/>
  <c r="R23" i="97"/>
  <c r="Q23" i="97"/>
  <c r="R128" i="97" a="1"/>
  <c r="R128" i="97"/>
  <c r="Q128" i="97"/>
  <c r="I45" i="97" a="1"/>
  <c r="I45" i="97"/>
  <c r="J45" i="97"/>
  <c r="I93" i="97" a="1"/>
  <c r="I93" i="97"/>
  <c r="J93" i="97"/>
  <c r="I31" i="97" a="1"/>
  <c r="I31" i="97"/>
  <c r="J31" i="97"/>
  <c r="I17" i="97" a="1"/>
  <c r="I17" i="97"/>
  <c r="J17" i="97"/>
  <c r="I56" i="97" a="1"/>
  <c r="I56" i="97"/>
  <c r="J56" i="97"/>
  <c r="I121" i="97" a="1"/>
  <c r="I121" i="97"/>
  <c r="J121" i="97"/>
  <c r="I137" i="97" a="1"/>
  <c r="I137" i="97"/>
  <c r="J137" i="97"/>
  <c r="I19" i="97" a="1"/>
  <c r="I19" i="97"/>
  <c r="J19" i="97"/>
  <c r="I161" i="97" a="1"/>
  <c r="I161" i="97"/>
  <c r="J161" i="97"/>
  <c r="I153" i="97" a="1"/>
  <c r="I153" i="97"/>
  <c r="J153" i="97"/>
  <c r="I20" i="97" a="1"/>
  <c r="I20" i="97"/>
  <c r="J20" i="97"/>
  <c r="I70" i="97" a="1"/>
  <c r="I70" i="97"/>
  <c r="J70" i="97"/>
  <c r="I97" i="97" a="1"/>
  <c r="I97" i="97"/>
  <c r="J97" i="97"/>
  <c r="I35" i="97" a="1"/>
  <c r="I35" i="97"/>
  <c r="J35" i="97"/>
  <c r="I46" i="97" a="1"/>
  <c r="I46" i="97"/>
  <c r="J46" i="97"/>
  <c r="I129" i="97" a="1"/>
  <c r="I129" i="97"/>
  <c r="J129" i="97"/>
  <c r="R150" i="97" a="1"/>
  <c r="R150" i="97"/>
  <c r="Q150" i="97"/>
  <c r="Q25" i="97"/>
  <c r="R123" i="97"/>
  <c r="I8" i="98" a="1"/>
  <c r="I8" i="98"/>
  <c r="J8" i="98" a="1"/>
  <c r="J8" i="98"/>
  <c r="I7" i="98"/>
  <c r="I22" i="98"/>
  <c r="J7" i="98" a="1"/>
  <c r="J7" i="98"/>
  <c r="I18" i="98" a="1"/>
  <c r="I18" i="98"/>
  <c r="J18" i="98" a="1"/>
  <c r="J18" i="98"/>
  <c r="I15" i="98" a="1"/>
  <c r="I15" i="98"/>
  <c r="J15" i="98" a="1"/>
  <c r="J15" i="98"/>
  <c r="R142" i="97" a="1"/>
  <c r="R142" i="97"/>
  <c r="Q142" i="97"/>
  <c r="R69" i="97" a="1"/>
  <c r="R69" i="97"/>
  <c r="Q69" i="97"/>
  <c r="R105" i="97"/>
  <c r="Q105" i="97"/>
  <c r="I10" i="97" a="1"/>
  <c r="I10" i="97"/>
  <c r="J10" i="97"/>
  <c r="I41" i="97" a="1"/>
  <c r="I41" i="97"/>
  <c r="J41" i="97"/>
  <c r="I62" i="97" a="1"/>
  <c r="I62" i="97"/>
  <c r="J62" i="97"/>
  <c r="I77" i="97" a="1"/>
  <c r="I77" i="97"/>
  <c r="J77" i="97"/>
  <c r="I9" i="97" a="1"/>
  <c r="I9" i="97"/>
  <c r="J9" i="97"/>
  <c r="I33" i="97" a="1"/>
  <c r="I33" i="97"/>
  <c r="J33" i="97"/>
  <c r="I118" i="97" a="1"/>
  <c r="I118" i="97"/>
  <c r="J118" i="97"/>
  <c r="I79" i="97" a="1"/>
  <c r="I79" i="97"/>
  <c r="J79" i="97"/>
  <c r="I158" i="97" a="1"/>
  <c r="I158" i="97"/>
  <c r="J158" i="97"/>
  <c r="I126" i="97" a="1"/>
  <c r="I126" i="97"/>
  <c r="J126" i="97"/>
  <c r="I142" i="97" a="1"/>
  <c r="I142" i="97"/>
  <c r="J142" i="97"/>
  <c r="I134" i="97" a="1"/>
  <c r="I134" i="97"/>
  <c r="J134" i="97"/>
  <c r="I150" i="97" a="1"/>
  <c r="I150" i="97"/>
  <c r="J150" i="97"/>
  <c r="I52" i="97" a="1"/>
  <c r="I52" i="97"/>
  <c r="J52" i="97"/>
  <c r="R147" i="97" a="1"/>
  <c r="R147" i="97"/>
  <c r="Q147" i="97"/>
  <c r="R34" i="97" a="1"/>
  <c r="R34" i="97"/>
  <c r="Q34" i="97"/>
  <c r="I47" i="97" a="1"/>
  <c r="I47" i="97"/>
  <c r="J47" i="97"/>
  <c r="I22" i="97" a="1"/>
  <c r="I22" i="97"/>
  <c r="J22" i="97"/>
  <c r="I36" i="97" a="1"/>
  <c r="I36" i="97"/>
  <c r="J36" i="97"/>
  <c r="I130" i="97" a="1"/>
  <c r="I130" i="97"/>
  <c r="J130" i="97"/>
  <c r="I154" i="97" a="1"/>
  <c r="I154" i="97"/>
  <c r="J154" i="97"/>
  <c r="I21" i="97" a="1"/>
  <c r="I21" i="97"/>
  <c r="J21" i="97"/>
  <c r="I101" i="97" a="1"/>
  <c r="I101" i="97"/>
  <c r="J101" i="97"/>
  <c r="I68" i="97" a="1"/>
  <c r="I68" i="97"/>
  <c r="J68" i="97"/>
  <c r="I162" i="97" a="1"/>
  <c r="I162" i="97"/>
  <c r="J162" i="97"/>
  <c r="I138" i="97" a="1"/>
  <c r="I138" i="97"/>
  <c r="J138" i="97"/>
  <c r="I146" i="97" a="1"/>
  <c r="I146" i="97"/>
  <c r="J146" i="97"/>
  <c r="I103" i="97" a="1"/>
  <c r="I103" i="97"/>
  <c r="J103" i="97"/>
  <c r="I58" i="97" a="1"/>
  <c r="I58" i="97"/>
  <c r="J58" i="97"/>
  <c r="I122" i="97" a="1"/>
  <c r="I122" i="97"/>
  <c r="J122" i="97"/>
  <c r="Q27" i="98"/>
  <c r="Q55" i="98"/>
  <c r="R55" i="98"/>
  <c r="R7" i="97" a="1"/>
  <c r="R7" i="97"/>
  <c r="Q19" i="97"/>
  <c r="R121" i="97"/>
  <c r="R71" i="97" a="1"/>
  <c r="R71" i="97"/>
  <c r="Q71" i="97"/>
  <c r="R164" i="97" a="1"/>
  <c r="R164" i="97"/>
  <c r="Q164" i="97"/>
  <c r="R23" i="98"/>
  <c r="Q23" i="98"/>
  <c r="R28" i="98"/>
  <c r="R89" i="97"/>
  <c r="Q89" i="97"/>
  <c r="R101" i="97"/>
  <c r="Q101" i="97"/>
  <c r="R146" i="97" a="1"/>
  <c r="R146" i="97"/>
  <c r="Q146" i="97"/>
  <c r="R141" i="97" a="1"/>
  <c r="R141" i="97"/>
  <c r="Q141" i="97"/>
  <c r="R30" i="97" a="1"/>
  <c r="R30" i="97"/>
  <c r="Q30" i="97"/>
  <c r="R155" i="97" a="1"/>
  <c r="R155" i="97"/>
  <c r="Q155" i="97"/>
  <c r="R107" i="97"/>
  <c r="R145" i="97" a="1"/>
  <c r="R145" i="97"/>
  <c r="Q145" i="97"/>
  <c r="R60" i="97" a="1"/>
  <c r="R60" i="97"/>
  <c r="Q60" i="97"/>
  <c r="R49" i="97" a="1"/>
  <c r="R49" i="97"/>
  <c r="Q49" i="97"/>
  <c r="R59" i="97" a="1"/>
  <c r="R59" i="97"/>
  <c r="Q59" i="97"/>
  <c r="R68" i="97" a="1"/>
  <c r="R68" i="97"/>
  <c r="Q68" i="97"/>
  <c r="R81" i="97"/>
  <c r="Q81" i="97"/>
  <c r="R143" i="97" a="1"/>
  <c r="R143" i="97"/>
  <c r="Q143" i="97"/>
  <c r="R8" i="97" a="1"/>
  <c r="R8" i="97"/>
  <c r="R153" i="97" a="1"/>
  <c r="R153" i="97"/>
  <c r="Q153" i="97"/>
  <c r="Q27" i="97"/>
  <c r="R124" i="97"/>
  <c r="R85" i="97"/>
  <c r="Q85" i="97"/>
  <c r="R109" i="97"/>
  <c r="Q109" i="97"/>
  <c r="R32" i="97" a="1"/>
  <c r="R32" i="97"/>
  <c r="Q32" i="97"/>
  <c r="R162" i="97" a="1"/>
  <c r="R162" i="97"/>
  <c r="Q162" i="97"/>
  <c r="R83" i="97"/>
  <c r="R28" i="97" a="1"/>
  <c r="R28" i="97"/>
  <c r="R66" i="97" a="1"/>
  <c r="R66" i="97"/>
  <c r="Q66" i="97"/>
  <c r="R97" i="97"/>
  <c r="Q97" i="97"/>
  <c r="R154" i="97" a="1"/>
  <c r="R154" i="97"/>
  <c r="Q154" i="97"/>
  <c r="R93" i="97"/>
  <c r="Q93" i="97"/>
  <c r="R52" i="97" a="1"/>
  <c r="R52" i="97"/>
  <c r="Q52" i="97"/>
  <c r="R10" i="97" a="1"/>
  <c r="R10" i="97"/>
  <c r="J24" i="98"/>
  <c r="I27" i="98"/>
  <c r="R163" i="97" a="1"/>
  <c r="R163" i="97"/>
  <c r="Q163" i="97"/>
  <c r="R50" i="97" a="1"/>
  <c r="R50" i="97"/>
  <c r="Q50" i="97"/>
  <c r="R157" i="97" a="1"/>
  <c r="R157" i="97"/>
  <c r="Q157" i="97"/>
  <c r="R57" i="97" a="1"/>
  <c r="R57" i="97"/>
  <c r="Q57" i="97"/>
  <c r="R160" i="97" a="1"/>
  <c r="R160" i="97"/>
  <c r="Q160" i="97"/>
  <c r="R79" i="97"/>
  <c r="R63" i="97" a="1"/>
  <c r="R63" i="97"/>
  <c r="Q63" i="97"/>
  <c r="R99" i="97"/>
  <c r="R149" i="97" a="1"/>
  <c r="R149" i="97"/>
  <c r="Q149" i="97"/>
  <c r="R56" i="97" a="1"/>
  <c r="R56" i="97"/>
  <c r="Q56" i="97"/>
  <c r="R151" i="97" a="1"/>
  <c r="R151" i="97"/>
  <c r="Q151" i="97"/>
  <c r="R75" i="97"/>
  <c r="I26" i="98"/>
  <c r="J23" i="98"/>
  <c r="R31" i="97" a="1"/>
  <c r="R31" i="97"/>
  <c r="Q31" i="97"/>
  <c r="R95" i="97"/>
  <c r="R130" i="97" a="1"/>
  <c r="R130" i="97"/>
  <c r="Q130" i="97"/>
  <c r="R15" i="97" a="1"/>
  <c r="R15" i="97"/>
  <c r="R137" i="97" a="1"/>
  <c r="R137" i="97"/>
  <c r="R113" i="97"/>
  <c r="Q113" i="97"/>
  <c r="R77" i="97"/>
  <c r="Q77" i="97"/>
  <c r="R16" i="97" a="1"/>
  <c r="R16" i="97"/>
  <c r="Q29" i="98"/>
  <c r="Q57" i="98"/>
  <c r="R57" i="98"/>
  <c r="R9" i="97" a="1"/>
  <c r="R9" i="97"/>
  <c r="I27" i="97" a="1"/>
  <c r="I27" i="97"/>
  <c r="J27" i="97"/>
  <c r="I50" i="97" a="1"/>
  <c r="I50" i="97"/>
  <c r="J50" i="97"/>
  <c r="I132" i="97" a="1"/>
  <c r="I132" i="97"/>
  <c r="J132" i="97"/>
  <c r="I156" i="97" a="1"/>
  <c r="I156" i="97"/>
  <c r="J156" i="97"/>
  <c r="I148" i="97" a="1"/>
  <c r="I148" i="97"/>
  <c r="J148" i="97"/>
  <c r="I164" i="97" a="1"/>
  <c r="I164" i="97"/>
  <c r="J164" i="97"/>
  <c r="I71" i="97" a="1"/>
  <c r="I71" i="97"/>
  <c r="J71" i="97"/>
  <c r="I124" i="97" a="1"/>
  <c r="I124" i="97"/>
  <c r="J124" i="97"/>
  <c r="I28" i="97" a="1"/>
  <c r="I28" i="97"/>
  <c r="J28" i="97"/>
  <c r="I113" i="97" a="1"/>
  <c r="I113" i="97"/>
  <c r="J113" i="97"/>
  <c r="I140" i="97" a="1"/>
  <c r="I140" i="97"/>
  <c r="J140" i="97"/>
  <c r="R14" i="97" a="1"/>
  <c r="R14" i="97"/>
  <c r="R30" i="98"/>
  <c r="Q30" i="98"/>
  <c r="R21" i="98"/>
  <c r="Q21" i="98"/>
  <c r="R26" i="98"/>
  <c r="R18" i="97" a="1"/>
  <c r="R18" i="97"/>
  <c r="R42" i="98"/>
  <c r="Q42" i="98"/>
  <c r="R8" i="98"/>
  <c r="R24" i="98"/>
  <c r="Q24" i="98"/>
  <c r="R10" i="98"/>
  <c r="R22" i="98"/>
  <c r="Q22" i="98"/>
  <c r="R11" i="97"/>
  <c r="Q11" i="97" a="1"/>
  <c r="Q11" i="97"/>
  <c r="R13" i="97" a="1"/>
  <c r="R13" i="97"/>
  <c r="R61" i="97" a="1"/>
  <c r="R61" i="97"/>
  <c r="Q61" i="97"/>
  <c r="R53" i="97" a="1"/>
  <c r="R53" i="97"/>
  <c r="Q53" i="97"/>
  <c r="J25" i="98"/>
  <c r="I29" i="98"/>
  <c r="I143" i="97" a="1"/>
  <c r="I143" i="97"/>
  <c r="J143" i="97"/>
  <c r="I43" i="97" a="1"/>
  <c r="I43" i="97"/>
  <c r="J43" i="97"/>
  <c r="I85" i="97" a="1"/>
  <c r="I85" i="97"/>
  <c r="J85" i="97"/>
  <c r="I13" i="97" a="1"/>
  <c r="I13" i="97"/>
  <c r="J13" i="97"/>
  <c r="I135" i="97" a="1"/>
  <c r="I135" i="97"/>
  <c r="J135" i="97"/>
  <c r="I151" i="97" a="1"/>
  <c r="I151" i="97"/>
  <c r="J151" i="97"/>
  <c r="I54" i="97" a="1"/>
  <c r="I54" i="97"/>
  <c r="J54" i="97"/>
  <c r="I119" i="97" a="1"/>
  <c r="I119" i="97"/>
  <c r="J119" i="97"/>
  <c r="I127" i="97" a="1"/>
  <c r="I127" i="97"/>
  <c r="J127" i="97"/>
  <c r="I67" i="97" a="1"/>
  <c r="I67" i="97"/>
  <c r="J67" i="97"/>
  <c r="I159" i="97" a="1"/>
  <c r="I159" i="97"/>
  <c r="J159" i="97"/>
  <c r="I29" i="97" a="1"/>
  <c r="I29" i="97"/>
  <c r="J29" i="97"/>
  <c r="R15" i="98"/>
  <c r="Q15" i="98"/>
  <c r="I141" i="97" a="1"/>
  <c r="I141" i="97"/>
  <c r="J141" i="97"/>
  <c r="I149" i="97" a="1"/>
  <c r="I149" i="97"/>
  <c r="J149" i="97"/>
  <c r="I8" i="97" a="1"/>
  <c r="I8" i="97"/>
  <c r="J8" i="97"/>
  <c r="I51" i="97" a="1"/>
  <c r="I51" i="97"/>
  <c r="J51" i="97"/>
  <c r="I7" i="97" a="1"/>
  <c r="I7" i="97"/>
  <c r="J7" i="97"/>
  <c r="I73" i="97" a="1"/>
  <c r="I73" i="97"/>
  <c r="J73" i="97"/>
  <c r="I117" i="97" a="1"/>
  <c r="I117" i="97"/>
  <c r="J117" i="97"/>
  <c r="I40" i="97" a="1"/>
  <c r="I40" i="97"/>
  <c r="J40" i="97"/>
  <c r="I157" i="97" a="1"/>
  <c r="I157" i="97"/>
  <c r="J157" i="97"/>
  <c r="I75" i="97" a="1"/>
  <c r="I75" i="97"/>
  <c r="J75" i="97"/>
  <c r="I133" i="97" a="1"/>
  <c r="I133" i="97"/>
  <c r="J133" i="97"/>
  <c r="I64" i="97" a="1"/>
  <c r="I64" i="97"/>
  <c r="J64" i="97"/>
  <c r="I32" i="97" a="1"/>
  <c r="I32" i="97"/>
  <c r="J32" i="97"/>
  <c r="I125" i="97" a="1"/>
  <c r="I125" i="97"/>
  <c r="J125" i="97"/>
  <c r="R91" i="97"/>
  <c r="Q21" i="97"/>
  <c r="R122" i="97"/>
  <c r="R33" i="97" a="1"/>
  <c r="R33" i="97"/>
  <c r="Q33" i="97"/>
  <c r="R45" i="97" a="1"/>
  <c r="R45" i="97"/>
  <c r="Q45" i="97"/>
  <c r="R14" i="98"/>
  <c r="R17" i="97" a="1"/>
  <c r="R17" i="97"/>
  <c r="Q17" i="97"/>
  <c r="R67" i="97" a="1"/>
  <c r="R67" i="97"/>
  <c r="Q67" i="97"/>
  <c r="R70" i="97" a="1"/>
  <c r="R70" i="97"/>
  <c r="Q70" i="97"/>
  <c r="Q9" i="97" a="1"/>
  <c r="Q9" i="97"/>
  <c r="R118" i="97"/>
  <c r="R56" i="98"/>
  <c r="Q28" i="98"/>
  <c r="Q56" i="98"/>
  <c r="I57" i="98"/>
  <c r="I42" i="98"/>
  <c r="J29" i="98"/>
  <c r="J57" i="98"/>
  <c r="Q13" i="97"/>
  <c r="R119" i="97"/>
  <c r="Q15" i="97"/>
  <c r="R120" i="97"/>
  <c r="Q7" i="97"/>
  <c r="R117" i="97"/>
  <c r="J26" i="98"/>
  <c r="J54" i="98"/>
  <c r="I34" i="98"/>
  <c r="I54" i="98"/>
  <c r="R54" i="98"/>
  <c r="Q26" i="98"/>
  <c r="Q54" i="98"/>
  <c r="J22" i="98"/>
  <c r="I28" i="98"/>
  <c r="I30" i="98"/>
  <c r="J30" i="98"/>
  <c r="I55" i="98"/>
  <c r="I38" i="98"/>
  <c r="J27" i="98"/>
  <c r="J55" i="98"/>
  <c r="I40" i="98"/>
  <c r="J38" i="98"/>
  <c r="I36" i="98"/>
  <c r="J34" i="98"/>
  <c r="J28" i="98"/>
  <c r="J56" i="98"/>
  <c r="I56" i="98"/>
  <c r="I32" i="98"/>
  <c r="I44" i="98"/>
  <c r="J42" i="98"/>
  <c r="I52" i="98"/>
  <c r="J44" i="98"/>
  <c r="J52" i="98"/>
  <c r="I46" i="98"/>
  <c r="J32" i="98"/>
  <c r="J46" i="98"/>
  <c r="I48" i="98"/>
  <c r="J36" i="98"/>
  <c r="J48" i="98"/>
  <c r="I50" i="98"/>
  <c r="J40" i="98"/>
  <c r="J50" i="98"/>
  <c r="O9" i="84"/>
  <c r="C28" i="94"/>
  <c r="I28" i="94"/>
  <c r="N28" i="94"/>
  <c r="R28" i="94"/>
  <c r="C77" i="9"/>
  <c r="R27" i="94"/>
  <c r="I26" i="94"/>
  <c r="N26" i="94"/>
  <c r="R26" i="94"/>
  <c r="C26" i="94"/>
  <c r="D117" i="19"/>
  <c r="P74" i="19"/>
  <c r="P71" i="19"/>
  <c r="W62" i="95"/>
  <c r="X62" i="95"/>
  <c r="Y62" i="95"/>
  <c r="V62" i="95"/>
  <c r="W52" i="95"/>
  <c r="X52" i="95"/>
  <c r="Y52" i="95"/>
  <c r="V52" i="95"/>
  <c r="X31" i="95"/>
  <c r="AD31" i="95"/>
  <c r="Y31" i="95"/>
  <c r="AE31" i="95"/>
  <c r="Z31" i="95"/>
  <c r="AF31" i="95"/>
  <c r="AA31" i="95"/>
  <c r="AG31" i="95"/>
  <c r="X32" i="95"/>
  <c r="AD32" i="95"/>
  <c r="Y32" i="95"/>
  <c r="AE32" i="95"/>
  <c r="Z32" i="95"/>
  <c r="AF32" i="95"/>
  <c r="AA32" i="95"/>
  <c r="AG32" i="95"/>
  <c r="X33" i="95"/>
  <c r="AD33" i="95"/>
  <c r="Y33" i="95"/>
  <c r="AE33" i="95"/>
  <c r="Z33" i="95"/>
  <c r="AF33" i="95"/>
  <c r="AA33" i="95"/>
  <c r="AG33" i="95"/>
  <c r="X34" i="95"/>
  <c r="AD34" i="95"/>
  <c r="Y34" i="95"/>
  <c r="AE34" i="95"/>
  <c r="Q71" i="19"/>
  <c r="Z34" i="95"/>
  <c r="AF34" i="95"/>
  <c r="AA34" i="95"/>
  <c r="AG34" i="95"/>
  <c r="Q74" i="19"/>
  <c r="X35" i="95"/>
  <c r="AD35" i="95"/>
  <c r="Y35" i="95"/>
  <c r="AE35" i="95"/>
  <c r="Z35" i="95"/>
  <c r="AF35" i="95"/>
  <c r="AA35" i="95"/>
  <c r="AG35" i="95"/>
  <c r="X36" i="95"/>
  <c r="AD36" i="95"/>
  <c r="Y36" i="95"/>
  <c r="AE36" i="95"/>
  <c r="Z36" i="95"/>
  <c r="AF36" i="95"/>
  <c r="AA36" i="95"/>
  <c r="AG36" i="95"/>
  <c r="X30" i="95"/>
  <c r="AD30" i="95"/>
  <c r="Y30" i="95"/>
  <c r="AE30" i="95"/>
  <c r="Z30" i="95"/>
  <c r="AF30" i="95"/>
  <c r="AA30" i="95"/>
  <c r="AG30" i="95"/>
  <c r="Y29" i="95"/>
  <c r="AE29" i="95"/>
  <c r="Z29" i="95"/>
  <c r="AF29" i="95"/>
  <c r="AA29" i="95"/>
  <c r="AG29" i="95"/>
  <c r="X29" i="95"/>
  <c r="AD29" i="95"/>
  <c r="AB17" i="95"/>
  <c r="L74" i="19"/>
  <c r="L75" i="19"/>
  <c r="L76" i="19"/>
  <c r="Y18" i="95"/>
  <c r="Y21" i="95"/>
  <c r="Y13" i="95"/>
  <c r="Z13" i="95"/>
  <c r="AA13" i="95"/>
  <c r="AB13" i="95"/>
  <c r="Y14" i="95"/>
  <c r="Z14" i="95"/>
  <c r="AA14" i="95"/>
  <c r="AB14" i="95"/>
  <c r="Y15" i="95"/>
  <c r="Z15" i="95"/>
  <c r="AA15" i="95"/>
  <c r="AB15" i="95"/>
  <c r="Y16" i="95"/>
  <c r="Z16" i="95"/>
  <c r="AA16" i="95"/>
  <c r="AB16" i="95"/>
  <c r="Y17" i="95"/>
  <c r="Z17" i="95"/>
  <c r="L71" i="19"/>
  <c r="L72" i="19"/>
  <c r="L73" i="19"/>
  <c r="AA17" i="95"/>
  <c r="Z18" i="95"/>
  <c r="Z21" i="95"/>
  <c r="AA18" i="95"/>
  <c r="AA21" i="95"/>
  <c r="AB18" i="95"/>
  <c r="AB21" i="95"/>
  <c r="Y19" i="95"/>
  <c r="Z19" i="95"/>
  <c r="AA19" i="95"/>
  <c r="AB19" i="95"/>
  <c r="Z12" i="95"/>
  <c r="AA12" i="95"/>
  <c r="AB12" i="95"/>
  <c r="Y12" i="95"/>
  <c r="I71" i="19"/>
  <c r="C71" i="19"/>
  <c r="C117" i="19"/>
  <c r="AJ80" i="9"/>
  <c r="AJ81" i="9"/>
  <c r="AJ82" i="9"/>
  <c r="AJ79" i="9"/>
  <c r="AG80" i="9"/>
  <c r="AG81" i="9"/>
  <c r="AG82" i="9"/>
  <c r="AG79" i="9"/>
  <c r="AG83" i="9"/>
  <c r="AH79" i="9"/>
  <c r="AH80" i="9"/>
  <c r="AH81" i="9"/>
  <c r="AH82" i="9"/>
  <c r="AH83" i="9"/>
  <c r="AK79" i="9"/>
  <c r="AL79" i="9"/>
  <c r="AK80" i="9"/>
  <c r="AL80" i="9"/>
  <c r="AK81" i="9"/>
  <c r="AL81" i="9"/>
  <c r="AK82" i="9"/>
  <c r="AL82" i="9"/>
  <c r="AL83" i="9"/>
  <c r="AK83" i="9"/>
  <c r="AG87" i="9"/>
  <c r="AV79" i="19"/>
  <c r="AW79" i="19"/>
  <c r="AX79" i="19"/>
  <c r="AY79" i="19"/>
  <c r="AY80" i="19"/>
  <c r="AY81" i="19"/>
  <c r="AZ79" i="19"/>
  <c r="BA79" i="19"/>
  <c r="BB79" i="19"/>
  <c r="AV80" i="19"/>
  <c r="AW80" i="19"/>
  <c r="AX80" i="19"/>
  <c r="AZ80" i="19"/>
  <c r="AZ81" i="19"/>
  <c r="BA80" i="19"/>
  <c r="BB80" i="19"/>
  <c r="AV81" i="19"/>
  <c r="AW81" i="19"/>
  <c r="AX81" i="19"/>
  <c r="BA81" i="19"/>
  <c r="BB81" i="19"/>
  <c r="BB82" i="19" s="1"/>
  <c r="AU80" i="19"/>
  <c r="AU82" i="19" s="1"/>
  <c r="AU81" i="19"/>
  <c r="AU79" i="19"/>
  <c r="AI85" i="19"/>
  <c r="AM85" i="19" s="1"/>
  <c r="AI86" i="19"/>
  <c r="AN86" i="19" s="1"/>
  <c r="AI84" i="19"/>
  <c r="AM83" i="9"/>
  <c r="AG88" i="9"/>
  <c r="AG80" i="94"/>
  <c r="AG71" i="94"/>
  <c r="AG68" i="94"/>
  <c r="AG65" i="94"/>
  <c r="AG63" i="94"/>
  <c r="AG55" i="94"/>
  <c r="AG61" i="94"/>
  <c r="AG59" i="94"/>
  <c r="AG57" i="94"/>
  <c r="C35" i="94"/>
  <c r="C37" i="94"/>
  <c r="C39" i="94"/>
  <c r="AH71" i="94"/>
  <c r="AH68" i="94"/>
  <c r="AH65" i="94"/>
  <c r="AH63" i="94"/>
  <c r="AH61" i="94"/>
  <c r="AH59" i="94"/>
  <c r="AH57" i="94"/>
  <c r="AG84" i="94"/>
  <c r="AG82" i="94"/>
  <c r="AG9" i="94"/>
  <c r="AG7" i="94"/>
  <c r="L31" i="94"/>
  <c r="L29" i="94"/>
  <c r="L9" i="94"/>
  <c r="L7" i="94"/>
  <c r="L5" i="94"/>
  <c r="K37" i="94"/>
  <c r="AG12" i="94"/>
  <c r="K13" i="94"/>
  <c r="AG16" i="94"/>
  <c r="K11" i="94"/>
  <c r="K39" i="94"/>
  <c r="K35" i="94"/>
  <c r="K33" i="94"/>
  <c r="K31" i="94"/>
  <c r="K29" i="94"/>
  <c r="H15" i="94"/>
  <c r="H13" i="94"/>
  <c r="H11" i="94"/>
  <c r="H9" i="94"/>
  <c r="H7" i="94"/>
  <c r="H5" i="94"/>
  <c r="G39" i="94"/>
  <c r="G37" i="94"/>
  <c r="G33" i="94"/>
  <c r="I33" i="94"/>
  <c r="G31" i="94"/>
  <c r="I31" i="94"/>
  <c r="G15" i="94"/>
  <c r="G13" i="94"/>
  <c r="G9" i="94"/>
  <c r="I9" i="94"/>
  <c r="G7" i="94"/>
  <c r="I7" i="94"/>
  <c r="C5" i="94"/>
  <c r="C33" i="94"/>
  <c r="C31" i="94"/>
  <c r="C29" i="94"/>
  <c r="C15" i="94"/>
  <c r="C13" i="94"/>
  <c r="C11" i="94"/>
  <c r="C9" i="94"/>
  <c r="C7" i="94"/>
  <c r="G28" i="94"/>
  <c r="G26" i="94"/>
  <c r="H28" i="94"/>
  <c r="H26" i="94"/>
  <c r="AG17" i="94"/>
  <c r="K17" i="94"/>
  <c r="K23" i="94"/>
  <c r="K20" i="94"/>
  <c r="K15" i="94"/>
  <c r="K28" i="94"/>
  <c r="K26" i="94"/>
  <c r="Q35" i="19"/>
  <c r="L34" i="19"/>
  <c r="L33" i="19"/>
  <c r="L32" i="19"/>
  <c r="L31" i="19"/>
  <c r="L30" i="19"/>
  <c r="L29" i="19"/>
  <c r="L28" i="19"/>
  <c r="L27" i="19"/>
  <c r="L26" i="19"/>
  <c r="L25" i="19"/>
  <c r="L24" i="19"/>
  <c r="L23" i="19"/>
  <c r="D116" i="19"/>
  <c r="D115" i="19"/>
  <c r="C116" i="19"/>
  <c r="C115" i="19"/>
  <c r="AM25" i="19"/>
  <c r="AM39" i="19"/>
  <c r="AM24" i="19"/>
  <c r="AM38" i="19"/>
  <c r="AF33" i="19"/>
  <c r="AF41" i="19"/>
  <c r="AF48" i="19"/>
  <c r="AF32" i="19"/>
  <c r="AF39" i="19"/>
  <c r="AF47" i="19"/>
  <c r="AF31" i="19"/>
  <c r="AF38" i="19"/>
  <c r="AF46" i="19"/>
  <c r="AF26" i="19"/>
  <c r="AF25" i="19"/>
  <c r="AF24" i="19"/>
  <c r="AH66" i="19"/>
  <c r="AH67" i="19"/>
  <c r="AG66" i="19"/>
  <c r="AG67" i="19"/>
  <c r="AI67" i="19"/>
  <c r="AI65" i="19"/>
  <c r="AG61" i="19"/>
  <c r="AG62" i="19"/>
  <c r="AH60" i="19"/>
  <c r="AI60" i="19"/>
  <c r="AG56" i="19"/>
  <c r="AH55" i="19"/>
  <c r="AH62" i="19"/>
  <c r="AI62" i="19"/>
  <c r="AI55" i="19"/>
  <c r="AJ55" i="19"/>
  <c r="AH56" i="19"/>
  <c r="AI56" i="19"/>
  <c r="AJ56" i="19"/>
  <c r="AG57" i="19"/>
  <c r="AH61" i="19"/>
  <c r="AI66" i="19"/>
  <c r="AI61" i="19"/>
  <c r="AK56" i="19"/>
  <c r="AG70" i="19"/>
  <c r="AH57" i="19"/>
  <c r="AI57" i="19"/>
  <c r="AJ57" i="19"/>
  <c r="AK55" i="19"/>
  <c r="AG69" i="19"/>
  <c r="AK57" i="19"/>
  <c r="AG71" i="19"/>
  <c r="D73" i="94"/>
  <c r="C73" i="94"/>
  <c r="D72" i="94"/>
  <c r="C72" i="94"/>
  <c r="D71" i="94"/>
  <c r="C71" i="94"/>
  <c r="D70" i="94"/>
  <c r="D69" i="94"/>
  <c r="U84" i="94"/>
  <c r="U82" i="94"/>
  <c r="U80" i="94"/>
  <c r="U78" i="94"/>
  <c r="U76" i="94"/>
  <c r="U74" i="94"/>
  <c r="AI17" i="94"/>
  <c r="AI16" i="94"/>
  <c r="AK16" i="94"/>
  <c r="U63" i="94"/>
  <c r="AH53" i="94"/>
  <c r="U61" i="94"/>
  <c r="AH51" i="94"/>
  <c r="U59" i="94"/>
  <c r="AH49" i="94"/>
  <c r="U57" i="94"/>
  <c r="C70" i="94"/>
  <c r="AH55" i="94"/>
  <c r="U55" i="94"/>
  <c r="W7" i="94"/>
  <c r="AG53" i="94"/>
  <c r="AG78" i="94"/>
  <c r="U53" i="94"/>
  <c r="V92" i="94"/>
  <c r="AG51" i="94"/>
  <c r="AG76" i="94"/>
  <c r="U51" i="94"/>
  <c r="U49" i="94"/>
  <c r="C69" i="94"/>
  <c r="AH76" i="94"/>
  <c r="P17" i="94"/>
  <c r="P15" i="94"/>
  <c r="P20" i="94"/>
  <c r="P23" i="94"/>
  <c r="P11" i="94"/>
  <c r="P39" i="94"/>
  <c r="P29" i="94"/>
  <c r="P9" i="94"/>
  <c r="P37" i="94"/>
  <c r="P31" i="94"/>
  <c r="P7" i="94"/>
  <c r="P35" i="94"/>
  <c r="P13" i="94"/>
  <c r="P5" i="94"/>
  <c r="P33" i="94"/>
  <c r="AG49" i="94"/>
  <c r="AG74" i="94"/>
  <c r="AK17" i="94"/>
  <c r="AH78" i="94"/>
  <c r="AH80" i="94"/>
  <c r="AH82" i="94"/>
  <c r="AH84" i="94"/>
  <c r="AH74" i="94"/>
  <c r="P28" i="94"/>
  <c r="P26" i="94"/>
  <c r="Q41" i="19"/>
  <c r="Q38" i="19"/>
  <c r="P41" i="19"/>
  <c r="P38" i="19"/>
  <c r="P35" i="19"/>
  <c r="V59" i="19"/>
  <c r="Z21" i="19"/>
  <c r="Z20" i="19"/>
  <c r="Z19" i="19"/>
  <c r="W6" i="19"/>
  <c r="AT11" i="9"/>
  <c r="AS11" i="9"/>
  <c r="AR11" i="9"/>
  <c r="AT10" i="9"/>
  <c r="AS10" i="9"/>
  <c r="AR10" i="9"/>
  <c r="AT9" i="9"/>
  <c r="AR9" i="9"/>
  <c r="AT8" i="9"/>
  <c r="AR8" i="9"/>
  <c r="AT7" i="9"/>
  <c r="AS7" i="9"/>
  <c r="AR7" i="9"/>
  <c r="AT6" i="9"/>
  <c r="AS6" i="9"/>
  <c r="AR6" i="9"/>
  <c r="AT5" i="9"/>
  <c r="AS5" i="9"/>
  <c r="AR5" i="9"/>
  <c r="AR15" i="9"/>
  <c r="AS15" i="9"/>
  <c r="AR16" i="9"/>
  <c r="AS16" i="9"/>
  <c r="AR17" i="9"/>
  <c r="AS17" i="9"/>
  <c r="AR18" i="9"/>
  <c r="AS18" i="9"/>
  <c r="AR19" i="9"/>
  <c r="AS19" i="9"/>
  <c r="S25" i="89"/>
  <c r="R25" i="89"/>
  <c r="Q25" i="89"/>
  <c r="P25" i="89"/>
  <c r="O25" i="89"/>
  <c r="N25" i="89"/>
  <c r="M25" i="89"/>
  <c r="L25" i="89"/>
  <c r="K25" i="89"/>
  <c r="J25" i="89"/>
  <c r="I25" i="89"/>
  <c r="H25" i="89"/>
  <c r="G25" i="89"/>
  <c r="F25" i="89"/>
  <c r="S23" i="89"/>
  <c r="R23" i="89"/>
  <c r="Q23" i="89"/>
  <c r="P23" i="89"/>
  <c r="O23" i="89"/>
  <c r="N23" i="89"/>
  <c r="M23" i="89"/>
  <c r="L23" i="89"/>
  <c r="K23" i="89"/>
  <c r="J23" i="89"/>
  <c r="I23" i="89"/>
  <c r="H23" i="89"/>
  <c r="G23" i="89"/>
  <c r="F23" i="89"/>
  <c r="S21" i="89"/>
  <c r="R21" i="89"/>
  <c r="Q21" i="89"/>
  <c r="P21" i="89"/>
  <c r="O21" i="89"/>
  <c r="N21" i="89"/>
  <c r="M21" i="89"/>
  <c r="L21" i="89"/>
  <c r="K21" i="89"/>
  <c r="J21" i="89"/>
  <c r="I21" i="89"/>
  <c r="H21" i="89"/>
  <c r="G21" i="89"/>
  <c r="F21" i="89"/>
  <c r="S19" i="89"/>
  <c r="R19" i="89"/>
  <c r="Q19" i="89"/>
  <c r="P19" i="89"/>
  <c r="O19" i="89"/>
  <c r="N19" i="89"/>
  <c r="M19" i="89"/>
  <c r="L19" i="89"/>
  <c r="K19" i="89"/>
  <c r="J19" i="89"/>
  <c r="I19" i="89"/>
  <c r="H19" i="89"/>
  <c r="G19" i="89"/>
  <c r="F19" i="89"/>
  <c r="S17" i="89"/>
  <c r="R17" i="89"/>
  <c r="Q17" i="89"/>
  <c r="P17" i="89"/>
  <c r="O17" i="89"/>
  <c r="N17" i="89"/>
  <c r="M17" i="89"/>
  <c r="L17" i="89"/>
  <c r="K17" i="89"/>
  <c r="J17" i="89"/>
  <c r="I17" i="89"/>
  <c r="H17" i="89"/>
  <c r="G17" i="89"/>
  <c r="F17" i="89"/>
  <c r="S15" i="89"/>
  <c r="R15" i="89"/>
  <c r="Q15" i="89"/>
  <c r="P15" i="89"/>
  <c r="O15" i="89"/>
  <c r="N15" i="89"/>
  <c r="M15" i="89"/>
  <c r="L15" i="89"/>
  <c r="K15" i="89"/>
  <c r="J15" i="89"/>
  <c r="I15" i="89"/>
  <c r="H15" i="89"/>
  <c r="G15" i="89"/>
  <c r="F15" i="89"/>
  <c r="S64" i="90"/>
  <c r="S22" i="90"/>
  <c r="R64" i="90"/>
  <c r="Q64" i="90"/>
  <c r="P64" i="90"/>
  <c r="O64" i="90"/>
  <c r="O22" i="90"/>
  <c r="N64" i="90"/>
  <c r="M64" i="90"/>
  <c r="M22" i="90"/>
  <c r="L64" i="90"/>
  <c r="K64" i="90"/>
  <c r="K22" i="90"/>
  <c r="J64" i="90"/>
  <c r="I64" i="90"/>
  <c r="I22" i="90"/>
  <c r="H64" i="90"/>
  <c r="G64" i="90"/>
  <c r="G22" i="90"/>
  <c r="F64" i="90"/>
  <c r="S63" i="90"/>
  <c r="R63" i="90"/>
  <c r="Q63" i="90"/>
  <c r="P63" i="90"/>
  <c r="O63" i="90"/>
  <c r="N63" i="90"/>
  <c r="N21" i="90"/>
  <c r="M63" i="90"/>
  <c r="M21" i="90"/>
  <c r="L63" i="90"/>
  <c r="K63" i="90"/>
  <c r="K21" i="90"/>
  <c r="J63" i="90"/>
  <c r="I63" i="90"/>
  <c r="H63" i="90"/>
  <c r="G63" i="90"/>
  <c r="F63" i="90"/>
  <c r="S61" i="90"/>
  <c r="R61" i="90"/>
  <c r="Q61" i="90"/>
  <c r="P61" i="90"/>
  <c r="O61" i="90"/>
  <c r="N61" i="90"/>
  <c r="M61" i="90"/>
  <c r="L61" i="90"/>
  <c r="K61" i="90"/>
  <c r="J61" i="90"/>
  <c r="I61" i="90"/>
  <c r="H61" i="90"/>
  <c r="G61" i="90"/>
  <c r="F61" i="90"/>
  <c r="S59" i="90"/>
  <c r="R59" i="90"/>
  <c r="Q59" i="90"/>
  <c r="P59" i="90"/>
  <c r="O59" i="90"/>
  <c r="N59" i="90"/>
  <c r="M59" i="90"/>
  <c r="L59" i="90"/>
  <c r="K59" i="90"/>
  <c r="J59" i="90"/>
  <c r="I59" i="90"/>
  <c r="H59" i="90"/>
  <c r="G59" i="90"/>
  <c r="F59" i="90"/>
  <c r="S58" i="90"/>
  <c r="R58" i="90"/>
  <c r="Q58" i="90"/>
  <c r="P58" i="90"/>
  <c r="O58" i="90"/>
  <c r="N58" i="90"/>
  <c r="M58" i="90"/>
  <c r="L58" i="90"/>
  <c r="K58" i="90"/>
  <c r="J58" i="90"/>
  <c r="I58" i="90"/>
  <c r="H58" i="90"/>
  <c r="G58" i="90"/>
  <c r="F58" i="90"/>
  <c r="S55" i="90"/>
  <c r="R55" i="90"/>
  <c r="Q55" i="90"/>
  <c r="P55" i="90"/>
  <c r="O55" i="90"/>
  <c r="N55" i="90"/>
  <c r="M55" i="90"/>
  <c r="L55" i="90"/>
  <c r="K55" i="90"/>
  <c r="J55" i="90"/>
  <c r="I55" i="90"/>
  <c r="H55" i="90"/>
  <c r="G55" i="90"/>
  <c r="F55" i="90"/>
  <c r="S53" i="90"/>
  <c r="R53" i="90"/>
  <c r="Q53" i="90"/>
  <c r="P53" i="90"/>
  <c r="O53" i="90"/>
  <c r="N53" i="90"/>
  <c r="M53" i="90"/>
  <c r="L53" i="90"/>
  <c r="K53" i="90"/>
  <c r="J53" i="90"/>
  <c r="I53" i="90"/>
  <c r="H53" i="90"/>
  <c r="G53" i="90"/>
  <c r="F53" i="90"/>
  <c r="S49" i="90"/>
  <c r="R49" i="90"/>
  <c r="R65" i="90"/>
  <c r="R23" i="90"/>
  <c r="Q49" i="90"/>
  <c r="P49" i="90"/>
  <c r="P65" i="90"/>
  <c r="P23" i="90"/>
  <c r="O49" i="90"/>
  <c r="N49" i="90"/>
  <c r="N65" i="90"/>
  <c r="N23" i="90"/>
  <c r="M49" i="90"/>
  <c r="L49" i="90"/>
  <c r="K49" i="90"/>
  <c r="J49" i="90"/>
  <c r="J65" i="90"/>
  <c r="J23" i="90"/>
  <c r="I49" i="90"/>
  <c r="H49" i="90"/>
  <c r="G49" i="90"/>
  <c r="F49" i="90"/>
  <c r="F65" i="90"/>
  <c r="F23" i="90"/>
  <c r="S46" i="90"/>
  <c r="R46" i="90"/>
  <c r="R62" i="90"/>
  <c r="Q46" i="90"/>
  <c r="P46" i="90"/>
  <c r="P62" i="90"/>
  <c r="O46" i="90"/>
  <c r="N46" i="90"/>
  <c r="M46" i="90"/>
  <c r="L46" i="90"/>
  <c r="L62" i="90"/>
  <c r="K46" i="90"/>
  <c r="J46" i="90"/>
  <c r="I46" i="90"/>
  <c r="H46" i="90"/>
  <c r="H62" i="90"/>
  <c r="G46" i="90"/>
  <c r="F46" i="90"/>
  <c r="F62" i="90"/>
  <c r="S44" i="90"/>
  <c r="R44" i="90"/>
  <c r="R60" i="90"/>
  <c r="Q44" i="90"/>
  <c r="P44" i="90"/>
  <c r="O44" i="90"/>
  <c r="N44" i="90"/>
  <c r="N60" i="90"/>
  <c r="M44" i="90"/>
  <c r="L44" i="90"/>
  <c r="K44" i="90"/>
  <c r="J44" i="90"/>
  <c r="J60" i="90"/>
  <c r="I44" i="90"/>
  <c r="H44" i="90"/>
  <c r="G44" i="90"/>
  <c r="F44" i="90"/>
  <c r="F60" i="90"/>
  <c r="B23" i="90"/>
  <c r="R22" i="90"/>
  <c r="Q22" i="90"/>
  <c r="P22" i="90"/>
  <c r="N22" i="90"/>
  <c r="L22" i="90"/>
  <c r="J22" i="90"/>
  <c r="H22" i="90"/>
  <c r="F22" i="90"/>
  <c r="D22" i="90"/>
  <c r="D23" i="90"/>
  <c r="C22" i="90"/>
  <c r="C23" i="90"/>
  <c r="B22" i="90"/>
  <c r="S21" i="90"/>
  <c r="R21" i="90"/>
  <c r="Q21" i="90"/>
  <c r="P21" i="90"/>
  <c r="O21" i="90"/>
  <c r="L21" i="90"/>
  <c r="J21" i="90"/>
  <c r="I21" i="90"/>
  <c r="H21" i="90"/>
  <c r="G21" i="90"/>
  <c r="F21" i="90"/>
  <c r="B21" i="90"/>
  <c r="S20" i="90"/>
  <c r="R20" i="90"/>
  <c r="Q20" i="90"/>
  <c r="P20" i="90"/>
  <c r="O20" i="90"/>
  <c r="N20" i="90"/>
  <c r="M20" i="90"/>
  <c r="L20" i="90"/>
  <c r="K20" i="90"/>
  <c r="J20" i="90"/>
  <c r="I20" i="90"/>
  <c r="H20" i="90"/>
  <c r="G20" i="90"/>
  <c r="F20" i="90"/>
  <c r="S19" i="90"/>
  <c r="R19" i="90"/>
  <c r="Q19" i="90"/>
  <c r="P19" i="90"/>
  <c r="O19" i="90"/>
  <c r="N19" i="90"/>
  <c r="M19" i="90"/>
  <c r="L19" i="90"/>
  <c r="K19" i="90"/>
  <c r="J19" i="90"/>
  <c r="I19" i="90"/>
  <c r="H19" i="90"/>
  <c r="G19" i="90"/>
  <c r="F19" i="90"/>
  <c r="D19" i="90"/>
  <c r="D20" i="90"/>
  <c r="C19" i="90"/>
  <c r="C20" i="90"/>
  <c r="S18" i="90"/>
  <c r="R18" i="90"/>
  <c r="Q18" i="90"/>
  <c r="P18" i="90"/>
  <c r="O18" i="90"/>
  <c r="N18" i="90"/>
  <c r="M18" i="90"/>
  <c r="L18" i="90"/>
  <c r="K18" i="90"/>
  <c r="J18" i="90"/>
  <c r="I18" i="90"/>
  <c r="H18" i="90"/>
  <c r="G18" i="90"/>
  <c r="F18" i="90"/>
  <c r="B18" i="90"/>
  <c r="B19" i="90"/>
  <c r="B20" i="90"/>
  <c r="Q22" i="91"/>
  <c r="P22" i="91"/>
  <c r="O22" i="91"/>
  <c r="N22" i="91"/>
  <c r="M22" i="91"/>
  <c r="L22" i="91"/>
  <c r="K22" i="91"/>
  <c r="J22" i="91"/>
  <c r="I22" i="91"/>
  <c r="H22" i="91"/>
  <c r="G22" i="91"/>
  <c r="F22" i="91"/>
  <c r="E22" i="91"/>
  <c r="D22" i="91"/>
  <c r="Q21" i="91"/>
  <c r="P21" i="91"/>
  <c r="O21" i="91"/>
  <c r="N21" i="91"/>
  <c r="M21" i="91"/>
  <c r="L21" i="91"/>
  <c r="K21" i="91"/>
  <c r="J21" i="91"/>
  <c r="I21" i="91"/>
  <c r="H21" i="91"/>
  <c r="G21" i="91"/>
  <c r="F21" i="91"/>
  <c r="E21" i="91"/>
  <c r="D21" i="91"/>
  <c r="Q20" i="91"/>
  <c r="P20" i="91"/>
  <c r="O20" i="91"/>
  <c r="N20" i="91"/>
  <c r="M20" i="91"/>
  <c r="L20" i="91"/>
  <c r="K20" i="91"/>
  <c r="J20" i="91"/>
  <c r="I20" i="91"/>
  <c r="H20" i="91"/>
  <c r="G20" i="91"/>
  <c r="F20" i="91"/>
  <c r="E20" i="91"/>
  <c r="D20" i="91"/>
  <c r="E88" i="88"/>
  <c r="E89" i="88"/>
  <c r="D88" i="88"/>
  <c r="D89" i="88"/>
  <c r="E85" i="88"/>
  <c r="E86" i="88"/>
  <c r="D85" i="88"/>
  <c r="D86" i="88"/>
  <c r="E82" i="88"/>
  <c r="E83" i="88"/>
  <c r="D82" i="88"/>
  <c r="D83" i="88"/>
  <c r="E79" i="88"/>
  <c r="E80" i="88"/>
  <c r="D79" i="88"/>
  <c r="D80" i="88"/>
  <c r="E76" i="88"/>
  <c r="E77" i="88"/>
  <c r="D76" i="88"/>
  <c r="D77" i="88"/>
  <c r="E73" i="88"/>
  <c r="E74" i="88"/>
  <c r="D73" i="88"/>
  <c r="D74" i="88"/>
  <c r="E70" i="88"/>
  <c r="E71" i="88"/>
  <c r="D70" i="88"/>
  <c r="D71" i="88"/>
  <c r="E67" i="88"/>
  <c r="E68" i="88"/>
  <c r="D67" i="88"/>
  <c r="D68" i="88"/>
  <c r="Q38" i="88"/>
  <c r="P38" i="88"/>
  <c r="O38" i="88"/>
  <c r="N38" i="88"/>
  <c r="M38" i="88"/>
  <c r="L38" i="88"/>
  <c r="K38" i="88"/>
  <c r="J38" i="88"/>
  <c r="I38" i="88"/>
  <c r="H38" i="88"/>
  <c r="G38" i="88"/>
  <c r="F38" i="88"/>
  <c r="E38" i="88"/>
  <c r="D38" i="88"/>
  <c r="Q37" i="88"/>
  <c r="P37" i="88"/>
  <c r="O37" i="88"/>
  <c r="N37" i="88"/>
  <c r="M37" i="88"/>
  <c r="L37" i="88"/>
  <c r="K37" i="88"/>
  <c r="J37" i="88"/>
  <c r="I37" i="88"/>
  <c r="H37" i="88"/>
  <c r="G37" i="88"/>
  <c r="F37" i="88"/>
  <c r="E37" i="88"/>
  <c r="D37" i="88"/>
  <c r="Q36" i="88"/>
  <c r="P36" i="88"/>
  <c r="O36" i="88"/>
  <c r="N36" i="88"/>
  <c r="M36" i="88"/>
  <c r="L36" i="88"/>
  <c r="K36" i="88"/>
  <c r="J36" i="88"/>
  <c r="I36" i="88"/>
  <c r="H36" i="88"/>
  <c r="G36" i="88"/>
  <c r="F36" i="88"/>
  <c r="E36" i="88"/>
  <c r="D36" i="88"/>
  <c r="Q35" i="88"/>
  <c r="P35" i="88"/>
  <c r="O35" i="88"/>
  <c r="N35" i="88"/>
  <c r="M35" i="88"/>
  <c r="L35" i="88"/>
  <c r="K35" i="88"/>
  <c r="J35" i="88"/>
  <c r="I35" i="88"/>
  <c r="H35" i="88"/>
  <c r="G35" i="88"/>
  <c r="F35" i="88"/>
  <c r="E35" i="88"/>
  <c r="D35" i="88"/>
  <c r="Q34" i="88"/>
  <c r="P34" i="88"/>
  <c r="O34" i="88"/>
  <c r="N34" i="88"/>
  <c r="M34" i="88"/>
  <c r="L34" i="88"/>
  <c r="K34" i="88"/>
  <c r="J34" i="88"/>
  <c r="I34" i="88"/>
  <c r="H34" i="88"/>
  <c r="G34" i="88"/>
  <c r="F34" i="88"/>
  <c r="E34" i="88"/>
  <c r="D34" i="88"/>
  <c r="Q33" i="88"/>
  <c r="P33" i="88"/>
  <c r="O33" i="88"/>
  <c r="N33" i="88"/>
  <c r="M33" i="88"/>
  <c r="L33" i="88"/>
  <c r="K33" i="88"/>
  <c r="J33" i="88"/>
  <c r="I33" i="88"/>
  <c r="H33" i="88"/>
  <c r="G33" i="88"/>
  <c r="F33" i="88"/>
  <c r="E33" i="88"/>
  <c r="D33" i="88"/>
  <c r="E85" i="93"/>
  <c r="G38" i="59"/>
  <c r="F38" i="59"/>
  <c r="E38" i="59"/>
  <c r="D38" i="59"/>
  <c r="I60" i="90"/>
  <c r="G62" i="90"/>
  <c r="S62" i="90"/>
  <c r="Q65" i="90"/>
  <c r="Q23" i="90"/>
  <c r="O60" i="90"/>
  <c r="J62" i="90"/>
  <c r="H65" i="90"/>
  <c r="H23" i="90"/>
  <c r="M60" i="90"/>
  <c r="K62" i="90"/>
  <c r="I65" i="90"/>
  <c r="I23" i="90"/>
  <c r="G60" i="90"/>
  <c r="S60" i="90"/>
  <c r="N62" i="90"/>
  <c r="L65" i="90"/>
  <c r="L23" i="90"/>
  <c r="Q60" i="90"/>
  <c r="O62" i="90"/>
  <c r="M65" i="90"/>
  <c r="M23" i="90"/>
  <c r="K60" i="90"/>
  <c r="H60" i="90"/>
  <c r="L60" i="90"/>
  <c r="P60" i="90"/>
  <c r="I62" i="90"/>
  <c r="M62" i="90"/>
  <c r="Q62" i="90"/>
  <c r="G65" i="90"/>
  <c r="G23" i="90"/>
  <c r="K65" i="90"/>
  <c r="K23" i="90"/>
  <c r="O65" i="90"/>
  <c r="O23" i="90"/>
  <c r="S65" i="90"/>
  <c r="S23" i="90"/>
  <c r="O79" i="93"/>
  <c r="O73" i="93"/>
  <c r="R78" i="93"/>
  <c r="Q78" i="93"/>
  <c r="N62" i="19"/>
  <c r="N59" i="19"/>
  <c r="I59" i="19"/>
  <c r="C59" i="19"/>
  <c r="C114" i="19"/>
  <c r="P75" i="93"/>
  <c r="P79" i="93"/>
  <c r="P73" i="93"/>
  <c r="P33" i="93"/>
  <c r="Q79" i="93"/>
  <c r="R79" i="93"/>
  <c r="R71" i="93"/>
  <c r="D87" i="93"/>
  <c r="D27" i="93"/>
  <c r="N83" i="19"/>
  <c r="P53" i="19"/>
  <c r="P56" i="19"/>
  <c r="P50" i="19"/>
  <c r="AL35" i="72"/>
  <c r="AI35" i="72" s="1"/>
  <c r="AL34" i="72"/>
  <c r="AI34" i="72" s="1"/>
  <c r="AN34" i="72" s="1"/>
  <c r="AO34" i="72" s="1"/>
  <c r="AP34" i="72" s="1"/>
  <c r="AQ34" i="72" s="1"/>
  <c r="AH35" i="72"/>
  <c r="D114" i="19"/>
  <c r="C83" i="19"/>
  <c r="D10" i="87"/>
  <c r="P89" i="19"/>
  <c r="P86" i="19"/>
  <c r="P83" i="19"/>
  <c r="F27" i="93"/>
  <c r="N89" i="19"/>
  <c r="E27" i="93"/>
  <c r="N86" i="19"/>
  <c r="H89" i="19"/>
  <c r="H86" i="19"/>
  <c r="I83" i="19"/>
  <c r="H83" i="19"/>
  <c r="G27" i="93"/>
  <c r="G88" i="93"/>
  <c r="F88" i="93"/>
  <c r="E88" i="93"/>
  <c r="D88" i="93"/>
  <c r="F129" i="93"/>
  <c r="F110" i="93"/>
  <c r="G110" i="93"/>
  <c r="G100" i="93"/>
  <c r="G60" i="93"/>
  <c r="G68" i="93"/>
  <c r="E129" i="93"/>
  <c r="E110" i="93"/>
  <c r="E100" i="93"/>
  <c r="E60" i="93"/>
  <c r="E68" i="93"/>
  <c r="D129" i="93"/>
  <c r="F128" i="93"/>
  <c r="F109" i="93"/>
  <c r="F99" i="93"/>
  <c r="F59" i="93"/>
  <c r="F67" i="93"/>
  <c r="E128" i="93"/>
  <c r="D128" i="93"/>
  <c r="D109" i="93"/>
  <c r="D99" i="93"/>
  <c r="D59" i="93"/>
  <c r="D67" i="93"/>
  <c r="F127" i="93"/>
  <c r="E127" i="93"/>
  <c r="E108" i="93"/>
  <c r="E98" i="93"/>
  <c r="E58" i="93"/>
  <c r="E66" i="93"/>
  <c r="D127" i="93"/>
  <c r="D108" i="93"/>
  <c r="D98" i="93"/>
  <c r="D58" i="93"/>
  <c r="D66" i="93"/>
  <c r="F126" i="93"/>
  <c r="F107" i="93"/>
  <c r="E126" i="93"/>
  <c r="E107" i="93"/>
  <c r="E97" i="93"/>
  <c r="E57" i="93"/>
  <c r="E65" i="93"/>
  <c r="D126" i="93"/>
  <c r="D107" i="93"/>
  <c r="D97" i="93"/>
  <c r="D57" i="93"/>
  <c r="D65" i="93"/>
  <c r="F125" i="93"/>
  <c r="F106" i="93"/>
  <c r="F96" i="93"/>
  <c r="F56" i="93"/>
  <c r="F64" i="93"/>
  <c r="E125" i="93"/>
  <c r="E106" i="93"/>
  <c r="E96" i="93"/>
  <c r="E56" i="93"/>
  <c r="E64" i="93"/>
  <c r="D125" i="93"/>
  <c r="F124" i="93"/>
  <c r="E124" i="93"/>
  <c r="D124" i="93"/>
  <c r="D110" i="93"/>
  <c r="D100" i="93"/>
  <c r="D60" i="93"/>
  <c r="D68" i="93"/>
  <c r="E109" i="93"/>
  <c r="E99" i="93"/>
  <c r="E59" i="93"/>
  <c r="E67" i="93"/>
  <c r="F108" i="93"/>
  <c r="F98" i="93"/>
  <c r="F58" i="93"/>
  <c r="F66" i="93"/>
  <c r="D106" i="93"/>
  <c r="D96" i="93"/>
  <c r="D56" i="93"/>
  <c r="D64" i="93"/>
  <c r="G77" i="93"/>
  <c r="F77" i="93"/>
  <c r="E77" i="93"/>
  <c r="D77" i="93"/>
  <c r="G75" i="93"/>
  <c r="F75" i="93"/>
  <c r="F28" i="93"/>
  <c r="E75" i="93"/>
  <c r="E28" i="93"/>
  <c r="D75" i="93"/>
  <c r="G28" i="93"/>
  <c r="D28" i="93"/>
  <c r="G23" i="93"/>
  <c r="G24" i="93"/>
  <c r="F23" i="93"/>
  <c r="F24" i="93"/>
  <c r="E23" i="93"/>
  <c r="E24" i="93"/>
  <c r="D23" i="93"/>
  <c r="D24" i="93"/>
  <c r="D27" i="52"/>
  <c r="N44" i="19"/>
  <c r="G81" i="52"/>
  <c r="G85" i="93"/>
  <c r="F81" i="52"/>
  <c r="F85" i="93"/>
  <c r="D81" i="52"/>
  <c r="D85" i="93"/>
  <c r="D176" i="88"/>
  <c r="D162" i="88"/>
  <c r="D100" i="88"/>
  <c r="F162" i="88"/>
  <c r="F100" i="88"/>
  <c r="Q176" i="88"/>
  <c r="Q162" i="88"/>
  <c r="Q100" i="88"/>
  <c r="G176" i="88"/>
  <c r="G162" i="88"/>
  <c r="G100" i="88"/>
  <c r="E176" i="88"/>
  <c r="E162" i="88"/>
  <c r="E100" i="88"/>
  <c r="O176" i="88"/>
  <c r="N176" i="88"/>
  <c r="N162" i="88"/>
  <c r="N100" i="88"/>
  <c r="L176" i="88"/>
  <c r="I176" i="88"/>
  <c r="D25" i="53"/>
  <c r="T41" i="86"/>
  <c r="V33" i="86"/>
  <c r="V32" i="86"/>
  <c r="V34" i="86"/>
  <c r="V31" i="86"/>
  <c r="D67" i="68"/>
  <c r="D79" i="68"/>
  <c r="D25" i="68"/>
  <c r="D26" i="68"/>
  <c r="S31" i="85"/>
  <c r="S32" i="85"/>
  <c r="S33" i="85"/>
  <c r="S34" i="85"/>
  <c r="S38" i="85"/>
  <c r="S39" i="85"/>
  <c r="S40" i="85"/>
  <c r="L14" i="82"/>
  <c r="L42" i="82" s="1"/>
  <c r="H50" i="19"/>
  <c r="Q33" i="19"/>
  <c r="Q31" i="19"/>
  <c r="Q29" i="19"/>
  <c r="Q27" i="19"/>
  <c r="Q25" i="19"/>
  <c r="Q23" i="19"/>
  <c r="C111" i="19"/>
  <c r="C110" i="19"/>
  <c r="D109" i="19"/>
  <c r="D110" i="19"/>
  <c r="D111" i="19"/>
  <c r="C109" i="19"/>
  <c r="C44" i="19"/>
  <c r="C112" i="19"/>
  <c r="B17" i="85"/>
  <c r="C50" i="19"/>
  <c r="B5" i="85"/>
  <c r="C61" i="9"/>
  <c r="C104" i="9"/>
  <c r="C57" i="9"/>
  <c r="C103" i="9"/>
  <c r="C53" i="9"/>
  <c r="C41" i="9"/>
  <c r="C101" i="9"/>
  <c r="AC13" i="9"/>
  <c r="C33" i="9"/>
  <c r="C99" i="9"/>
  <c r="C37" i="9"/>
  <c r="C29" i="9"/>
  <c r="C98" i="9"/>
  <c r="D25" i="52"/>
  <c r="D84" i="52"/>
  <c r="D24" i="52"/>
  <c r="AB14" i="9"/>
  <c r="AC14" i="9"/>
  <c r="V41" i="9" a="1"/>
  <c r="V41" i="9"/>
  <c r="AG94" i="9"/>
  <c r="S147" i="91"/>
  <c r="R147" i="91"/>
  <c r="R76" i="91"/>
  <c r="Q147" i="91"/>
  <c r="Q76" i="91"/>
  <c r="P147" i="91"/>
  <c r="P76" i="91"/>
  <c r="O147" i="91"/>
  <c r="O76" i="91"/>
  <c r="N147" i="91"/>
  <c r="M147" i="91"/>
  <c r="M76" i="91"/>
  <c r="L147" i="91"/>
  <c r="K147" i="91"/>
  <c r="K76" i="91"/>
  <c r="J147" i="91"/>
  <c r="J76" i="91"/>
  <c r="I147" i="91"/>
  <c r="I76" i="91"/>
  <c r="H147" i="91"/>
  <c r="H76" i="91"/>
  <c r="G147" i="91"/>
  <c r="F147" i="91"/>
  <c r="F76" i="91"/>
  <c r="E147" i="91"/>
  <c r="E76" i="91"/>
  <c r="D147" i="91"/>
  <c r="D76" i="91"/>
  <c r="S146" i="91"/>
  <c r="R146" i="91"/>
  <c r="Q146" i="91"/>
  <c r="Q148" i="91"/>
  <c r="Q77" i="91"/>
  <c r="P146" i="91"/>
  <c r="P75" i="91"/>
  <c r="O146" i="91"/>
  <c r="N146" i="91"/>
  <c r="N148" i="91"/>
  <c r="N77" i="91"/>
  <c r="M146" i="91"/>
  <c r="L146" i="91"/>
  <c r="L75" i="91"/>
  <c r="K146" i="91"/>
  <c r="K148" i="91"/>
  <c r="K77" i="91"/>
  <c r="J146" i="91"/>
  <c r="J148" i="91"/>
  <c r="J77" i="91"/>
  <c r="I146" i="91"/>
  <c r="I75" i="91"/>
  <c r="H146" i="91"/>
  <c r="G146" i="91"/>
  <c r="F146" i="91"/>
  <c r="E146" i="91"/>
  <c r="E148" i="91"/>
  <c r="E77" i="91"/>
  <c r="D146" i="91"/>
  <c r="S145" i="91"/>
  <c r="R145" i="91"/>
  <c r="Q145" i="91"/>
  <c r="P145" i="91"/>
  <c r="O145" i="91"/>
  <c r="N145" i="91"/>
  <c r="M145" i="91"/>
  <c r="L145" i="91"/>
  <c r="K145" i="91"/>
  <c r="J145" i="91"/>
  <c r="I145" i="91"/>
  <c r="H145" i="91"/>
  <c r="G145" i="91"/>
  <c r="F145" i="91"/>
  <c r="E145" i="91"/>
  <c r="D145" i="91"/>
  <c r="S141" i="91"/>
  <c r="S73" i="91"/>
  <c r="R141" i="91"/>
  <c r="Q141" i="91"/>
  <c r="P141" i="91"/>
  <c r="P73" i="91"/>
  <c r="O141" i="91"/>
  <c r="N141" i="91"/>
  <c r="N73" i="91"/>
  <c r="M141" i="91"/>
  <c r="L141" i="91"/>
  <c r="L73" i="91"/>
  <c r="K141" i="91"/>
  <c r="K73" i="91"/>
  <c r="J141" i="91"/>
  <c r="J73" i="91"/>
  <c r="I141" i="91"/>
  <c r="I73" i="91"/>
  <c r="H141" i="91"/>
  <c r="H73" i="91"/>
  <c r="G141" i="91"/>
  <c r="F141" i="91"/>
  <c r="F73" i="91"/>
  <c r="E141" i="91"/>
  <c r="D141" i="91"/>
  <c r="D73" i="91"/>
  <c r="S140" i="91"/>
  <c r="R140" i="91"/>
  <c r="R72" i="91"/>
  <c r="Q140" i="91"/>
  <c r="Q72" i="91"/>
  <c r="P140" i="91"/>
  <c r="P142" i="91"/>
  <c r="P74" i="91"/>
  <c r="O140" i="91"/>
  <c r="N140" i="91"/>
  <c r="N142" i="91"/>
  <c r="N74" i="91"/>
  <c r="M140" i="91"/>
  <c r="L140" i="91"/>
  <c r="K140" i="91"/>
  <c r="K72" i="91"/>
  <c r="J140" i="91"/>
  <c r="J142" i="91"/>
  <c r="J74" i="91"/>
  <c r="I140" i="91"/>
  <c r="H140" i="91"/>
  <c r="H72" i="91"/>
  <c r="G140" i="91"/>
  <c r="F140" i="91"/>
  <c r="F72" i="91"/>
  <c r="E140" i="91"/>
  <c r="D140" i="91"/>
  <c r="S139" i="91"/>
  <c r="R139" i="91"/>
  <c r="Q139" i="91"/>
  <c r="P139" i="91"/>
  <c r="O139" i="91"/>
  <c r="N139" i="91"/>
  <c r="M139" i="91"/>
  <c r="L139" i="91"/>
  <c r="K139" i="91"/>
  <c r="J139" i="91"/>
  <c r="I139" i="91"/>
  <c r="H139" i="91"/>
  <c r="G139" i="91"/>
  <c r="F139" i="91"/>
  <c r="E139" i="91"/>
  <c r="D139" i="91"/>
  <c r="S135" i="91"/>
  <c r="S70" i="91"/>
  <c r="R135" i="91"/>
  <c r="R70" i="91"/>
  <c r="Q135" i="91"/>
  <c r="Q70" i="91"/>
  <c r="P135" i="91"/>
  <c r="O135" i="91"/>
  <c r="O70" i="91"/>
  <c r="N135" i="91"/>
  <c r="N70" i="91"/>
  <c r="M135" i="91"/>
  <c r="M70" i="91"/>
  <c r="L135" i="91"/>
  <c r="K135" i="91"/>
  <c r="J135" i="91"/>
  <c r="J70" i="91"/>
  <c r="I135" i="91"/>
  <c r="I70" i="91"/>
  <c r="H135" i="91"/>
  <c r="H70" i="91"/>
  <c r="G135" i="91"/>
  <c r="F135" i="91"/>
  <c r="F70" i="91"/>
  <c r="E135" i="91"/>
  <c r="E70" i="91"/>
  <c r="D135" i="91"/>
  <c r="D70" i="91"/>
  <c r="S134" i="91"/>
  <c r="R134" i="91"/>
  <c r="R69" i="91"/>
  <c r="Q134" i="91"/>
  <c r="Q136" i="91"/>
  <c r="Q71" i="91"/>
  <c r="P134" i="91"/>
  <c r="P69" i="91"/>
  <c r="O134" i="91"/>
  <c r="N134" i="91"/>
  <c r="M134" i="91"/>
  <c r="L134" i="91"/>
  <c r="L69" i="91"/>
  <c r="K134" i="91"/>
  <c r="J134" i="91"/>
  <c r="I134" i="91"/>
  <c r="H134" i="91"/>
  <c r="H69" i="91"/>
  <c r="G134" i="91"/>
  <c r="G69" i="91"/>
  <c r="F134" i="91"/>
  <c r="E134" i="91"/>
  <c r="D134" i="91"/>
  <c r="S133" i="91"/>
  <c r="R133" i="91"/>
  <c r="Q133" i="91"/>
  <c r="P133" i="91"/>
  <c r="O133" i="91"/>
  <c r="N133" i="91"/>
  <c r="M133" i="91"/>
  <c r="L133" i="91"/>
  <c r="K133" i="91"/>
  <c r="J133" i="91"/>
  <c r="I133" i="91"/>
  <c r="H133" i="91"/>
  <c r="G133" i="91"/>
  <c r="F133" i="91"/>
  <c r="E133" i="91"/>
  <c r="D133" i="91"/>
  <c r="S129" i="91"/>
  <c r="S67" i="91"/>
  <c r="R129" i="91"/>
  <c r="R67" i="91"/>
  <c r="Q129" i="91"/>
  <c r="P129" i="91"/>
  <c r="P67" i="91"/>
  <c r="O129" i="91"/>
  <c r="O67" i="91"/>
  <c r="N129" i="91"/>
  <c r="N67" i="91"/>
  <c r="M129" i="91"/>
  <c r="M67" i="91"/>
  <c r="L129" i="91"/>
  <c r="L67" i="91"/>
  <c r="K129" i="91"/>
  <c r="K67" i="91"/>
  <c r="J129" i="91"/>
  <c r="J67" i="91"/>
  <c r="I129" i="91"/>
  <c r="H129" i="91"/>
  <c r="H67" i="91"/>
  <c r="G129" i="91"/>
  <c r="G67" i="91"/>
  <c r="F129" i="91"/>
  <c r="E129" i="91"/>
  <c r="D129" i="91"/>
  <c r="D67" i="91"/>
  <c r="S128" i="91"/>
  <c r="R128" i="91"/>
  <c r="Q128" i="91"/>
  <c r="P128" i="91"/>
  <c r="P66" i="91"/>
  <c r="O128" i="91"/>
  <c r="O66" i="91"/>
  <c r="N128" i="91"/>
  <c r="M128" i="91"/>
  <c r="L128" i="91"/>
  <c r="K128" i="91"/>
  <c r="K66" i="91"/>
  <c r="J128" i="91"/>
  <c r="I128" i="91"/>
  <c r="I66" i="91"/>
  <c r="H128" i="91"/>
  <c r="G128" i="91"/>
  <c r="F128" i="91"/>
  <c r="E128" i="91"/>
  <c r="E130" i="91"/>
  <c r="E68" i="91"/>
  <c r="D128" i="91"/>
  <c r="S127" i="91"/>
  <c r="R127" i="91"/>
  <c r="Q127" i="91"/>
  <c r="P127" i="91"/>
  <c r="O127" i="91"/>
  <c r="N127" i="91"/>
  <c r="M127" i="91"/>
  <c r="L127" i="91"/>
  <c r="K127" i="91"/>
  <c r="J127" i="91"/>
  <c r="I127" i="91"/>
  <c r="H127" i="91"/>
  <c r="G127" i="91"/>
  <c r="F127" i="91"/>
  <c r="E127" i="91"/>
  <c r="D127" i="91"/>
  <c r="S123" i="91"/>
  <c r="S64" i="91"/>
  <c r="R123" i="91"/>
  <c r="Q123" i="91"/>
  <c r="Q64" i="91"/>
  <c r="P123" i="91"/>
  <c r="P64" i="91"/>
  <c r="O123" i="91"/>
  <c r="N123" i="91"/>
  <c r="N64" i="91"/>
  <c r="M123" i="91"/>
  <c r="L123" i="91"/>
  <c r="K123" i="91"/>
  <c r="K64" i="91"/>
  <c r="J123" i="91"/>
  <c r="J64" i="91"/>
  <c r="I123" i="91"/>
  <c r="I64" i="91"/>
  <c r="H123" i="91"/>
  <c r="H64" i="91"/>
  <c r="G123" i="91"/>
  <c r="G64" i="91"/>
  <c r="F123" i="91"/>
  <c r="F64" i="91"/>
  <c r="E123" i="91"/>
  <c r="E64" i="91"/>
  <c r="D123" i="91"/>
  <c r="D64" i="91"/>
  <c r="S122" i="91"/>
  <c r="R122" i="91"/>
  <c r="R124" i="91"/>
  <c r="R65" i="91"/>
  <c r="Q122" i="91"/>
  <c r="P122" i="91"/>
  <c r="O122" i="91"/>
  <c r="O124" i="91"/>
  <c r="O65" i="91"/>
  <c r="N122" i="91"/>
  <c r="M122" i="91"/>
  <c r="M63" i="91"/>
  <c r="L122" i="91"/>
  <c r="L63" i="91"/>
  <c r="K122" i="91"/>
  <c r="K63" i="91"/>
  <c r="J122" i="91"/>
  <c r="I122" i="91"/>
  <c r="I63" i="91"/>
  <c r="H122" i="91"/>
  <c r="H63" i="91"/>
  <c r="G122" i="91"/>
  <c r="F122" i="91"/>
  <c r="E122" i="91"/>
  <c r="E63" i="91"/>
  <c r="D122" i="91"/>
  <c r="D63" i="91"/>
  <c r="S121" i="91"/>
  <c r="R121" i="91"/>
  <c r="Q121" i="91"/>
  <c r="P121" i="91"/>
  <c r="O121" i="91"/>
  <c r="N121" i="91"/>
  <c r="M121" i="91"/>
  <c r="L121" i="91"/>
  <c r="K121" i="91"/>
  <c r="J121" i="91"/>
  <c r="I121" i="91"/>
  <c r="H121" i="91"/>
  <c r="G121" i="91"/>
  <c r="F121" i="91"/>
  <c r="E121" i="91"/>
  <c r="D121" i="91"/>
  <c r="S117" i="91"/>
  <c r="S61" i="91"/>
  <c r="R117" i="91"/>
  <c r="R61" i="91"/>
  <c r="Q117" i="91"/>
  <c r="P117" i="91"/>
  <c r="P61" i="91"/>
  <c r="O117" i="91"/>
  <c r="N117" i="91"/>
  <c r="N61" i="91"/>
  <c r="M117" i="91"/>
  <c r="L117" i="91"/>
  <c r="L61" i="91"/>
  <c r="K117" i="91"/>
  <c r="K61" i="91"/>
  <c r="J117" i="91"/>
  <c r="J61" i="91"/>
  <c r="I117" i="91"/>
  <c r="H117" i="91"/>
  <c r="H61" i="91"/>
  <c r="G117" i="91"/>
  <c r="G61" i="91"/>
  <c r="F117" i="91"/>
  <c r="F61" i="91"/>
  <c r="E117" i="91"/>
  <c r="D117" i="91"/>
  <c r="D61" i="91"/>
  <c r="S116" i="91"/>
  <c r="R116" i="91"/>
  <c r="Q116" i="91"/>
  <c r="Q118" i="91"/>
  <c r="Q62" i="91"/>
  <c r="P116" i="91"/>
  <c r="P60" i="91"/>
  <c r="O116" i="91"/>
  <c r="N116" i="91"/>
  <c r="M116" i="91"/>
  <c r="M60" i="91"/>
  <c r="L116" i="91"/>
  <c r="K116" i="91"/>
  <c r="J116" i="91"/>
  <c r="J118" i="91"/>
  <c r="J62" i="91"/>
  <c r="I116" i="91"/>
  <c r="I60" i="91"/>
  <c r="H116" i="91"/>
  <c r="H60" i="91"/>
  <c r="G116" i="91"/>
  <c r="G60" i="91"/>
  <c r="F116" i="91"/>
  <c r="F60" i="91"/>
  <c r="E116" i="91"/>
  <c r="D116" i="91"/>
  <c r="S115" i="91"/>
  <c r="R115" i="91"/>
  <c r="Q115" i="91"/>
  <c r="P115" i="91"/>
  <c r="O115" i="91"/>
  <c r="N115" i="91"/>
  <c r="M115" i="91"/>
  <c r="L115" i="91"/>
  <c r="K115" i="91"/>
  <c r="J115" i="91"/>
  <c r="I115" i="91"/>
  <c r="H115" i="91"/>
  <c r="G115" i="91"/>
  <c r="F115" i="91"/>
  <c r="E115" i="91"/>
  <c r="D115" i="91"/>
  <c r="S111" i="91"/>
  <c r="S58" i="91"/>
  <c r="R111" i="91"/>
  <c r="R58" i="91"/>
  <c r="Q111" i="91"/>
  <c r="Q58" i="91"/>
  <c r="P111" i="91"/>
  <c r="O111" i="91"/>
  <c r="O58" i="91"/>
  <c r="N111" i="91"/>
  <c r="N110" i="91"/>
  <c r="N112" i="91"/>
  <c r="N59" i="91"/>
  <c r="M111" i="91"/>
  <c r="M58" i="91"/>
  <c r="L111" i="91"/>
  <c r="L110" i="91"/>
  <c r="L112" i="91"/>
  <c r="L59" i="91"/>
  <c r="K111" i="91"/>
  <c r="K58" i="91"/>
  <c r="J111" i="91"/>
  <c r="J58" i="91"/>
  <c r="I111" i="91"/>
  <c r="I58" i="91"/>
  <c r="H111" i="91"/>
  <c r="H58" i="91"/>
  <c r="G111" i="91"/>
  <c r="G58" i="91"/>
  <c r="F111" i="91"/>
  <c r="E111" i="91"/>
  <c r="E58" i="91"/>
  <c r="D111" i="91"/>
  <c r="S110" i="91"/>
  <c r="S112" i="91"/>
  <c r="S59" i="91"/>
  <c r="R110" i="91"/>
  <c r="Q110" i="91"/>
  <c r="P110" i="91"/>
  <c r="P57" i="91"/>
  <c r="O110" i="91"/>
  <c r="M110" i="91"/>
  <c r="L57" i="91"/>
  <c r="K110" i="91"/>
  <c r="J110" i="91"/>
  <c r="J57" i="91"/>
  <c r="I110" i="91"/>
  <c r="H110" i="91"/>
  <c r="G110" i="91"/>
  <c r="G57" i="91"/>
  <c r="F110" i="91"/>
  <c r="E110" i="91"/>
  <c r="D110" i="91"/>
  <c r="D57" i="91"/>
  <c r="S109" i="91"/>
  <c r="R109" i="91"/>
  <c r="Q109" i="91"/>
  <c r="P109" i="91"/>
  <c r="O109" i="91"/>
  <c r="N109" i="91"/>
  <c r="M109" i="91"/>
  <c r="L109" i="91"/>
  <c r="K109" i="91"/>
  <c r="J109" i="91"/>
  <c r="I109" i="91"/>
  <c r="H109" i="91"/>
  <c r="G109" i="91"/>
  <c r="F109" i="91"/>
  <c r="E109" i="91"/>
  <c r="D109" i="91"/>
  <c r="S105" i="91"/>
  <c r="S55" i="91"/>
  <c r="R105" i="91"/>
  <c r="R55" i="91"/>
  <c r="Q105" i="91"/>
  <c r="Q55" i="91"/>
  <c r="P105" i="91"/>
  <c r="P55" i="91"/>
  <c r="O105" i="91"/>
  <c r="O55" i="91"/>
  <c r="N105" i="91"/>
  <c r="M105" i="91"/>
  <c r="M55" i="91"/>
  <c r="L105" i="91"/>
  <c r="L55" i="91"/>
  <c r="K105" i="91"/>
  <c r="K55" i="91"/>
  <c r="J105" i="91"/>
  <c r="J55" i="91"/>
  <c r="I105" i="91"/>
  <c r="I55" i="91"/>
  <c r="H105" i="91"/>
  <c r="H55" i="91"/>
  <c r="G105" i="91"/>
  <c r="F105" i="91"/>
  <c r="F55" i="91"/>
  <c r="E105" i="91"/>
  <c r="E55" i="91"/>
  <c r="D105" i="91"/>
  <c r="D55" i="91"/>
  <c r="S104" i="91"/>
  <c r="S54" i="91"/>
  <c r="R104" i="91"/>
  <c r="R106" i="91"/>
  <c r="R56" i="91"/>
  <c r="Q104" i="91"/>
  <c r="P104" i="91"/>
  <c r="P54" i="91"/>
  <c r="O104" i="91"/>
  <c r="O106" i="91"/>
  <c r="O56" i="91"/>
  <c r="N104" i="91"/>
  <c r="N106" i="91"/>
  <c r="N56" i="91"/>
  <c r="M104" i="91"/>
  <c r="L104" i="91"/>
  <c r="L54" i="91"/>
  <c r="K104" i="91"/>
  <c r="J104" i="91"/>
  <c r="I104" i="91"/>
  <c r="I54" i="91"/>
  <c r="H104" i="91"/>
  <c r="H54" i="91"/>
  <c r="G104" i="91"/>
  <c r="F104" i="91"/>
  <c r="E104" i="91"/>
  <c r="D104" i="91"/>
  <c r="D54" i="91"/>
  <c r="S103" i="91"/>
  <c r="R103" i="91"/>
  <c r="Q103" i="91"/>
  <c r="P103" i="91"/>
  <c r="O103" i="91"/>
  <c r="N103" i="91"/>
  <c r="M103" i="91"/>
  <c r="L103" i="91"/>
  <c r="K103" i="91"/>
  <c r="J103" i="91"/>
  <c r="I103" i="91"/>
  <c r="H103" i="91"/>
  <c r="G103" i="91"/>
  <c r="F103" i="91"/>
  <c r="E103" i="91"/>
  <c r="D103" i="91"/>
  <c r="S99" i="91"/>
  <c r="S52" i="91"/>
  <c r="R99" i="91"/>
  <c r="Q99" i="91"/>
  <c r="P99" i="91"/>
  <c r="O99" i="91"/>
  <c r="O52" i="91"/>
  <c r="N99" i="91"/>
  <c r="N98" i="91"/>
  <c r="N100" i="91"/>
  <c r="N53" i="91"/>
  <c r="M99" i="91"/>
  <c r="L99" i="91"/>
  <c r="L52" i="91"/>
  <c r="K99" i="91"/>
  <c r="K52" i="91"/>
  <c r="J99" i="91"/>
  <c r="J52" i="91"/>
  <c r="I99" i="91"/>
  <c r="H99" i="91"/>
  <c r="H52" i="91"/>
  <c r="G99" i="91"/>
  <c r="F99" i="91"/>
  <c r="E99" i="91"/>
  <c r="E52" i="91"/>
  <c r="D99" i="91"/>
  <c r="D52" i="91"/>
  <c r="S98" i="91"/>
  <c r="S51" i="91"/>
  <c r="R98" i="91"/>
  <c r="Q98" i="91"/>
  <c r="Q100" i="91"/>
  <c r="Q53" i="91"/>
  <c r="P98" i="91"/>
  <c r="P51" i="91"/>
  <c r="O98" i="91"/>
  <c r="O51" i="91"/>
  <c r="M98" i="91"/>
  <c r="M51" i="91"/>
  <c r="L98" i="91"/>
  <c r="K98" i="91"/>
  <c r="J98" i="91"/>
  <c r="J51" i="91"/>
  <c r="J100" i="91"/>
  <c r="J53" i="91"/>
  <c r="I98" i="91"/>
  <c r="I51" i="91"/>
  <c r="H98" i="91"/>
  <c r="H51" i="91"/>
  <c r="G98" i="91"/>
  <c r="F98" i="91"/>
  <c r="E98" i="91"/>
  <c r="D98" i="91"/>
  <c r="S97" i="91"/>
  <c r="R97" i="91"/>
  <c r="Q97" i="91"/>
  <c r="P97" i="91"/>
  <c r="O97" i="91"/>
  <c r="N97" i="91"/>
  <c r="M97" i="91"/>
  <c r="L97" i="91"/>
  <c r="K97" i="91"/>
  <c r="J97" i="91"/>
  <c r="I97" i="91"/>
  <c r="H97" i="91"/>
  <c r="G97" i="91"/>
  <c r="F97" i="91"/>
  <c r="E97" i="91"/>
  <c r="D97" i="91"/>
  <c r="S93" i="91"/>
  <c r="S49" i="91"/>
  <c r="R93" i="91"/>
  <c r="Q93" i="91"/>
  <c r="P93" i="91"/>
  <c r="O93" i="91"/>
  <c r="O49" i="91"/>
  <c r="N93" i="91"/>
  <c r="N49" i="91"/>
  <c r="M93" i="91"/>
  <c r="L93" i="91"/>
  <c r="L49" i="91"/>
  <c r="K93" i="91"/>
  <c r="K49" i="91"/>
  <c r="J93" i="91"/>
  <c r="I93" i="91"/>
  <c r="I92" i="91"/>
  <c r="I94" i="91"/>
  <c r="I50" i="91"/>
  <c r="H93" i="91"/>
  <c r="H49" i="91"/>
  <c r="G93" i="91"/>
  <c r="F93" i="91"/>
  <c r="F49" i="91"/>
  <c r="E93" i="91"/>
  <c r="E49" i="91"/>
  <c r="D93" i="91"/>
  <c r="S92" i="91"/>
  <c r="R92" i="91"/>
  <c r="R48" i="91"/>
  <c r="Q92" i="91"/>
  <c r="Q48" i="91"/>
  <c r="P92" i="91"/>
  <c r="O92" i="91"/>
  <c r="O48" i="91"/>
  <c r="O94" i="91"/>
  <c r="O50" i="91"/>
  <c r="N92" i="91"/>
  <c r="M92" i="91"/>
  <c r="L92" i="91"/>
  <c r="K92" i="91"/>
  <c r="K94" i="91"/>
  <c r="K50" i="91"/>
  <c r="J92" i="91"/>
  <c r="J48" i="91"/>
  <c r="H92" i="91"/>
  <c r="H94" i="91"/>
  <c r="H50" i="91"/>
  <c r="G92" i="91"/>
  <c r="G48" i="91"/>
  <c r="F92" i="91"/>
  <c r="F94" i="91"/>
  <c r="F50" i="91"/>
  <c r="E92" i="91"/>
  <c r="E48" i="91"/>
  <c r="D92" i="91"/>
  <c r="D48" i="91"/>
  <c r="S91" i="91"/>
  <c r="R91" i="91"/>
  <c r="Q91" i="91"/>
  <c r="P91" i="91"/>
  <c r="O91" i="91"/>
  <c r="N91" i="91"/>
  <c r="M91" i="91"/>
  <c r="L91" i="91"/>
  <c r="K91" i="91"/>
  <c r="J91" i="91"/>
  <c r="I91" i="91"/>
  <c r="H91" i="91"/>
  <c r="G91" i="91"/>
  <c r="F91" i="91"/>
  <c r="E91" i="91"/>
  <c r="D91" i="91"/>
  <c r="S87" i="91"/>
  <c r="S46" i="91"/>
  <c r="R87" i="91"/>
  <c r="Q87" i="91"/>
  <c r="Q46" i="91"/>
  <c r="P87" i="91"/>
  <c r="P46" i="91"/>
  <c r="O87" i="91"/>
  <c r="O46" i="91"/>
  <c r="N87" i="91"/>
  <c r="M87" i="91"/>
  <c r="M46" i="91"/>
  <c r="L87" i="91"/>
  <c r="L46" i="91"/>
  <c r="K87" i="91"/>
  <c r="K46" i="91"/>
  <c r="J87" i="91"/>
  <c r="J46" i="91"/>
  <c r="I87" i="91"/>
  <c r="I46" i="91"/>
  <c r="H87" i="91"/>
  <c r="H46" i="91"/>
  <c r="G87" i="91"/>
  <c r="G46" i="91"/>
  <c r="F87" i="91"/>
  <c r="F46" i="91"/>
  <c r="E87" i="91"/>
  <c r="E46" i="91"/>
  <c r="D87" i="91"/>
  <c r="D46" i="91"/>
  <c r="S86" i="91"/>
  <c r="R86" i="91"/>
  <c r="Q86" i="91"/>
  <c r="Q45" i="91"/>
  <c r="P86" i="91"/>
  <c r="O86" i="91"/>
  <c r="N86" i="91"/>
  <c r="M86" i="91"/>
  <c r="M45" i="91"/>
  <c r="L86" i="91"/>
  <c r="L88" i="91"/>
  <c r="L47" i="91"/>
  <c r="K86" i="91"/>
  <c r="J86" i="91"/>
  <c r="I86" i="91"/>
  <c r="I45" i="91"/>
  <c r="H86" i="91"/>
  <c r="G86" i="91"/>
  <c r="G45" i="91"/>
  <c r="F86" i="91"/>
  <c r="E86" i="91"/>
  <c r="D86" i="91"/>
  <c r="D45" i="91"/>
  <c r="S85" i="91"/>
  <c r="R85" i="91"/>
  <c r="Q85" i="91"/>
  <c r="P85" i="91"/>
  <c r="O85" i="91"/>
  <c r="N85" i="91"/>
  <c r="M85" i="91"/>
  <c r="L85" i="91"/>
  <c r="K85" i="91"/>
  <c r="J85" i="91"/>
  <c r="I85" i="91"/>
  <c r="H85" i="91"/>
  <c r="G85" i="91"/>
  <c r="F85" i="91"/>
  <c r="E85" i="91"/>
  <c r="D85" i="91"/>
  <c r="J60" i="91"/>
  <c r="K60" i="91"/>
  <c r="O60" i="91"/>
  <c r="Q60" i="91"/>
  <c r="E61" i="91"/>
  <c r="M61" i="91"/>
  <c r="Q61" i="91"/>
  <c r="F63" i="91"/>
  <c r="Q63" i="91"/>
  <c r="M64" i="91"/>
  <c r="O64" i="91"/>
  <c r="R64" i="91"/>
  <c r="F66" i="91"/>
  <c r="J66" i="91"/>
  <c r="Q66" i="91"/>
  <c r="R66" i="91"/>
  <c r="E67" i="91"/>
  <c r="F67" i="91"/>
  <c r="K69" i="91"/>
  <c r="O69" i="91"/>
  <c r="Q69" i="91"/>
  <c r="G70" i="91"/>
  <c r="K70" i="91"/>
  <c r="G72" i="91"/>
  <c r="I72" i="91"/>
  <c r="P72" i="91"/>
  <c r="E73" i="91"/>
  <c r="G73" i="91"/>
  <c r="M73" i="91"/>
  <c r="O73" i="91"/>
  <c r="E75" i="91"/>
  <c r="K75" i="91"/>
  <c r="R75" i="91"/>
  <c r="S75" i="91"/>
  <c r="G76" i="91"/>
  <c r="L76" i="91"/>
  <c r="N76" i="91"/>
  <c r="S76" i="91"/>
  <c r="R45" i="91"/>
  <c r="N46" i="91"/>
  <c r="I48" i="91"/>
  <c r="M48" i="91"/>
  <c r="S48" i="91"/>
  <c r="G49" i="91"/>
  <c r="I49" i="91"/>
  <c r="R49" i="91"/>
  <c r="E51" i="91"/>
  <c r="G51" i="91"/>
  <c r="N51" i="91"/>
  <c r="R51" i="91"/>
  <c r="F52" i="91"/>
  <c r="I52" i="91"/>
  <c r="M52" i="91"/>
  <c r="Q52" i="91"/>
  <c r="G54" i="91"/>
  <c r="K54" i="91"/>
  <c r="M54" i="91"/>
  <c r="Q54" i="91"/>
  <c r="R54" i="91"/>
  <c r="G55" i="91"/>
  <c r="N55" i="91"/>
  <c r="I57" i="91"/>
  <c r="K57" i="91"/>
  <c r="N57" i="91"/>
  <c r="Q57" i="91"/>
  <c r="L45" i="91"/>
  <c r="H118" i="91"/>
  <c r="H62" i="91"/>
  <c r="H136" i="91"/>
  <c r="H71" i="91"/>
  <c r="D112" i="91"/>
  <c r="D59" i="91"/>
  <c r="P48" i="91"/>
  <c r="CF116" i="92"/>
  <c r="CE116" i="92"/>
  <c r="CD116" i="92"/>
  <c r="CC116" i="92"/>
  <c r="CB116" i="92"/>
  <c r="CA116" i="92"/>
  <c r="BZ116" i="92"/>
  <c r="BY116" i="92"/>
  <c r="BX116" i="92"/>
  <c r="BW116" i="92"/>
  <c r="BV116" i="92"/>
  <c r="BU116" i="92"/>
  <c r="BT116" i="92"/>
  <c r="BS116" i="92"/>
  <c r="BR116" i="92"/>
  <c r="BQ116" i="92"/>
  <c r="BP116" i="92"/>
  <c r="BO116" i="92"/>
  <c r="BN116" i="92"/>
  <c r="BM116" i="92"/>
  <c r="BL116" i="92"/>
  <c r="BK116" i="92"/>
  <c r="BJ116" i="92"/>
  <c r="BI116" i="92"/>
  <c r="BH116" i="92"/>
  <c r="BG116" i="92"/>
  <c r="BF116" i="92"/>
  <c r="BE116" i="92"/>
  <c r="BD116" i="92"/>
  <c r="BC116" i="92"/>
  <c r="BB116" i="92"/>
  <c r="BA116" i="92"/>
  <c r="AZ116" i="92"/>
  <c r="AY116" i="92"/>
  <c r="AX116" i="92"/>
  <c r="AW116" i="92"/>
  <c r="AV116" i="92"/>
  <c r="AU116" i="92"/>
  <c r="AT116" i="92"/>
  <c r="AS116" i="92"/>
  <c r="AR116" i="92"/>
  <c r="AQ116" i="92"/>
  <c r="AP116" i="92"/>
  <c r="AO116" i="92"/>
  <c r="AN116" i="92"/>
  <c r="AM116" i="92"/>
  <c r="AL116" i="92"/>
  <c r="AK116" i="92"/>
  <c r="AJ116" i="92"/>
  <c r="AI116" i="92"/>
  <c r="AH116" i="92"/>
  <c r="AG116" i="92"/>
  <c r="AF116" i="92"/>
  <c r="AE116" i="92"/>
  <c r="AD116" i="92"/>
  <c r="AC116" i="92"/>
  <c r="AB116"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B116" i="92"/>
  <c r="CF111" i="92"/>
  <c r="CE111" i="92"/>
  <c r="CD111" i="92"/>
  <c r="CC111" i="92"/>
  <c r="CB111" i="92"/>
  <c r="CA111" i="92"/>
  <c r="BZ111" i="92"/>
  <c r="BY111" i="92"/>
  <c r="BX111" i="92"/>
  <c r="BW111" i="92"/>
  <c r="BV111" i="92"/>
  <c r="BU111" i="92"/>
  <c r="BT111" i="92"/>
  <c r="BS111" i="92"/>
  <c r="BR111" i="92"/>
  <c r="BQ111" i="92"/>
  <c r="BP111" i="92"/>
  <c r="BO111" i="92"/>
  <c r="BN111" i="92"/>
  <c r="BM111" i="92"/>
  <c r="BL111" i="92"/>
  <c r="BK111" i="92"/>
  <c r="BJ111" i="92"/>
  <c r="BI111" i="92"/>
  <c r="BH111" i="92"/>
  <c r="BG111" i="92"/>
  <c r="BF111" i="92"/>
  <c r="BE111" i="92"/>
  <c r="BD111" i="92"/>
  <c r="BC111" i="92"/>
  <c r="BB111" i="92"/>
  <c r="BA111" i="92"/>
  <c r="AZ111" i="92"/>
  <c r="AY111" i="92"/>
  <c r="AX111" i="92"/>
  <c r="AW111" i="92"/>
  <c r="AV111" i="92"/>
  <c r="AU111" i="92"/>
  <c r="AT111" i="92"/>
  <c r="AS111" i="92"/>
  <c r="AR111" i="92"/>
  <c r="AQ111" i="92"/>
  <c r="AP111" i="92"/>
  <c r="AO111" i="92"/>
  <c r="AN111" i="92"/>
  <c r="AM111" i="92"/>
  <c r="AL111" i="92"/>
  <c r="AK111" i="92"/>
  <c r="AJ111" i="92"/>
  <c r="AI111" i="92"/>
  <c r="AH111" i="92"/>
  <c r="AG111" i="92"/>
  <c r="AF111" i="92"/>
  <c r="AE111" i="92"/>
  <c r="AD111" i="92"/>
  <c r="AC111" i="92"/>
  <c r="AB111"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B111" i="92"/>
  <c r="I109" i="92"/>
  <c r="CF101" i="92"/>
  <c r="CE101" i="92"/>
  <c r="CD101" i="92"/>
  <c r="CC101" i="92"/>
  <c r="CB101" i="92"/>
  <c r="CA101" i="92"/>
  <c r="BZ101" i="92"/>
  <c r="BY101" i="92"/>
  <c r="BX101" i="92"/>
  <c r="BW101" i="92"/>
  <c r="BV101" i="92"/>
  <c r="BU101" i="92"/>
  <c r="BT101" i="92"/>
  <c r="BS101" i="92"/>
  <c r="BR101" i="92"/>
  <c r="BQ101" i="92"/>
  <c r="BP101" i="92"/>
  <c r="BO101" i="92"/>
  <c r="BN101" i="92"/>
  <c r="BM101" i="92"/>
  <c r="BL101" i="92"/>
  <c r="BK101" i="92"/>
  <c r="BJ101" i="92"/>
  <c r="BI101" i="92"/>
  <c r="BH101" i="92"/>
  <c r="BG101" i="92"/>
  <c r="BF101" i="92"/>
  <c r="BE101" i="92"/>
  <c r="BD101" i="92"/>
  <c r="BC101" i="92"/>
  <c r="BB101" i="92"/>
  <c r="BA101" i="92"/>
  <c r="AZ101" i="92"/>
  <c r="AY101" i="92"/>
  <c r="AX101" i="92"/>
  <c r="AW101" i="92"/>
  <c r="AV101" i="92"/>
  <c r="AU101" i="92"/>
  <c r="AT101" i="92"/>
  <c r="AS101" i="92"/>
  <c r="AR101" i="92"/>
  <c r="AQ101" i="92"/>
  <c r="AP101" i="92"/>
  <c r="AO101" i="92"/>
  <c r="AN101" i="92"/>
  <c r="AM101" i="92"/>
  <c r="AL101" i="92"/>
  <c r="AK101" i="92"/>
  <c r="AJ101" i="92"/>
  <c r="AI101" i="92"/>
  <c r="AH101" i="92"/>
  <c r="AG101" i="92"/>
  <c r="AF101" i="92"/>
  <c r="AE101" i="92"/>
  <c r="AD101" i="92"/>
  <c r="AC101" i="92"/>
  <c r="AB101"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B101" i="92"/>
  <c r="CF96" i="92"/>
  <c r="CE96" i="92"/>
  <c r="CD96" i="92"/>
  <c r="CC96" i="92"/>
  <c r="CB96" i="92"/>
  <c r="CA96" i="92"/>
  <c r="BZ96" i="92"/>
  <c r="BY96" i="92"/>
  <c r="BX96" i="92"/>
  <c r="BW96" i="92"/>
  <c r="BV96" i="92"/>
  <c r="BU96" i="92"/>
  <c r="BT96" i="92"/>
  <c r="BS96" i="92"/>
  <c r="BR96" i="92"/>
  <c r="BQ96" i="92"/>
  <c r="BP96" i="92"/>
  <c r="BO96" i="92"/>
  <c r="BN96" i="92"/>
  <c r="BM96" i="92"/>
  <c r="BL96" i="92"/>
  <c r="BK96" i="92"/>
  <c r="BJ96" i="92"/>
  <c r="BI96" i="92"/>
  <c r="BH96" i="92"/>
  <c r="BG96" i="92"/>
  <c r="BF96" i="92"/>
  <c r="BE96" i="92"/>
  <c r="BD96" i="92"/>
  <c r="BC96" i="92"/>
  <c r="BB96" i="92"/>
  <c r="BA96" i="92"/>
  <c r="AZ96" i="92"/>
  <c r="AY96" i="92"/>
  <c r="AX96" i="92"/>
  <c r="AW96" i="92"/>
  <c r="AV96" i="92"/>
  <c r="AU96" i="92"/>
  <c r="AT96" i="92"/>
  <c r="AS96" i="92"/>
  <c r="AR96" i="92"/>
  <c r="AQ96" i="92"/>
  <c r="AP96" i="92"/>
  <c r="AO96" i="92"/>
  <c r="AN96" i="92"/>
  <c r="AM96" i="92"/>
  <c r="AL96" i="92"/>
  <c r="AK96" i="92"/>
  <c r="AJ96" i="92"/>
  <c r="AI96" i="92"/>
  <c r="AH96" i="92"/>
  <c r="AG96" i="92"/>
  <c r="AF96" i="92"/>
  <c r="AE96" i="92"/>
  <c r="AD96" i="92"/>
  <c r="AC96" i="92"/>
  <c r="AB96" i="92"/>
  <c r="AA96" i="92"/>
  <c r="Z96" i="92"/>
  <c r="Y96" i="92"/>
  <c r="X96" i="92"/>
  <c r="W96" i="92"/>
  <c r="V96" i="92"/>
  <c r="U96" i="92"/>
  <c r="T96" i="92"/>
  <c r="S96" i="92"/>
  <c r="R96" i="92"/>
  <c r="Q96" i="92"/>
  <c r="P96" i="92"/>
  <c r="O96" i="92"/>
  <c r="N96" i="92"/>
  <c r="M96" i="92"/>
  <c r="L96" i="92"/>
  <c r="K96" i="92"/>
  <c r="J96" i="92"/>
  <c r="I96" i="92"/>
  <c r="H96" i="92"/>
  <c r="G96" i="92"/>
  <c r="F96" i="92"/>
  <c r="E96" i="92"/>
  <c r="D96" i="92"/>
  <c r="B96" i="92"/>
  <c r="I94" i="92"/>
  <c r="CF87" i="92"/>
  <c r="CE87" i="92"/>
  <c r="CD87" i="92"/>
  <c r="CC87" i="92"/>
  <c r="CB87" i="92"/>
  <c r="CA87" i="92"/>
  <c r="BZ87" i="92"/>
  <c r="BY87" i="92"/>
  <c r="BX87" i="92"/>
  <c r="BW87" i="92"/>
  <c r="BV87" i="92"/>
  <c r="BU87" i="92"/>
  <c r="BT87" i="92"/>
  <c r="BS87" i="92"/>
  <c r="BR87" i="92"/>
  <c r="BQ87" i="92"/>
  <c r="BP87" i="92"/>
  <c r="BO87" i="92"/>
  <c r="BN87" i="92"/>
  <c r="BM87" i="92"/>
  <c r="BL87" i="92"/>
  <c r="BK87" i="92"/>
  <c r="BJ87" i="92"/>
  <c r="BI87" i="92"/>
  <c r="BH87" i="92"/>
  <c r="BG87" i="92"/>
  <c r="BF87" i="92"/>
  <c r="BE87" i="92"/>
  <c r="BD87" i="92"/>
  <c r="BC87" i="92"/>
  <c r="BB87" i="92"/>
  <c r="BA87" i="92"/>
  <c r="AZ87" i="92"/>
  <c r="AY87" i="92"/>
  <c r="AX87" i="92"/>
  <c r="AW87" i="92"/>
  <c r="AV87" i="92"/>
  <c r="AU87" i="92"/>
  <c r="AT87" i="92"/>
  <c r="AS87" i="92"/>
  <c r="AR87" i="92"/>
  <c r="AQ87" i="92"/>
  <c r="AP87" i="92"/>
  <c r="AO87" i="92"/>
  <c r="AN87" i="92"/>
  <c r="AM87" i="92"/>
  <c r="AL87" i="92"/>
  <c r="AK87" i="92"/>
  <c r="AJ87" i="92"/>
  <c r="AI87" i="92"/>
  <c r="AH87" i="92"/>
  <c r="AG87" i="92"/>
  <c r="AF87" i="92"/>
  <c r="AE87" i="92"/>
  <c r="AD87" i="92"/>
  <c r="AC87" i="92"/>
  <c r="AB87" i="92"/>
  <c r="AA87" i="92"/>
  <c r="Z87" i="92"/>
  <c r="Y87" i="92"/>
  <c r="X87" i="92"/>
  <c r="W87" i="92"/>
  <c r="V87" i="92"/>
  <c r="U87" i="92"/>
  <c r="T87" i="92"/>
  <c r="S87" i="92"/>
  <c r="R87" i="92"/>
  <c r="Q87" i="92"/>
  <c r="P87" i="92"/>
  <c r="O87" i="92"/>
  <c r="N87" i="92"/>
  <c r="M87" i="92"/>
  <c r="L87" i="92"/>
  <c r="K87" i="92"/>
  <c r="J87" i="92"/>
  <c r="I87" i="92"/>
  <c r="H87" i="92"/>
  <c r="G87" i="92"/>
  <c r="F87" i="92"/>
  <c r="E87" i="92"/>
  <c r="D87" i="92"/>
  <c r="B87" i="92"/>
  <c r="CF82" i="92"/>
  <c r="CE82" i="92"/>
  <c r="CD82" i="92"/>
  <c r="CC82" i="92"/>
  <c r="CB82" i="92"/>
  <c r="CA82" i="92"/>
  <c r="BZ82" i="92"/>
  <c r="BY82" i="92"/>
  <c r="BX82" i="92"/>
  <c r="BW82" i="92"/>
  <c r="BV82" i="92"/>
  <c r="BU82" i="92"/>
  <c r="BT82" i="92"/>
  <c r="BS82" i="92"/>
  <c r="BR82" i="92"/>
  <c r="BQ82" i="92"/>
  <c r="BP82" i="92"/>
  <c r="BO82" i="92"/>
  <c r="BN82" i="92"/>
  <c r="BM82" i="92"/>
  <c r="BL82" i="92"/>
  <c r="BK82" i="92"/>
  <c r="BJ82" i="92"/>
  <c r="BI82" i="92"/>
  <c r="BH82" i="92"/>
  <c r="BG82" i="92"/>
  <c r="BF82" i="92"/>
  <c r="BE82" i="92"/>
  <c r="BD82" i="92"/>
  <c r="BC82" i="92"/>
  <c r="BB82" i="92"/>
  <c r="BA82" i="92"/>
  <c r="AZ82" i="92"/>
  <c r="AY82" i="92"/>
  <c r="AX82" i="92"/>
  <c r="AW82" i="92"/>
  <c r="AV82" i="92"/>
  <c r="AU82" i="92"/>
  <c r="AT82" i="92"/>
  <c r="AS82" i="92"/>
  <c r="AR82" i="92"/>
  <c r="AQ82" i="92"/>
  <c r="AP82" i="92"/>
  <c r="AO82" i="92"/>
  <c r="AN82" i="92"/>
  <c r="AM82" i="92"/>
  <c r="AL82" i="92"/>
  <c r="AK82" i="92"/>
  <c r="AJ82" i="92"/>
  <c r="AI82" i="92"/>
  <c r="AH82" i="92"/>
  <c r="AG82" i="92"/>
  <c r="AF82" i="92"/>
  <c r="AE82" i="92"/>
  <c r="AD82" i="92"/>
  <c r="AC82" i="92"/>
  <c r="AB82" i="92"/>
  <c r="AA82" i="92"/>
  <c r="Z82" i="92"/>
  <c r="Y82" i="92"/>
  <c r="X82" i="92"/>
  <c r="W82" i="92"/>
  <c r="V82" i="92"/>
  <c r="U82" i="92"/>
  <c r="T82" i="92"/>
  <c r="S82" i="92"/>
  <c r="R82" i="92"/>
  <c r="Q82" i="92"/>
  <c r="P82" i="92"/>
  <c r="O82" i="92"/>
  <c r="N82" i="92"/>
  <c r="M82" i="92"/>
  <c r="L82" i="92"/>
  <c r="K82" i="92"/>
  <c r="J82" i="92"/>
  <c r="I82" i="92"/>
  <c r="H82" i="92"/>
  <c r="G82" i="92"/>
  <c r="F82" i="92"/>
  <c r="E82" i="92"/>
  <c r="D82" i="92"/>
  <c r="B82" i="92"/>
  <c r="I80" i="92"/>
  <c r="CF72" i="92"/>
  <c r="CE72" i="92"/>
  <c r="CD72" i="92"/>
  <c r="CC72" i="92"/>
  <c r="CB72" i="92"/>
  <c r="CA72" i="92"/>
  <c r="BZ72" i="92"/>
  <c r="BY72" i="92"/>
  <c r="BX72" i="92"/>
  <c r="BW72" i="92"/>
  <c r="BV72" i="92"/>
  <c r="BU72" i="92"/>
  <c r="BT72" i="92"/>
  <c r="BS72" i="92"/>
  <c r="BR72" i="92"/>
  <c r="BQ72" i="92"/>
  <c r="BP72" i="92"/>
  <c r="BO72" i="92"/>
  <c r="BN72" i="92"/>
  <c r="BM72" i="92"/>
  <c r="BL72" i="92"/>
  <c r="BK72" i="92"/>
  <c r="BJ72" i="92"/>
  <c r="BI72" i="92"/>
  <c r="BH72" i="92"/>
  <c r="BG72" i="92"/>
  <c r="BF72" i="92"/>
  <c r="BE72" i="92"/>
  <c r="BD72" i="92"/>
  <c r="BC72" i="92"/>
  <c r="BB72" i="92"/>
  <c r="BA72" i="92"/>
  <c r="AZ72" i="92"/>
  <c r="AY72" i="92"/>
  <c r="AX72" i="92"/>
  <c r="AW72" i="92"/>
  <c r="AV72" i="92"/>
  <c r="AU72" i="92"/>
  <c r="AT72" i="92"/>
  <c r="AS72" i="92"/>
  <c r="AR72" i="92"/>
  <c r="AQ72" i="92"/>
  <c r="AP72" i="92"/>
  <c r="AO72" i="92"/>
  <c r="AN72" i="92"/>
  <c r="AM72" i="92"/>
  <c r="AL72" i="92"/>
  <c r="AK72" i="92"/>
  <c r="AJ72" i="92"/>
  <c r="AI72" i="92"/>
  <c r="AH72" i="92"/>
  <c r="AG72" i="92"/>
  <c r="AF72" i="92"/>
  <c r="AE72" i="92"/>
  <c r="AD72" i="92"/>
  <c r="AC72" i="92"/>
  <c r="AB72" i="92"/>
  <c r="AA72" i="92"/>
  <c r="Z72" i="92"/>
  <c r="Y72" i="92"/>
  <c r="X72" i="92"/>
  <c r="W72" i="92"/>
  <c r="V72" i="92"/>
  <c r="U72" i="92"/>
  <c r="T72" i="92"/>
  <c r="S72" i="92"/>
  <c r="R72" i="92"/>
  <c r="Q72" i="92"/>
  <c r="P72" i="92"/>
  <c r="O72" i="92"/>
  <c r="N72" i="92"/>
  <c r="M72" i="92"/>
  <c r="L72" i="92"/>
  <c r="K72" i="92"/>
  <c r="J72" i="92"/>
  <c r="I72" i="92"/>
  <c r="H72" i="92"/>
  <c r="G72" i="92"/>
  <c r="F72" i="92"/>
  <c r="E72" i="92"/>
  <c r="D72" i="92"/>
  <c r="B72" i="92"/>
  <c r="CF67" i="92"/>
  <c r="CE67" i="92"/>
  <c r="CD67" i="92"/>
  <c r="CC67" i="92"/>
  <c r="CB67" i="92"/>
  <c r="CA67" i="92"/>
  <c r="BZ67" i="92"/>
  <c r="BY67" i="92"/>
  <c r="BX67" i="92"/>
  <c r="BW67" i="92"/>
  <c r="BV67" i="92"/>
  <c r="BU67" i="92"/>
  <c r="BT67" i="92"/>
  <c r="BS67" i="92"/>
  <c r="BR67" i="92"/>
  <c r="BQ67" i="92"/>
  <c r="BP67" i="92"/>
  <c r="BO67" i="92"/>
  <c r="BN67" i="92"/>
  <c r="BM67" i="92"/>
  <c r="BL67" i="92"/>
  <c r="BK67" i="92"/>
  <c r="BJ67" i="92"/>
  <c r="BI67" i="92"/>
  <c r="BH67" i="92"/>
  <c r="BG67" i="92"/>
  <c r="BF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O67" i="92"/>
  <c r="N67" i="92"/>
  <c r="M67" i="92"/>
  <c r="L67" i="92"/>
  <c r="K67" i="92"/>
  <c r="J67" i="92"/>
  <c r="I67" i="92"/>
  <c r="H67" i="92"/>
  <c r="G67" i="92"/>
  <c r="F67" i="92"/>
  <c r="E67" i="92"/>
  <c r="D67" i="92"/>
  <c r="B67" i="92"/>
  <c r="I65"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B60"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B56" i="92"/>
  <c r="I54"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B48"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B44" i="92"/>
  <c r="I42"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B37"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B33" i="92"/>
  <c r="I31"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B25"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B21" i="92"/>
  <c r="P58" i="91"/>
  <c r="N58" i="91"/>
  <c r="F58" i="91"/>
  <c r="D58" i="91"/>
  <c r="I77" i="9"/>
  <c r="I37" i="9"/>
  <c r="J33" i="9"/>
  <c r="I25" i="9"/>
  <c r="J21" i="9"/>
  <c r="J9" i="9"/>
  <c r="I13" i="9"/>
  <c r="AM26" i="19"/>
  <c r="AM41" i="19"/>
  <c r="P61" i="9" a="1"/>
  <c r="P61" i="9"/>
  <c r="AJ33" i="19"/>
  <c r="P17" i="9" a="1"/>
  <c r="P17" i="9"/>
  <c r="AJ24" i="19"/>
  <c r="P37" i="9" a="1"/>
  <c r="P37" i="9"/>
  <c r="P33" i="9" a="1"/>
  <c r="P33" i="9"/>
  <c r="P45" i="9" a="1"/>
  <c r="P45" i="9"/>
  <c r="P5" i="9" a="1"/>
  <c r="P5" i="9"/>
  <c r="AQ24" i="19"/>
  <c r="D14" i="87"/>
  <c r="D15" i="87"/>
  <c r="D16" i="87"/>
  <c r="D17" i="87"/>
  <c r="D18" i="87"/>
  <c r="D19" i="87"/>
  <c r="D20" i="87"/>
  <c r="B8" i="83"/>
  <c r="H36" i="86"/>
  <c r="H33" i="86"/>
  <c r="H30" i="86"/>
  <c r="H27" i="86"/>
  <c r="H24" i="86"/>
  <c r="H21" i="86"/>
  <c r="H19" i="86"/>
  <c r="H17" i="86"/>
  <c r="H15" i="86"/>
  <c r="H12" i="86"/>
  <c r="H9" i="86"/>
  <c r="H6" i="86"/>
  <c r="J34" i="85"/>
  <c r="J44" i="85"/>
  <c r="G34" i="85"/>
  <c r="G44" i="85"/>
  <c r="F34" i="85"/>
  <c r="F44" i="85"/>
  <c r="E34" i="85"/>
  <c r="E44" i="85"/>
  <c r="J30" i="85"/>
  <c r="J41" i="85"/>
  <c r="G30" i="85"/>
  <c r="G41" i="85"/>
  <c r="F30" i="85"/>
  <c r="F41" i="85"/>
  <c r="E30" i="85"/>
  <c r="E41" i="85"/>
  <c r="J26" i="85"/>
  <c r="J38" i="85"/>
  <c r="F26" i="85"/>
  <c r="F38" i="85"/>
  <c r="E26" i="85"/>
  <c r="E38" i="85"/>
  <c r="J23" i="85"/>
  <c r="F23" i="85"/>
  <c r="J20" i="85"/>
  <c r="F20" i="85"/>
  <c r="J17" i="85"/>
  <c r="F17" i="85"/>
  <c r="E17" i="85"/>
  <c r="J13" i="85"/>
  <c r="J9" i="85"/>
  <c r="J5" i="85"/>
  <c r="F5" i="85"/>
  <c r="F9" i="85"/>
  <c r="F13" i="85"/>
  <c r="E13" i="85"/>
  <c r="E23" i="85"/>
  <c r="E9" i="85"/>
  <c r="E20" i="85"/>
  <c r="E5" i="85"/>
  <c r="E5" i="83"/>
  <c r="F5" i="83"/>
  <c r="F8" i="83"/>
  <c r="E8" i="83"/>
  <c r="C65" i="72"/>
  <c r="C64" i="72"/>
  <c r="C63" i="72"/>
  <c r="C70" i="72"/>
  <c r="C71" i="72"/>
  <c r="C69" i="72"/>
  <c r="C67" i="72"/>
  <c r="C68" i="72"/>
  <c r="C66" i="72"/>
  <c r="C60" i="72"/>
  <c r="C61" i="72"/>
  <c r="C62" i="72"/>
  <c r="C33" i="19"/>
  <c r="C108" i="19"/>
  <c r="C31" i="19"/>
  <c r="C107" i="19"/>
  <c r="C29" i="19"/>
  <c r="C106" i="19"/>
  <c r="C27" i="19"/>
  <c r="C105" i="19"/>
  <c r="C25" i="19"/>
  <c r="C104" i="19"/>
  <c r="C23" i="19"/>
  <c r="C103" i="19"/>
  <c r="C113" i="19"/>
  <c r="C20" i="19"/>
  <c r="C102" i="19"/>
  <c r="C17" i="19"/>
  <c r="C101" i="19"/>
  <c r="C14" i="19"/>
  <c r="C100" i="19"/>
  <c r="C11" i="19"/>
  <c r="C99" i="19"/>
  <c r="C8" i="19"/>
  <c r="C98" i="19"/>
  <c r="C5" i="19"/>
  <c r="C97" i="19"/>
  <c r="B5" i="83"/>
  <c r="C17" i="83"/>
  <c r="C50" i="86"/>
  <c r="C73" i="86"/>
  <c r="C48" i="86"/>
  <c r="C72" i="86"/>
  <c r="C46" i="86"/>
  <c r="C71" i="86"/>
  <c r="C44" i="86"/>
  <c r="C70" i="86"/>
  <c r="C36" i="86"/>
  <c r="C69" i="86"/>
  <c r="C33" i="86"/>
  <c r="C68" i="86"/>
  <c r="C30" i="86"/>
  <c r="C67" i="86"/>
  <c r="C21" i="86"/>
  <c r="C66" i="86"/>
  <c r="C15" i="86"/>
  <c r="C65" i="86"/>
  <c r="C6" i="86"/>
  <c r="C64" i="86"/>
  <c r="B86" i="85"/>
  <c r="C117" i="85"/>
  <c r="B83" i="85"/>
  <c r="B80" i="85"/>
  <c r="C115" i="85"/>
  <c r="B76" i="85"/>
  <c r="C114" i="85"/>
  <c r="B72" i="85"/>
  <c r="C113" i="85"/>
  <c r="B68" i="85"/>
  <c r="B65" i="85"/>
  <c r="C111" i="85"/>
  <c r="B62" i="85"/>
  <c r="C110" i="85"/>
  <c r="B59" i="85"/>
  <c r="C109" i="85"/>
  <c r="B55" i="85"/>
  <c r="C108" i="85"/>
  <c r="B51" i="85"/>
  <c r="C107" i="85"/>
  <c r="B47" i="85"/>
  <c r="C106" i="85"/>
  <c r="B44" i="85"/>
  <c r="B41" i="85"/>
  <c r="C104" i="85"/>
  <c r="B38" i="85"/>
  <c r="C103" i="85"/>
  <c r="B34" i="85"/>
  <c r="B30" i="85"/>
  <c r="C101" i="85"/>
  <c r="B26" i="85"/>
  <c r="C100" i="85"/>
  <c r="C98" i="85"/>
  <c r="C9" i="84"/>
  <c r="D19" i="84"/>
  <c r="C18" i="83"/>
  <c r="C32" i="82"/>
  <c r="D69" i="82" s="1"/>
  <c r="C29" i="82"/>
  <c r="D68" i="82" s="1"/>
  <c r="C25" i="82"/>
  <c r="D67" i="82" s="1"/>
  <c r="C21" i="82"/>
  <c r="D66" i="82" s="1"/>
  <c r="C17" i="82"/>
  <c r="D65" i="82" s="1"/>
  <c r="C14" i="82"/>
  <c r="D64" i="82" s="1"/>
  <c r="C11" i="82"/>
  <c r="D63" i="82" s="1"/>
  <c r="C8" i="82"/>
  <c r="D62" i="82" s="1"/>
  <c r="C106" i="9"/>
  <c r="C65" i="9"/>
  <c r="C105" i="9"/>
  <c r="C102" i="9"/>
  <c r="C25" i="9"/>
  <c r="C97" i="9"/>
  <c r="C21" i="9"/>
  <c r="C96" i="9"/>
  <c r="C17" i="9"/>
  <c r="C95" i="9"/>
  <c r="C13" i="9"/>
  <c r="C94" i="9"/>
  <c r="C9" i="9"/>
  <c r="C93" i="9"/>
  <c r="C5" i="9"/>
  <c r="C92" i="9"/>
  <c r="J5" i="83"/>
  <c r="Z22" i="86"/>
  <c r="Z21" i="86"/>
  <c r="Z20" i="86"/>
  <c r="M6" i="86"/>
  <c r="M9" i="86"/>
  <c r="C116" i="85"/>
  <c r="C112" i="85"/>
  <c r="C105" i="85"/>
  <c r="C102" i="85"/>
  <c r="C99" i="85"/>
  <c r="I88" i="85"/>
  <c r="I87" i="85"/>
  <c r="I85" i="85"/>
  <c r="I84" i="85"/>
  <c r="I82" i="85"/>
  <c r="I81" i="85"/>
  <c r="I79" i="85"/>
  <c r="I78" i="85"/>
  <c r="I77" i="85"/>
  <c r="I75" i="85"/>
  <c r="I74" i="85"/>
  <c r="I73" i="85"/>
  <c r="I71" i="85"/>
  <c r="I70" i="85"/>
  <c r="I69" i="85"/>
  <c r="I58" i="85"/>
  <c r="I57" i="85"/>
  <c r="I56" i="85"/>
  <c r="I54" i="85"/>
  <c r="I52" i="85"/>
  <c r="I53" i="85"/>
  <c r="I50" i="85"/>
  <c r="I49" i="85"/>
  <c r="I48" i="85"/>
  <c r="H41" i="85"/>
  <c r="H38" i="85"/>
  <c r="G38" i="85"/>
  <c r="G17" i="85"/>
  <c r="P9" i="85"/>
  <c r="J6" i="83"/>
  <c r="J7" i="83"/>
  <c r="P10" i="83"/>
  <c r="P11" i="83"/>
  <c r="M8" i="83"/>
  <c r="P14" i="83"/>
  <c r="M5" i="83"/>
  <c r="J33" i="82"/>
  <c r="J34" i="82" s="1"/>
  <c r="J35" i="82" s="1"/>
  <c r="L32" i="82"/>
  <c r="J31" i="82"/>
  <c r="J30" i="82"/>
  <c r="L29" i="82"/>
  <c r="J28" i="82"/>
  <c r="J27" i="82"/>
  <c r="L25" i="82"/>
  <c r="J24" i="82"/>
  <c r="J52" i="82" s="1"/>
  <c r="J56" i="82" s="1"/>
  <c r="J23" i="82"/>
  <c r="J51" i="82" s="1"/>
  <c r="J55" i="82" s="1"/>
  <c r="J22" i="82"/>
  <c r="J50" i="82" s="1"/>
  <c r="J54" i="82" s="1"/>
  <c r="L21" i="82"/>
  <c r="U20" i="82"/>
  <c r="U21" i="82"/>
  <c r="M17" i="82" s="1"/>
  <c r="J20" i="82"/>
  <c r="J48" i="82" s="1"/>
  <c r="J19" i="82"/>
  <c r="J47" i="82" s="1"/>
  <c r="J16" i="82"/>
  <c r="U15" i="82"/>
  <c r="U16" i="82" s="1"/>
  <c r="M8" i="82" s="1"/>
  <c r="M36" i="82" s="1"/>
  <c r="J15" i="82"/>
  <c r="J13" i="82"/>
  <c r="J41" i="82" s="1"/>
  <c r="J44" i="82" s="1"/>
  <c r="J12" i="82"/>
  <c r="J40" i="82" s="1"/>
  <c r="J43" i="82" s="1"/>
  <c r="L11" i="82"/>
  <c r="L39" i="82" s="1"/>
  <c r="J10" i="82"/>
  <c r="J38" i="82" s="1"/>
  <c r="J9" i="82"/>
  <c r="J37" i="82" s="1"/>
  <c r="M12" i="86"/>
  <c r="D69" i="57"/>
  <c r="D69" i="60"/>
  <c r="D92" i="9"/>
  <c r="D93" i="9"/>
  <c r="D94" i="9"/>
  <c r="D95" i="9"/>
  <c r="D96" i="9"/>
  <c r="D97" i="9"/>
  <c r="D98" i="9"/>
  <c r="D99" i="9"/>
  <c r="D100" i="9"/>
  <c r="C100" i="9"/>
  <c r="D60" i="72"/>
  <c r="D61" i="72"/>
  <c r="D62" i="72"/>
  <c r="D63" i="72"/>
  <c r="D64" i="72"/>
  <c r="D65" i="72"/>
  <c r="D66" i="72"/>
  <c r="D67" i="72"/>
  <c r="D68" i="72"/>
  <c r="D69" i="72"/>
  <c r="D70" i="72"/>
  <c r="D71" i="72"/>
  <c r="D69" i="64"/>
  <c r="D38" i="60"/>
  <c r="D38" i="69"/>
  <c r="W6" i="72"/>
  <c r="O19" i="72" s="1"/>
  <c r="D45" i="65"/>
  <c r="D43" i="65"/>
  <c r="D79" i="61"/>
  <c r="D113" i="19"/>
  <c r="N56" i="19"/>
  <c r="N53" i="19"/>
  <c r="N50" i="19"/>
  <c r="H53" i="19"/>
  <c r="I50" i="19"/>
  <c r="G56" i="19"/>
  <c r="G89" i="19"/>
  <c r="G53" i="19"/>
  <c r="G86" i="19"/>
  <c r="D102" i="9"/>
  <c r="D103" i="9"/>
  <c r="D104" i="9"/>
  <c r="D106" i="9"/>
  <c r="G10" i="72"/>
  <c r="G9" i="72"/>
  <c r="G8" i="72"/>
  <c r="G16" i="72"/>
  <c r="G15" i="72"/>
  <c r="G14" i="72"/>
  <c r="G13" i="72"/>
  <c r="G12" i="72"/>
  <c r="G11" i="72"/>
  <c r="G7" i="72"/>
  <c r="G6" i="72"/>
  <c r="G5" i="72"/>
  <c r="D72" i="62"/>
  <c r="D73" i="62"/>
  <c r="D69" i="62"/>
  <c r="O5" i="94"/>
  <c r="H23" i="51"/>
  <c r="I61" i="9"/>
  <c r="J57" i="9"/>
  <c r="B5" i="17"/>
  <c r="B6" i="17"/>
  <c r="B7" i="17"/>
  <c r="B8" i="17"/>
  <c r="B9" i="17"/>
  <c r="E23" i="69"/>
  <c r="E24" i="69"/>
  <c r="F23" i="69"/>
  <c r="F24" i="69"/>
  <c r="G23" i="69"/>
  <c r="G24" i="69"/>
  <c r="D25" i="69"/>
  <c r="D26" i="69"/>
  <c r="E25" i="69"/>
  <c r="E26" i="69"/>
  <c r="F25" i="69"/>
  <c r="F26" i="69"/>
  <c r="K27" i="86"/>
  <c r="K54" i="86"/>
  <c r="G25" i="69"/>
  <c r="G26" i="69"/>
  <c r="E38" i="69"/>
  <c r="F38" i="69"/>
  <c r="G38" i="69"/>
  <c r="D51" i="69"/>
  <c r="D59" i="69"/>
  <c r="E51" i="69"/>
  <c r="E59" i="69"/>
  <c r="F51" i="69"/>
  <c r="F59" i="69"/>
  <c r="G51" i="69"/>
  <c r="G59" i="69"/>
  <c r="D52" i="69"/>
  <c r="D60" i="69"/>
  <c r="E52" i="69"/>
  <c r="E60" i="69"/>
  <c r="F52" i="69"/>
  <c r="F60" i="69"/>
  <c r="G52" i="69"/>
  <c r="G60" i="69"/>
  <c r="D56" i="69"/>
  <c r="E56" i="69"/>
  <c r="F56" i="69"/>
  <c r="G56" i="69"/>
  <c r="D57" i="69"/>
  <c r="E57" i="69"/>
  <c r="F57" i="69"/>
  <c r="G57" i="69"/>
  <c r="D58" i="69"/>
  <c r="E58" i="69"/>
  <c r="F58" i="69"/>
  <c r="G58" i="69"/>
  <c r="D67" i="69"/>
  <c r="E71" i="69"/>
  <c r="E28" i="69"/>
  <c r="F71" i="69"/>
  <c r="F28" i="69"/>
  <c r="G71" i="69"/>
  <c r="G28" i="69"/>
  <c r="D73" i="69"/>
  <c r="E73" i="69"/>
  <c r="E72" i="69"/>
  <c r="E41" i="69"/>
  <c r="E39" i="69"/>
  <c r="F73" i="69"/>
  <c r="F72" i="69"/>
  <c r="F41" i="69"/>
  <c r="F39" i="69"/>
  <c r="G73" i="69"/>
  <c r="G72" i="69"/>
  <c r="G41" i="69"/>
  <c r="G39" i="69"/>
  <c r="E23" i="68"/>
  <c r="E24" i="68"/>
  <c r="F23" i="68"/>
  <c r="F24" i="68"/>
  <c r="G23" i="68"/>
  <c r="G24" i="68"/>
  <c r="E25" i="68"/>
  <c r="E26" i="68"/>
  <c r="K33" i="86"/>
  <c r="K46" i="86"/>
  <c r="F25" i="68"/>
  <c r="F26" i="68"/>
  <c r="G25" i="68"/>
  <c r="G26" i="68"/>
  <c r="D38" i="68"/>
  <c r="E38" i="68"/>
  <c r="F38" i="68"/>
  <c r="G38" i="68"/>
  <c r="D51" i="68"/>
  <c r="D59" i="68"/>
  <c r="D52" i="68"/>
  <c r="D60" i="68"/>
  <c r="D56" i="68"/>
  <c r="E56" i="68"/>
  <c r="F56" i="68"/>
  <c r="G56" i="68"/>
  <c r="D57" i="68"/>
  <c r="E57" i="68"/>
  <c r="F57" i="68"/>
  <c r="G57" i="68"/>
  <c r="D58" i="68"/>
  <c r="E58" i="68"/>
  <c r="F58" i="68"/>
  <c r="G58" i="68"/>
  <c r="E71" i="68"/>
  <c r="E28" i="68"/>
  <c r="F71" i="68"/>
  <c r="F28" i="68"/>
  <c r="G71" i="68"/>
  <c r="G28" i="68"/>
  <c r="D73" i="68"/>
  <c r="D72" i="68"/>
  <c r="E73" i="68"/>
  <c r="E72" i="68"/>
  <c r="F73" i="68"/>
  <c r="F72" i="68"/>
  <c r="F41" i="68"/>
  <c r="G73" i="68"/>
  <c r="G72" i="68"/>
  <c r="E82" i="68"/>
  <c r="F82" i="68"/>
  <c r="G82" i="68"/>
  <c r="E83" i="68"/>
  <c r="F83" i="68"/>
  <c r="G83" i="68"/>
  <c r="E84" i="68"/>
  <c r="E51" i="68"/>
  <c r="E59" i="68"/>
  <c r="E85" i="68"/>
  <c r="E52" i="68"/>
  <c r="E60" i="68"/>
  <c r="D23" i="67"/>
  <c r="D24" i="67"/>
  <c r="E23" i="67"/>
  <c r="E24" i="67"/>
  <c r="F23" i="67"/>
  <c r="F24" i="67"/>
  <c r="G23" i="67"/>
  <c r="G24" i="67"/>
  <c r="D25" i="67"/>
  <c r="D26" i="67"/>
  <c r="E25" i="67"/>
  <c r="E26" i="67"/>
  <c r="F25" i="67"/>
  <c r="F26" i="67"/>
  <c r="G25" i="67"/>
  <c r="G26" i="67"/>
  <c r="D38" i="67"/>
  <c r="E38" i="67"/>
  <c r="F38" i="67"/>
  <c r="G38" i="67"/>
  <c r="D51" i="67"/>
  <c r="D59" i="67"/>
  <c r="D52" i="67"/>
  <c r="D60" i="67"/>
  <c r="D56" i="67"/>
  <c r="E56" i="67"/>
  <c r="F56" i="67"/>
  <c r="G56" i="67"/>
  <c r="D57" i="67"/>
  <c r="E57" i="67"/>
  <c r="F57" i="67"/>
  <c r="G57" i="67"/>
  <c r="D58" i="67"/>
  <c r="E58" i="67"/>
  <c r="F58" i="67"/>
  <c r="G58" i="67"/>
  <c r="D71" i="67"/>
  <c r="D28" i="67"/>
  <c r="E71" i="67"/>
  <c r="E28" i="67"/>
  <c r="F71" i="67"/>
  <c r="F28" i="67"/>
  <c r="G71" i="67"/>
  <c r="G28" i="67"/>
  <c r="D73" i="67"/>
  <c r="D72" i="67"/>
  <c r="D41" i="67"/>
  <c r="D39" i="67"/>
  <c r="E73" i="67"/>
  <c r="E72" i="67"/>
  <c r="E41" i="67"/>
  <c r="E39" i="67"/>
  <c r="F73" i="67"/>
  <c r="F72" i="67"/>
  <c r="F41" i="67"/>
  <c r="F39" i="67"/>
  <c r="G73" i="67"/>
  <c r="G72" i="67"/>
  <c r="G41" i="67"/>
  <c r="G39" i="67"/>
  <c r="E82" i="67"/>
  <c r="F82" i="67"/>
  <c r="G82" i="67"/>
  <c r="E83" i="67"/>
  <c r="F83" i="67"/>
  <c r="G83" i="67"/>
  <c r="E84" i="67"/>
  <c r="E85" i="67"/>
  <c r="D23" i="66"/>
  <c r="E23" i="66"/>
  <c r="E24" i="66"/>
  <c r="F23" i="66"/>
  <c r="F24" i="66"/>
  <c r="G23" i="66"/>
  <c r="G24" i="66"/>
  <c r="D25" i="66"/>
  <c r="D26" i="66"/>
  <c r="E25" i="66"/>
  <c r="E26" i="66"/>
  <c r="F25" i="66"/>
  <c r="F26" i="66"/>
  <c r="G25" i="66"/>
  <c r="G26" i="66"/>
  <c r="D38" i="66"/>
  <c r="E38" i="66"/>
  <c r="F38" i="66"/>
  <c r="G38" i="66"/>
  <c r="D51" i="66"/>
  <c r="D59" i="66"/>
  <c r="D52" i="66"/>
  <c r="D60" i="66"/>
  <c r="D56" i="66"/>
  <c r="E56" i="66"/>
  <c r="F56" i="66"/>
  <c r="G56" i="66"/>
  <c r="D57" i="66"/>
  <c r="E57" i="66"/>
  <c r="F57" i="66"/>
  <c r="G57" i="66"/>
  <c r="D58" i="66"/>
  <c r="E58" i="66"/>
  <c r="F58" i="66"/>
  <c r="G58" i="66"/>
  <c r="D71" i="66"/>
  <c r="D28" i="66"/>
  <c r="E71" i="66"/>
  <c r="E28" i="66"/>
  <c r="F71" i="66"/>
  <c r="F28" i="66"/>
  <c r="G71" i="66"/>
  <c r="G28" i="66"/>
  <c r="D73" i="66"/>
  <c r="D72" i="66"/>
  <c r="D41" i="66"/>
  <c r="D39" i="66"/>
  <c r="E73" i="66"/>
  <c r="E72" i="66"/>
  <c r="E41" i="66"/>
  <c r="E39" i="66"/>
  <c r="F73" i="66"/>
  <c r="F72" i="66"/>
  <c r="F41" i="66"/>
  <c r="F39" i="66"/>
  <c r="G73" i="66"/>
  <c r="G72" i="66"/>
  <c r="G41" i="66"/>
  <c r="G39" i="66"/>
  <c r="E82" i="66"/>
  <c r="F82" i="66"/>
  <c r="G82" i="66"/>
  <c r="E83" i="66"/>
  <c r="F83" i="66"/>
  <c r="G83" i="66"/>
  <c r="E84" i="66"/>
  <c r="E51" i="66"/>
  <c r="E59" i="66"/>
  <c r="E85" i="66"/>
  <c r="E52" i="66"/>
  <c r="E60" i="66"/>
  <c r="D52" i="65"/>
  <c r="D60" i="65"/>
  <c r="E52" i="65"/>
  <c r="E60" i="65"/>
  <c r="F52" i="65"/>
  <c r="F60" i="65"/>
  <c r="G52" i="65"/>
  <c r="G60" i="65"/>
  <c r="D53" i="65"/>
  <c r="D61" i="65"/>
  <c r="E53" i="65"/>
  <c r="E61" i="65"/>
  <c r="F53" i="65"/>
  <c r="F61" i="65"/>
  <c r="G53" i="65"/>
  <c r="G61" i="65"/>
  <c r="D54" i="65"/>
  <c r="D62" i="65"/>
  <c r="E54" i="65"/>
  <c r="E62" i="65"/>
  <c r="F54" i="65"/>
  <c r="F62" i="65"/>
  <c r="G54" i="65"/>
  <c r="G62" i="65"/>
  <c r="D56" i="65"/>
  <c r="D64" i="65"/>
  <c r="E56" i="65"/>
  <c r="E64" i="65"/>
  <c r="F56" i="65"/>
  <c r="F64" i="65"/>
  <c r="G56" i="65"/>
  <c r="G64" i="65"/>
  <c r="E77" i="65"/>
  <c r="E82" i="65"/>
  <c r="E75" i="65"/>
  <c r="E84" i="65"/>
  <c r="E85" i="65"/>
  <c r="E89" i="65"/>
  <c r="D82" i="65"/>
  <c r="D75" i="65"/>
  <c r="G107" i="65"/>
  <c r="E83" i="65"/>
  <c r="E91" i="65"/>
  <c r="E92" i="65"/>
  <c r="F82" i="65"/>
  <c r="F75" i="65"/>
  <c r="F83" i="65"/>
  <c r="F91" i="65"/>
  <c r="F92" i="65"/>
  <c r="G82" i="65"/>
  <c r="G75" i="65"/>
  <c r="D39" i="64"/>
  <c r="E39" i="64"/>
  <c r="F39" i="64"/>
  <c r="G39" i="64"/>
  <c r="E69" i="64"/>
  <c r="F69" i="64"/>
  <c r="G69" i="64"/>
  <c r="E72" i="64"/>
  <c r="F72" i="64"/>
  <c r="G72" i="64"/>
  <c r="D76" i="64"/>
  <c r="E76" i="64"/>
  <c r="F76" i="64"/>
  <c r="G76" i="64"/>
  <c r="D75" i="64"/>
  <c r="E75" i="64"/>
  <c r="F75" i="64"/>
  <c r="G75" i="64"/>
  <c r="D80" i="64"/>
  <c r="D25" i="64"/>
  <c r="E80" i="64"/>
  <c r="E25" i="64"/>
  <c r="F80" i="64"/>
  <c r="G80" i="64"/>
  <c r="D82" i="64"/>
  <c r="E82" i="64"/>
  <c r="F82" i="64"/>
  <c r="G82" i="64"/>
  <c r="D83" i="64"/>
  <c r="E83" i="64"/>
  <c r="F83" i="64"/>
  <c r="G83" i="64"/>
  <c r="D84" i="64"/>
  <c r="D49" i="64"/>
  <c r="D57" i="64"/>
  <c r="E84" i="64"/>
  <c r="E49" i="64"/>
  <c r="E57" i="64"/>
  <c r="F84" i="64"/>
  <c r="G84" i="64"/>
  <c r="D96" i="64"/>
  <c r="D86" i="64"/>
  <c r="E96" i="64"/>
  <c r="E86" i="64"/>
  <c r="E51" i="64"/>
  <c r="E59" i="64"/>
  <c r="F96" i="64"/>
  <c r="F86" i="64"/>
  <c r="G96" i="64"/>
  <c r="G86" i="64"/>
  <c r="D23" i="63"/>
  <c r="E23" i="63"/>
  <c r="E24" i="63"/>
  <c r="F23" i="63"/>
  <c r="F24" i="63"/>
  <c r="G23" i="63"/>
  <c r="G24" i="63"/>
  <c r="D70" i="63"/>
  <c r="E70" i="63"/>
  <c r="F70" i="63"/>
  <c r="G70" i="63"/>
  <c r="D72" i="63"/>
  <c r="D69" i="63"/>
  <c r="O17" i="94"/>
  <c r="E72" i="63"/>
  <c r="F72" i="63"/>
  <c r="F69" i="63"/>
  <c r="O23" i="94"/>
  <c r="G72" i="63"/>
  <c r="D79" i="63"/>
  <c r="D92" i="63"/>
  <c r="D82" i="63"/>
  <c r="D48" i="63"/>
  <c r="D56" i="63"/>
  <c r="E79" i="63"/>
  <c r="E67" i="63"/>
  <c r="F79" i="63"/>
  <c r="G79" i="63"/>
  <c r="G92" i="63"/>
  <c r="G82" i="63"/>
  <c r="G48" i="63"/>
  <c r="G56" i="63"/>
  <c r="D81" i="63"/>
  <c r="E81" i="63"/>
  <c r="F81" i="63"/>
  <c r="G81" i="63"/>
  <c r="D83" i="63"/>
  <c r="E83" i="63"/>
  <c r="F83" i="63"/>
  <c r="G83" i="63"/>
  <c r="D84" i="63"/>
  <c r="E84" i="63"/>
  <c r="F84" i="63"/>
  <c r="G84" i="63"/>
  <c r="D86" i="63"/>
  <c r="E86" i="63"/>
  <c r="F86" i="63"/>
  <c r="G86" i="63"/>
  <c r="D95" i="63"/>
  <c r="D85" i="63"/>
  <c r="E95" i="63"/>
  <c r="E85" i="63"/>
  <c r="F95" i="63"/>
  <c r="F85" i="63"/>
  <c r="G95" i="63"/>
  <c r="G85" i="63"/>
  <c r="D23" i="62"/>
  <c r="E23" i="62"/>
  <c r="E24" i="62"/>
  <c r="F23" i="62"/>
  <c r="G23" i="62"/>
  <c r="G24" i="62"/>
  <c r="E72" i="62"/>
  <c r="E73" i="62"/>
  <c r="F72" i="62"/>
  <c r="F69" i="62"/>
  <c r="G72" i="62"/>
  <c r="G69" i="62"/>
  <c r="D79" i="62"/>
  <c r="D25" i="62"/>
  <c r="E79" i="62"/>
  <c r="E25" i="62"/>
  <c r="F79" i="62"/>
  <c r="F25" i="62"/>
  <c r="G79" i="62"/>
  <c r="G25" i="62"/>
  <c r="D81" i="62"/>
  <c r="E81" i="62"/>
  <c r="F81" i="62"/>
  <c r="G81" i="62"/>
  <c r="D82" i="62"/>
  <c r="E82" i="62"/>
  <c r="F82" i="62"/>
  <c r="G82" i="62"/>
  <c r="D83" i="62"/>
  <c r="E83" i="62"/>
  <c r="F83" i="62"/>
  <c r="G83" i="62"/>
  <c r="D85" i="62"/>
  <c r="D51" i="62"/>
  <c r="D59" i="62"/>
  <c r="E85" i="62"/>
  <c r="F85" i="62"/>
  <c r="G85" i="62"/>
  <c r="D94" i="62"/>
  <c r="D95" i="64"/>
  <c r="E94" i="62"/>
  <c r="E95" i="64"/>
  <c r="E85" i="64"/>
  <c r="F94" i="62"/>
  <c r="F95" i="64"/>
  <c r="F85" i="64"/>
  <c r="G94" i="62"/>
  <c r="G95" i="64"/>
  <c r="G85" i="64"/>
  <c r="D96" i="62"/>
  <c r="E96" i="62"/>
  <c r="E97" i="64"/>
  <c r="E87" i="64"/>
  <c r="F96" i="62"/>
  <c r="G96" i="62"/>
  <c r="D23" i="61"/>
  <c r="D24" i="61"/>
  <c r="E23" i="61"/>
  <c r="E79" i="61"/>
  <c r="E67" i="61"/>
  <c r="F23" i="61"/>
  <c r="G23" i="61"/>
  <c r="G24" i="61"/>
  <c r="O67" i="61"/>
  <c r="D72" i="61"/>
  <c r="D69" i="61"/>
  <c r="E72" i="61"/>
  <c r="E69" i="61"/>
  <c r="F72" i="61"/>
  <c r="F73" i="61"/>
  <c r="G72" i="61"/>
  <c r="G73" i="61"/>
  <c r="O75" i="61"/>
  <c r="D25" i="61"/>
  <c r="AE59" i="94"/>
  <c r="AE51" i="94"/>
  <c r="F79" i="61"/>
  <c r="F25" i="61"/>
  <c r="AE63" i="94"/>
  <c r="G79" i="61"/>
  <c r="D81" i="61"/>
  <c r="E81" i="61"/>
  <c r="F81" i="61"/>
  <c r="G81" i="61"/>
  <c r="D82" i="61"/>
  <c r="E82" i="61"/>
  <c r="F82" i="61"/>
  <c r="F48" i="61"/>
  <c r="F56" i="61"/>
  <c r="G82" i="61"/>
  <c r="D83" i="61"/>
  <c r="E83" i="61"/>
  <c r="F83" i="61"/>
  <c r="F49" i="61"/>
  <c r="F57" i="61"/>
  <c r="G83" i="61"/>
  <c r="D84" i="61"/>
  <c r="E84" i="61"/>
  <c r="F84" i="61"/>
  <c r="G84" i="61"/>
  <c r="D85" i="61"/>
  <c r="E85" i="61"/>
  <c r="F85" i="61"/>
  <c r="F51" i="61"/>
  <c r="F59" i="61"/>
  <c r="G85" i="61"/>
  <c r="D86" i="61"/>
  <c r="E86" i="61"/>
  <c r="F86" i="61"/>
  <c r="F52" i="61"/>
  <c r="F60" i="61"/>
  <c r="G86" i="61"/>
  <c r="D23" i="60"/>
  <c r="E23" i="60"/>
  <c r="E24" i="60"/>
  <c r="F23" i="60"/>
  <c r="G23" i="60"/>
  <c r="G24" i="60"/>
  <c r="F24" i="60"/>
  <c r="D28" i="60"/>
  <c r="E28" i="60"/>
  <c r="F28" i="60"/>
  <c r="G28" i="60"/>
  <c r="N70" i="60"/>
  <c r="D76" i="60"/>
  <c r="D25" i="60"/>
  <c r="E76" i="60"/>
  <c r="F76" i="60"/>
  <c r="F25" i="60"/>
  <c r="G76" i="60"/>
  <c r="D25" i="59"/>
  <c r="E25" i="59"/>
  <c r="F25" i="59"/>
  <c r="G25" i="59"/>
  <c r="D28" i="59"/>
  <c r="D41" i="59"/>
  <c r="D39" i="59"/>
  <c r="E28" i="59"/>
  <c r="E41" i="59"/>
  <c r="E39" i="59"/>
  <c r="F28" i="59"/>
  <c r="F41" i="59"/>
  <c r="F39" i="59"/>
  <c r="G28" i="59"/>
  <c r="G41" i="59"/>
  <c r="G39" i="59"/>
  <c r="D56" i="59"/>
  <c r="E56" i="59"/>
  <c r="F56" i="59"/>
  <c r="G56" i="59"/>
  <c r="D57" i="59"/>
  <c r="E57" i="59"/>
  <c r="F57" i="59"/>
  <c r="G57" i="59"/>
  <c r="D58" i="59"/>
  <c r="E58" i="59"/>
  <c r="F58" i="59"/>
  <c r="G58" i="59"/>
  <c r="D59" i="59"/>
  <c r="E59" i="59"/>
  <c r="F59" i="59"/>
  <c r="G59" i="59"/>
  <c r="D60" i="59"/>
  <c r="E60" i="59"/>
  <c r="F60" i="59"/>
  <c r="G60" i="59"/>
  <c r="D70" i="59"/>
  <c r="D23" i="59"/>
  <c r="D24" i="59"/>
  <c r="E70" i="59"/>
  <c r="E23" i="59"/>
  <c r="E24" i="59"/>
  <c r="F70" i="59"/>
  <c r="F23" i="59"/>
  <c r="F24" i="59"/>
  <c r="G70" i="59"/>
  <c r="G23" i="59"/>
  <c r="G24" i="59"/>
  <c r="D25" i="58"/>
  <c r="E25" i="58"/>
  <c r="F25" i="58"/>
  <c r="G25" i="58"/>
  <c r="D28" i="58"/>
  <c r="E28" i="58"/>
  <c r="F28" i="58"/>
  <c r="G28" i="58"/>
  <c r="D68" i="58"/>
  <c r="E68" i="58"/>
  <c r="D70" i="58"/>
  <c r="K72" i="85"/>
  <c r="E70" i="58"/>
  <c r="F70" i="58"/>
  <c r="F41" i="58"/>
  <c r="F39" i="58"/>
  <c r="G70" i="58"/>
  <c r="W71" i="57"/>
  <c r="W81" i="57"/>
  <c r="D72" i="58"/>
  <c r="D23" i="58"/>
  <c r="D24" i="58"/>
  <c r="E72" i="58"/>
  <c r="W82" i="57"/>
  <c r="F72" i="58"/>
  <c r="F23" i="58"/>
  <c r="F24" i="58"/>
  <c r="G72" i="58"/>
  <c r="G23" i="58"/>
  <c r="G24" i="58"/>
  <c r="D25" i="57"/>
  <c r="E25" i="57"/>
  <c r="F25" i="57"/>
  <c r="G25" i="57"/>
  <c r="D28" i="57"/>
  <c r="E28" i="57"/>
  <c r="F28" i="57"/>
  <c r="G28" i="57"/>
  <c r="F38" i="60"/>
  <c r="L34" i="85"/>
  <c r="L44" i="85"/>
  <c r="W67" i="57"/>
  <c r="V68" i="57"/>
  <c r="W68" i="57"/>
  <c r="X68" i="57"/>
  <c r="E69" i="57"/>
  <c r="E69" i="60"/>
  <c r="E41" i="60"/>
  <c r="E39" i="60"/>
  <c r="F69" i="57"/>
  <c r="F69" i="60"/>
  <c r="G69" i="57"/>
  <c r="G41" i="57"/>
  <c r="G39" i="57"/>
  <c r="V71" i="57"/>
  <c r="V81" i="57"/>
  <c r="D71" i="57"/>
  <c r="D23" i="57"/>
  <c r="I34" i="85"/>
  <c r="E71" i="57"/>
  <c r="E23" i="57"/>
  <c r="E24" i="57"/>
  <c r="F71" i="57"/>
  <c r="F23" i="57"/>
  <c r="F24" i="57"/>
  <c r="G71" i="57"/>
  <c r="G23" i="57"/>
  <c r="G24" i="57"/>
  <c r="V72" i="57"/>
  <c r="W72" i="57"/>
  <c r="X72" i="57"/>
  <c r="V73" i="57"/>
  <c r="W73" i="57"/>
  <c r="X73" i="57"/>
  <c r="V77" i="57"/>
  <c r="V78" i="57"/>
  <c r="W78" i="57"/>
  <c r="X78" i="57"/>
  <c r="X82" i="57"/>
  <c r="V83" i="57"/>
  <c r="W83" i="57"/>
  <c r="X83" i="57"/>
  <c r="V84" i="57"/>
  <c r="W84" i="57"/>
  <c r="X84" i="57"/>
  <c r="V85" i="57"/>
  <c r="W85" i="57"/>
  <c r="X85" i="57"/>
  <c r="D105" i="57"/>
  <c r="E105" i="57"/>
  <c r="F105" i="57"/>
  <c r="D106" i="57"/>
  <c r="E106" i="57"/>
  <c r="E89" i="60"/>
  <c r="E79" i="60"/>
  <c r="E48" i="60"/>
  <c r="E56" i="60"/>
  <c r="F106" i="57"/>
  <c r="D107" i="57"/>
  <c r="E107" i="57"/>
  <c r="F107" i="57"/>
  <c r="F90" i="60"/>
  <c r="D108" i="57"/>
  <c r="E108" i="57"/>
  <c r="E90" i="57"/>
  <c r="E91" i="58"/>
  <c r="E81" i="58"/>
  <c r="E50" i="58"/>
  <c r="E58" i="58"/>
  <c r="F108" i="57"/>
  <c r="F90" i="57"/>
  <c r="G90" i="57"/>
  <c r="D109" i="57"/>
  <c r="D91" i="57"/>
  <c r="E109" i="57"/>
  <c r="E92" i="60"/>
  <c r="F109" i="57"/>
  <c r="D110" i="57"/>
  <c r="D93" i="60"/>
  <c r="E110" i="57"/>
  <c r="E93" i="60"/>
  <c r="E83" i="60"/>
  <c r="E52" i="60"/>
  <c r="E60" i="60"/>
  <c r="F110" i="57"/>
  <c r="F93" i="60"/>
  <c r="D23" i="56"/>
  <c r="D24" i="56"/>
  <c r="E23" i="56"/>
  <c r="F23" i="56"/>
  <c r="G23" i="56"/>
  <c r="G24" i="56"/>
  <c r="D70" i="56"/>
  <c r="E70" i="56"/>
  <c r="F70" i="56"/>
  <c r="G70" i="56"/>
  <c r="B100" i="56"/>
  <c r="D89" i="56"/>
  <c r="F89" i="56"/>
  <c r="B102" i="56"/>
  <c r="D23" i="55"/>
  <c r="D24" i="55"/>
  <c r="E23" i="55"/>
  <c r="E24" i="55"/>
  <c r="F23" i="55"/>
  <c r="F24" i="55"/>
  <c r="G23" i="55"/>
  <c r="G24" i="55"/>
  <c r="D68" i="55"/>
  <c r="E68" i="55"/>
  <c r="F68" i="55"/>
  <c r="G68" i="55"/>
  <c r="D23" i="54"/>
  <c r="D24" i="54"/>
  <c r="E23" i="54"/>
  <c r="E24" i="54"/>
  <c r="F23" i="54"/>
  <c r="F24" i="54"/>
  <c r="G23" i="54"/>
  <c r="G24" i="54"/>
  <c r="D68" i="54"/>
  <c r="E68" i="54"/>
  <c r="F68" i="54"/>
  <c r="G68" i="54"/>
  <c r="D23" i="53"/>
  <c r="D24" i="53"/>
  <c r="E23" i="53"/>
  <c r="E24" i="53"/>
  <c r="F23" i="53"/>
  <c r="F24" i="53"/>
  <c r="G23" i="53"/>
  <c r="G24" i="53"/>
  <c r="E25" i="53"/>
  <c r="AI16" i="19"/>
  <c r="AH16" i="19"/>
  <c r="AG16" i="19"/>
  <c r="W66" i="19"/>
  <c r="F25" i="53"/>
  <c r="AI17" i="19"/>
  <c r="AH17" i="19"/>
  <c r="AG17" i="19"/>
  <c r="W69" i="19"/>
  <c r="G25" i="53"/>
  <c r="D67" i="53"/>
  <c r="D67" i="54"/>
  <c r="E67" i="53"/>
  <c r="E67" i="54"/>
  <c r="E75" i="54"/>
  <c r="E25" i="54"/>
  <c r="F67" i="53"/>
  <c r="F28" i="53"/>
  <c r="G67" i="53"/>
  <c r="D69" i="53"/>
  <c r="D69" i="55"/>
  <c r="E69" i="53"/>
  <c r="F69" i="53"/>
  <c r="F69" i="54"/>
  <c r="G69" i="53"/>
  <c r="D106" i="53"/>
  <c r="E106" i="53"/>
  <c r="F106" i="53"/>
  <c r="D107" i="53"/>
  <c r="D88" i="53"/>
  <c r="D88" i="54"/>
  <c r="E107" i="53"/>
  <c r="E88" i="53"/>
  <c r="E88" i="54"/>
  <c r="E78" i="53"/>
  <c r="E48" i="53"/>
  <c r="E56" i="53"/>
  <c r="F107" i="53"/>
  <c r="F88" i="53"/>
  <c r="D108" i="53"/>
  <c r="D89" i="53"/>
  <c r="D89" i="55"/>
  <c r="E108" i="53"/>
  <c r="E89" i="53"/>
  <c r="F108" i="53"/>
  <c r="F89" i="53"/>
  <c r="F79" i="53"/>
  <c r="F49" i="53"/>
  <c r="F57" i="53"/>
  <c r="D109" i="53"/>
  <c r="D90" i="53"/>
  <c r="E109" i="53"/>
  <c r="E90" i="53"/>
  <c r="E90" i="55"/>
  <c r="F109" i="53"/>
  <c r="F90" i="53"/>
  <c r="F90" i="55"/>
  <c r="D110" i="53"/>
  <c r="D91" i="53"/>
  <c r="D92" i="56"/>
  <c r="E110" i="53"/>
  <c r="E91" i="53"/>
  <c r="F110" i="53"/>
  <c r="F91" i="53"/>
  <c r="F81" i="53"/>
  <c r="F51" i="53"/>
  <c r="F59" i="53"/>
  <c r="D111" i="53"/>
  <c r="D92" i="53"/>
  <c r="D93" i="56"/>
  <c r="E111" i="53"/>
  <c r="E92" i="53"/>
  <c r="E92" i="55"/>
  <c r="F111" i="53"/>
  <c r="F92" i="53"/>
  <c r="F82" i="53"/>
  <c r="F52" i="53"/>
  <c r="F60" i="53"/>
  <c r="G24" i="52"/>
  <c r="D48" i="52"/>
  <c r="D56" i="52"/>
  <c r="E48" i="52"/>
  <c r="E56" i="52"/>
  <c r="F48" i="52"/>
  <c r="F56" i="52"/>
  <c r="G48" i="52"/>
  <c r="G56" i="52"/>
  <c r="D49" i="52"/>
  <c r="D57" i="52"/>
  <c r="E49" i="52"/>
  <c r="E57" i="52"/>
  <c r="F49" i="52"/>
  <c r="F57" i="52"/>
  <c r="G49" i="52"/>
  <c r="G57" i="52"/>
  <c r="D50" i="52"/>
  <c r="D58" i="52"/>
  <c r="E50" i="52"/>
  <c r="E58" i="52"/>
  <c r="F50" i="52"/>
  <c r="F58" i="52"/>
  <c r="G50" i="52"/>
  <c r="G58" i="52"/>
  <c r="D51" i="52"/>
  <c r="D59" i="52"/>
  <c r="E51" i="52"/>
  <c r="E59" i="52"/>
  <c r="F51" i="52"/>
  <c r="F59" i="52"/>
  <c r="G51" i="52"/>
  <c r="G59" i="52"/>
  <c r="D52" i="52"/>
  <c r="D60" i="52"/>
  <c r="E52" i="52"/>
  <c r="E60" i="52"/>
  <c r="F52" i="52"/>
  <c r="F60" i="52"/>
  <c r="G52" i="52"/>
  <c r="G60" i="52"/>
  <c r="D75" i="52"/>
  <c r="D28" i="52"/>
  <c r="D78" i="52"/>
  <c r="E75" i="52"/>
  <c r="E28" i="52"/>
  <c r="E78" i="52"/>
  <c r="F75" i="52"/>
  <c r="F28" i="52"/>
  <c r="F78" i="52"/>
  <c r="G75" i="52"/>
  <c r="G28" i="52"/>
  <c r="G78" i="52"/>
  <c r="D76" i="52"/>
  <c r="D41" i="52"/>
  <c r="D39" i="52"/>
  <c r="E76" i="52"/>
  <c r="E41" i="52"/>
  <c r="E39" i="52"/>
  <c r="F76" i="52"/>
  <c r="F41" i="52"/>
  <c r="F39" i="52"/>
  <c r="G76" i="52"/>
  <c r="G41" i="52"/>
  <c r="G39" i="52"/>
  <c r="S2" i="51"/>
  <c r="D48" i="51"/>
  <c r="D56" i="51"/>
  <c r="E48" i="51"/>
  <c r="E56" i="51"/>
  <c r="F48" i="51"/>
  <c r="F56" i="51"/>
  <c r="G48" i="51"/>
  <c r="G56" i="51"/>
  <c r="D49" i="51"/>
  <c r="D57" i="51"/>
  <c r="E49" i="51"/>
  <c r="E57" i="51"/>
  <c r="F49" i="51"/>
  <c r="F57" i="51"/>
  <c r="G49" i="51"/>
  <c r="G57" i="51"/>
  <c r="D50" i="51"/>
  <c r="D58" i="51"/>
  <c r="E50" i="51"/>
  <c r="E58" i="51"/>
  <c r="F50" i="51"/>
  <c r="G50" i="51"/>
  <c r="G58" i="51"/>
  <c r="D51" i="51"/>
  <c r="D59" i="51"/>
  <c r="E51" i="51"/>
  <c r="E59" i="51"/>
  <c r="F51" i="51"/>
  <c r="F59" i="51"/>
  <c r="G51" i="51"/>
  <c r="G59" i="51"/>
  <c r="D52" i="51"/>
  <c r="D60" i="51"/>
  <c r="E52" i="51"/>
  <c r="E60" i="51"/>
  <c r="F52" i="51"/>
  <c r="F60" i="51"/>
  <c r="G52" i="51"/>
  <c r="G60" i="51"/>
  <c r="F58" i="51"/>
  <c r="S2" i="50"/>
  <c r="D48" i="50"/>
  <c r="D56" i="50"/>
  <c r="E48" i="50"/>
  <c r="F48" i="50"/>
  <c r="F56" i="50"/>
  <c r="G48" i="50"/>
  <c r="G56" i="50"/>
  <c r="D49" i="50"/>
  <c r="D57" i="50"/>
  <c r="E49" i="50"/>
  <c r="E57" i="50"/>
  <c r="F49" i="50"/>
  <c r="F57" i="50"/>
  <c r="G49" i="50"/>
  <c r="G57" i="50"/>
  <c r="D50" i="50"/>
  <c r="D58" i="50"/>
  <c r="E50" i="50"/>
  <c r="E58" i="50"/>
  <c r="F50" i="50"/>
  <c r="F58" i="50"/>
  <c r="G50" i="50"/>
  <c r="G58" i="50"/>
  <c r="D51" i="50"/>
  <c r="D59" i="50"/>
  <c r="E51" i="50"/>
  <c r="E59" i="50"/>
  <c r="F51" i="50"/>
  <c r="F59" i="50"/>
  <c r="G51" i="50"/>
  <c r="G59" i="50"/>
  <c r="D52" i="50"/>
  <c r="D60" i="50"/>
  <c r="E52" i="50"/>
  <c r="E60" i="50"/>
  <c r="F52" i="50"/>
  <c r="F60" i="50"/>
  <c r="G52" i="50"/>
  <c r="G60" i="50"/>
  <c r="E56" i="50"/>
  <c r="D75" i="50"/>
  <c r="E75" i="50"/>
  <c r="F75" i="50"/>
  <c r="G75" i="50"/>
  <c r="S2" i="49"/>
  <c r="D48" i="49"/>
  <c r="D56" i="49"/>
  <c r="E48" i="49"/>
  <c r="E56" i="49"/>
  <c r="F48" i="49"/>
  <c r="F56" i="49"/>
  <c r="G48" i="49"/>
  <c r="G56" i="49"/>
  <c r="D49" i="49"/>
  <c r="D57" i="49"/>
  <c r="E49" i="49"/>
  <c r="E57" i="49"/>
  <c r="F49" i="49"/>
  <c r="F57" i="49"/>
  <c r="G49" i="49"/>
  <c r="G57" i="49"/>
  <c r="D50" i="49"/>
  <c r="D58" i="49"/>
  <c r="E50" i="49"/>
  <c r="E58" i="49"/>
  <c r="F50" i="49"/>
  <c r="F58" i="49"/>
  <c r="G50" i="49"/>
  <c r="G58" i="49"/>
  <c r="D51" i="49"/>
  <c r="D59" i="49"/>
  <c r="E51" i="49"/>
  <c r="E59" i="49"/>
  <c r="F51" i="49"/>
  <c r="F59" i="49"/>
  <c r="G51" i="49"/>
  <c r="G59" i="49"/>
  <c r="D52" i="49"/>
  <c r="D60" i="49"/>
  <c r="E52" i="49"/>
  <c r="E60" i="49"/>
  <c r="F52" i="49"/>
  <c r="F60" i="49"/>
  <c r="G52" i="49"/>
  <c r="G60" i="49"/>
  <c r="D67" i="49"/>
  <c r="D67" i="50"/>
  <c r="D24" i="66"/>
  <c r="K68" i="85"/>
  <c r="G77" i="64"/>
  <c r="G23" i="64"/>
  <c r="G24" i="64"/>
  <c r="E69" i="62"/>
  <c r="D49" i="62"/>
  <c r="D57" i="62"/>
  <c r="F45" i="65"/>
  <c r="F111" i="65"/>
  <c r="F55" i="65"/>
  <c r="F63" i="65"/>
  <c r="G25" i="52"/>
  <c r="G25" i="93"/>
  <c r="F24" i="52"/>
  <c r="G69" i="61"/>
  <c r="D23" i="68"/>
  <c r="D24" i="68"/>
  <c r="E24" i="52"/>
  <c r="F24" i="56"/>
  <c r="E24" i="56"/>
  <c r="G45" i="65"/>
  <c r="G43" i="65"/>
  <c r="D41" i="68"/>
  <c r="D39" i="68"/>
  <c r="D71" i="68"/>
  <c r="D28" i="68"/>
  <c r="E38" i="55"/>
  <c r="D69" i="54"/>
  <c r="D38" i="55"/>
  <c r="F25" i="52"/>
  <c r="F84" i="52"/>
  <c r="W77" i="57"/>
  <c r="G25" i="60"/>
  <c r="D84" i="65"/>
  <c r="D85" i="65"/>
  <c r="D89" i="65"/>
  <c r="D107" i="65"/>
  <c r="E107" i="65"/>
  <c r="V67" i="57"/>
  <c r="E38" i="60"/>
  <c r="L30" i="85"/>
  <c r="L41" i="85"/>
  <c r="D92" i="60"/>
  <c r="G84" i="62"/>
  <c r="G50" i="62"/>
  <c r="G58" i="62"/>
  <c r="D77" i="64"/>
  <c r="D23" i="64"/>
  <c r="D67" i="64"/>
  <c r="F92" i="57"/>
  <c r="F93" i="58"/>
  <c r="F83" i="58"/>
  <c r="F52" i="58"/>
  <c r="F60" i="58"/>
  <c r="F89" i="57"/>
  <c r="E89" i="56"/>
  <c r="E88" i="55"/>
  <c r="D85" i="64"/>
  <c r="F38" i="55"/>
  <c r="Q56" i="19"/>
  <c r="E93" i="56"/>
  <c r="E92" i="54"/>
  <c r="E82" i="53"/>
  <c r="E52" i="53"/>
  <c r="E60" i="53"/>
  <c r="G38" i="55"/>
  <c r="F91" i="60"/>
  <c r="G91" i="60"/>
  <c r="E67" i="56"/>
  <c r="E76" i="56"/>
  <c r="E25" i="56"/>
  <c r="E67" i="55"/>
  <c r="E75" i="55"/>
  <c r="E78" i="55"/>
  <c r="E48" i="55"/>
  <c r="E56" i="55"/>
  <c r="E28" i="53"/>
  <c r="W79" i="57"/>
  <c r="W80" i="57"/>
  <c r="E25" i="52"/>
  <c r="E84" i="52"/>
  <c r="E91" i="60"/>
  <c r="E81" i="60"/>
  <c r="E50" i="60"/>
  <c r="E58" i="60"/>
  <c r="G38" i="60"/>
  <c r="E25" i="60"/>
  <c r="X81" i="57"/>
  <c r="X71" i="57"/>
  <c r="D73" i="61"/>
  <c r="E84" i="62"/>
  <c r="E52" i="67"/>
  <c r="E60" i="67"/>
  <c r="F85" i="67"/>
  <c r="G85" i="67"/>
  <c r="G52" i="67"/>
  <c r="G60" i="67"/>
  <c r="E92" i="57"/>
  <c r="E51" i="67"/>
  <c r="E59" i="67"/>
  <c r="F84" i="67"/>
  <c r="D24" i="64"/>
  <c r="F43" i="65"/>
  <c r="D41" i="60"/>
  <c r="D39" i="60"/>
  <c r="E45" i="65"/>
  <c r="E43" i="65"/>
  <c r="D105" i="9"/>
  <c r="D101" i="9"/>
  <c r="Z7" i="9"/>
  <c r="O77" i="9"/>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R2" i="52"/>
  <c r="R2" i="51"/>
  <c r="R2" i="50"/>
  <c r="R2" i="49"/>
  <c r="Q2" i="52"/>
  <c r="AQ38" i="19"/>
  <c r="O54" i="91"/>
  <c r="R94" i="91"/>
  <c r="R50" i="91"/>
  <c r="E100" i="91"/>
  <c r="E53" i="91"/>
  <c r="L130" i="91"/>
  <c r="L68" i="91"/>
  <c r="O74" i="93"/>
  <c r="G69" i="60"/>
  <c r="K83" i="85"/>
  <c r="D83" i="60"/>
  <c r="D52" i="60"/>
  <c r="D60" i="60"/>
  <c r="F84" i="66"/>
  <c r="F51" i="66"/>
  <c r="F59" i="66"/>
  <c r="M15" i="86"/>
  <c r="M17" i="86"/>
  <c r="M19" i="86"/>
  <c r="P112" i="91"/>
  <c r="P59" i="91"/>
  <c r="G106" i="93"/>
  <c r="G96" i="93"/>
  <c r="G56" i="93"/>
  <c r="G64" i="93"/>
  <c r="L58" i="91"/>
  <c r="O63" i="91"/>
  <c r="P71" i="93"/>
  <c r="L28" i="94"/>
  <c r="L26" i="94"/>
  <c r="E28" i="55"/>
  <c r="D48" i="61"/>
  <c r="D56" i="61"/>
  <c r="E73" i="61"/>
  <c r="D51" i="63"/>
  <c r="D59" i="63"/>
  <c r="D49" i="63"/>
  <c r="D57" i="63"/>
  <c r="P88" i="91"/>
  <c r="P47" i="91"/>
  <c r="D82" i="60"/>
  <c r="D51" i="60"/>
  <c r="D59" i="60"/>
  <c r="G67" i="62"/>
  <c r="F69" i="55"/>
  <c r="F50" i="61"/>
  <c r="F58" i="61"/>
  <c r="G48" i="62"/>
  <c r="G56" i="62"/>
  <c r="J72" i="91"/>
  <c r="N94" i="91"/>
  <c r="N50" i="91"/>
  <c r="K100" i="91"/>
  <c r="K53" i="91"/>
  <c r="F148" i="91"/>
  <c r="F77" i="91"/>
  <c r="Y25" i="9"/>
  <c r="Y26" i="9"/>
  <c r="W29" i="9" a="1"/>
  <c r="W29" i="9"/>
  <c r="W33" i="9"/>
  <c r="W37" i="9"/>
  <c r="W5" i="9" a="1"/>
  <c r="W5" i="9"/>
  <c r="W17" i="9" a="1"/>
  <c r="W17" i="9"/>
  <c r="V29" i="9" a="1"/>
  <c r="V29" i="9"/>
  <c r="V17" i="9" a="1"/>
  <c r="V17" i="9"/>
  <c r="AF94" i="9"/>
  <c r="V5" i="9" a="1"/>
  <c r="V5" i="9"/>
  <c r="W69" i="57"/>
  <c r="W70" i="57"/>
  <c r="E52" i="64"/>
  <c r="E60" i="64"/>
  <c r="G92" i="57"/>
  <c r="L100" i="91"/>
  <c r="L53" i="91"/>
  <c r="G142" i="91"/>
  <c r="G74" i="91"/>
  <c r="S142" i="91"/>
  <c r="S74" i="91"/>
  <c r="G148" i="91"/>
  <c r="G77" i="91"/>
  <c r="S148" i="91"/>
  <c r="S77" i="91"/>
  <c r="AI98" i="19"/>
  <c r="L8" i="19"/>
  <c r="E48" i="64"/>
  <c r="E56" i="64"/>
  <c r="D50" i="64"/>
  <c r="D58" i="64"/>
  <c r="E50" i="64"/>
  <c r="E58" i="64"/>
  <c r="E48" i="62"/>
  <c r="E56" i="62"/>
  <c r="D72" i="69"/>
  <c r="D41" i="69"/>
  <c r="D39" i="69"/>
  <c r="F48" i="91"/>
  <c r="O72" i="93"/>
  <c r="F41" i="57"/>
  <c r="F39" i="57"/>
  <c r="F82" i="57"/>
  <c r="F52" i="57"/>
  <c r="F60" i="57"/>
  <c r="F85" i="68"/>
  <c r="E91" i="57"/>
  <c r="E81" i="57"/>
  <c r="E51" i="57"/>
  <c r="E59" i="57"/>
  <c r="G81" i="60"/>
  <c r="G50" i="60"/>
  <c r="G58" i="60"/>
  <c r="F73" i="62"/>
  <c r="F84" i="62"/>
  <c r="E86" i="62"/>
  <c r="E52" i="62"/>
  <c r="E60" i="62"/>
  <c r="D48" i="62"/>
  <c r="D56" i="62"/>
  <c r="E82" i="57"/>
  <c r="E52" i="57"/>
  <c r="E60" i="57"/>
  <c r="E93" i="58"/>
  <c r="E83" i="58"/>
  <c r="E52" i="58"/>
  <c r="E60" i="58"/>
  <c r="F85" i="66"/>
  <c r="E89" i="54"/>
  <c r="E79" i="54"/>
  <c r="E49" i="54"/>
  <c r="E57" i="54"/>
  <c r="E90" i="56"/>
  <c r="E80" i="56"/>
  <c r="E49" i="56"/>
  <c r="E57" i="56"/>
  <c r="F89" i="58"/>
  <c r="F79" i="58"/>
  <c r="F48" i="58"/>
  <c r="F56" i="58"/>
  <c r="G89" i="56"/>
  <c r="G89" i="58"/>
  <c r="G79" i="58"/>
  <c r="G48" i="58"/>
  <c r="G56" i="58"/>
  <c r="D90" i="57"/>
  <c r="D80" i="57"/>
  <c r="D50" i="57"/>
  <c r="D58" i="57"/>
  <c r="D91" i="60"/>
  <c r="D81" i="60"/>
  <c r="D50" i="60"/>
  <c r="D58" i="60"/>
  <c r="D88" i="55"/>
  <c r="D91" i="56"/>
  <c r="D90" i="54"/>
  <c r="F73" i="63"/>
  <c r="G41" i="68"/>
  <c r="G39" i="68"/>
  <c r="E67" i="49"/>
  <c r="D74" i="49"/>
  <c r="D41" i="49"/>
  <c r="D39" i="49"/>
  <c r="D67" i="51"/>
  <c r="D23" i="49"/>
  <c r="D24" i="49"/>
  <c r="D73" i="49"/>
  <c r="D28" i="49"/>
  <c r="E28" i="56"/>
  <c r="V82" i="57"/>
  <c r="E91" i="55"/>
  <c r="E81" i="53"/>
  <c r="E51" i="53"/>
  <c r="E59" i="53"/>
  <c r="G88" i="53"/>
  <c r="G78" i="53"/>
  <c r="G48" i="53"/>
  <c r="G56" i="53"/>
  <c r="F88" i="55"/>
  <c r="G86" i="62"/>
  <c r="G52" i="62"/>
  <c r="G60" i="62"/>
  <c r="G97" i="64"/>
  <c r="G87" i="64"/>
  <c r="G41" i="60"/>
  <c r="G39" i="60"/>
  <c r="E83" i="56"/>
  <c r="E52" i="56"/>
  <c r="E60" i="56"/>
  <c r="F83" i="60"/>
  <c r="F52" i="60"/>
  <c r="F60" i="60"/>
  <c r="D52" i="61"/>
  <c r="D60" i="61"/>
  <c r="F67" i="61"/>
  <c r="F40" i="61"/>
  <c r="D84" i="62"/>
  <c r="D50" i="62"/>
  <c r="D58" i="62"/>
  <c r="D91" i="54"/>
  <c r="F84" i="68"/>
  <c r="E82" i="60"/>
  <c r="E51" i="60"/>
  <c r="E59" i="60"/>
  <c r="K51" i="91"/>
  <c r="G94" i="91"/>
  <c r="G50" i="91"/>
  <c r="F112" i="91"/>
  <c r="F59" i="91"/>
  <c r="J112" i="91"/>
  <c r="J59" i="91"/>
  <c r="G49" i="93"/>
  <c r="G47" i="93"/>
  <c r="D124" i="91"/>
  <c r="D65" i="91"/>
  <c r="N72" i="91"/>
  <c r="D94" i="91"/>
  <c r="D50" i="91"/>
  <c r="E106" i="91"/>
  <c r="E56" i="91"/>
  <c r="M106" i="91"/>
  <c r="M56" i="91"/>
  <c r="R130" i="91"/>
  <c r="R68" i="91"/>
  <c r="F136" i="91"/>
  <c r="F71" i="91"/>
  <c r="E81" i="52"/>
  <c r="D49" i="93"/>
  <c r="D47" i="93"/>
  <c r="F100" i="93"/>
  <c r="F60" i="93"/>
  <c r="F68" i="93"/>
  <c r="G108" i="93"/>
  <c r="G98" i="93"/>
  <c r="G58" i="93"/>
  <c r="G66" i="93"/>
  <c r="E51" i="63"/>
  <c r="E59" i="63"/>
  <c r="D67" i="63"/>
  <c r="F41" i="60"/>
  <c r="F39" i="60"/>
  <c r="E80" i="53"/>
  <c r="E50" i="53"/>
  <c r="E58" i="53"/>
  <c r="D25" i="63"/>
  <c r="G84" i="66"/>
  <c r="G51" i="66"/>
  <c r="G59" i="66"/>
  <c r="F50" i="62"/>
  <c r="F58" i="62"/>
  <c r="G84" i="52"/>
  <c r="F24" i="61"/>
  <c r="E28" i="54"/>
  <c r="D51" i="61"/>
  <c r="D59" i="61"/>
  <c r="D50" i="61"/>
  <c r="D58" i="61"/>
  <c r="D49" i="61"/>
  <c r="D57" i="61"/>
  <c r="G51" i="62"/>
  <c r="G59" i="62"/>
  <c r="G49" i="62"/>
  <c r="G57" i="62"/>
  <c r="D73" i="63"/>
  <c r="D51" i="64"/>
  <c r="D59" i="64"/>
  <c r="D48" i="64"/>
  <c r="D56" i="64"/>
  <c r="E77" i="64"/>
  <c r="E23" i="64"/>
  <c r="E67" i="64"/>
  <c r="E79" i="64"/>
  <c r="P45" i="91"/>
  <c r="Q88" i="91"/>
  <c r="Q47" i="91"/>
  <c r="G118" i="91"/>
  <c r="G62" i="91"/>
  <c r="O118" i="91"/>
  <c r="O62" i="91"/>
  <c r="M124" i="91"/>
  <c r="M65" i="91"/>
  <c r="D40" i="63"/>
  <c r="D41" i="63"/>
  <c r="E24" i="61"/>
  <c r="D24" i="63"/>
  <c r="F52" i="67"/>
  <c r="F60" i="67"/>
  <c r="G80" i="57"/>
  <c r="G50" i="57"/>
  <c r="G58" i="57"/>
  <c r="G91" i="58"/>
  <c r="G81" i="58"/>
  <c r="G50" i="58"/>
  <c r="G58" i="58"/>
  <c r="AE65" i="94"/>
  <c r="AE66" i="94"/>
  <c r="D26" i="63"/>
  <c r="O13" i="94"/>
  <c r="O37" i="94"/>
  <c r="O31" i="94"/>
  <c r="O7" i="94"/>
  <c r="G67" i="64"/>
  <c r="F49" i="64"/>
  <c r="F57" i="64"/>
  <c r="F50" i="64"/>
  <c r="F58" i="64"/>
  <c r="G77" i="65"/>
  <c r="G84" i="65"/>
  <c r="G85" i="65"/>
  <c r="G89" i="65"/>
  <c r="F77" i="65"/>
  <c r="F84" i="65"/>
  <c r="F85" i="65"/>
  <c r="F89" i="65"/>
  <c r="G93" i="60"/>
  <c r="G83" i="60"/>
  <c r="G52" i="60"/>
  <c r="G60" i="60"/>
  <c r="G69" i="55"/>
  <c r="G69" i="54"/>
  <c r="G67" i="56"/>
  <c r="G67" i="54"/>
  <c r="G28" i="53"/>
  <c r="G41" i="53"/>
  <c r="G39" i="53"/>
  <c r="D89" i="60"/>
  <c r="D79" i="60"/>
  <c r="D48" i="60"/>
  <c r="D56" i="60"/>
  <c r="D88" i="57"/>
  <c r="D78" i="57"/>
  <c r="D48" i="57"/>
  <c r="D56" i="57"/>
  <c r="E48" i="61"/>
  <c r="E56" i="61"/>
  <c r="E49" i="61"/>
  <c r="E57" i="61"/>
  <c r="E25" i="61"/>
  <c r="AE61" i="94"/>
  <c r="E40" i="61"/>
  <c r="E41" i="61"/>
  <c r="D92" i="57"/>
  <c r="D73" i="50"/>
  <c r="D28" i="50"/>
  <c r="D23" i="50"/>
  <c r="D24" i="50"/>
  <c r="G67" i="55"/>
  <c r="E41" i="68"/>
  <c r="E39" i="68"/>
  <c r="F92" i="54"/>
  <c r="G92" i="53"/>
  <c r="G82" i="53"/>
  <c r="G52" i="53"/>
  <c r="G60" i="53"/>
  <c r="F89" i="54"/>
  <c r="F90" i="56"/>
  <c r="G89" i="53"/>
  <c r="G89" i="54"/>
  <c r="F89" i="55"/>
  <c r="D92" i="58"/>
  <c r="D82" i="58"/>
  <c r="D51" i="58"/>
  <c r="D59" i="58"/>
  <c r="D81" i="57"/>
  <c r="D51" i="57"/>
  <c r="D59" i="57"/>
  <c r="E51" i="61"/>
  <c r="E59" i="61"/>
  <c r="E50" i="62"/>
  <c r="E58" i="62"/>
  <c r="L46" i="19"/>
  <c r="L47" i="19"/>
  <c r="E25" i="93"/>
  <c r="AI13" i="19"/>
  <c r="AH13" i="19"/>
  <c r="AG13" i="19"/>
  <c r="W65" i="19"/>
  <c r="F91" i="56"/>
  <c r="D41" i="57"/>
  <c r="D39" i="57"/>
  <c r="F25" i="93"/>
  <c r="AI14" i="19"/>
  <c r="AH14" i="19"/>
  <c r="AG14" i="19"/>
  <c r="W68" i="19"/>
  <c r="L48" i="19"/>
  <c r="L49" i="19"/>
  <c r="E82" i="55"/>
  <c r="E52" i="55"/>
  <c r="E60" i="55"/>
  <c r="F41" i="53"/>
  <c r="F39" i="53"/>
  <c r="E23" i="58"/>
  <c r="E24" i="58"/>
  <c r="I13" i="85"/>
  <c r="I14" i="85"/>
  <c r="G52" i="61"/>
  <c r="G60" i="61"/>
  <c r="E50" i="61"/>
  <c r="E58" i="61"/>
  <c r="O15" i="94"/>
  <c r="O39" i="94"/>
  <c r="O33" i="94"/>
  <c r="O9" i="94"/>
  <c r="D52" i="63"/>
  <c r="D60" i="63"/>
  <c r="E50" i="63"/>
  <c r="E58" i="63"/>
  <c r="E49" i="63"/>
  <c r="E57" i="63"/>
  <c r="O11" i="94"/>
  <c r="O35" i="94"/>
  <c r="O29" i="94"/>
  <c r="G52" i="63"/>
  <c r="G60" i="63"/>
  <c r="AE55" i="94"/>
  <c r="AD79" i="94"/>
  <c r="AD85" i="94"/>
  <c r="AE78" i="94"/>
  <c r="AE84" i="94"/>
  <c r="D92" i="54"/>
  <c r="E67" i="62"/>
  <c r="D24" i="57"/>
  <c r="E51" i="62"/>
  <c r="E59" i="62"/>
  <c r="D74" i="50"/>
  <c r="D41" i="50"/>
  <c r="D39" i="50"/>
  <c r="G41" i="58"/>
  <c r="G39" i="58"/>
  <c r="E52" i="61"/>
  <c r="E60" i="61"/>
  <c r="E49" i="62"/>
  <c r="E57" i="62"/>
  <c r="F49" i="93"/>
  <c r="F47" i="93"/>
  <c r="E41" i="58"/>
  <c r="E39" i="58"/>
  <c r="G49" i="61"/>
  <c r="G57" i="61"/>
  <c r="L11" i="94"/>
  <c r="F49" i="62"/>
  <c r="F57" i="62"/>
  <c r="F50" i="63"/>
  <c r="F58" i="63"/>
  <c r="F48" i="64"/>
  <c r="F56" i="64"/>
  <c r="P130" i="91"/>
  <c r="P68" i="91"/>
  <c r="K48" i="91"/>
  <c r="E66" i="91"/>
  <c r="S88" i="91"/>
  <c r="S47" i="91"/>
  <c r="H48" i="91"/>
  <c r="D49" i="91"/>
  <c r="I106" i="91"/>
  <c r="I56" i="91"/>
  <c r="L106" i="91"/>
  <c r="L56" i="91"/>
  <c r="P106" i="91"/>
  <c r="P56" i="91"/>
  <c r="E124" i="91"/>
  <c r="E65" i="91"/>
  <c r="K142" i="91"/>
  <c r="K74" i="91"/>
  <c r="P148" i="91"/>
  <c r="P77" i="91"/>
  <c r="R72" i="93"/>
  <c r="R74" i="93"/>
  <c r="F51" i="62"/>
  <c r="F59" i="62"/>
  <c r="F48" i="62"/>
  <c r="F56" i="62"/>
  <c r="D50" i="63"/>
  <c r="D58" i="63"/>
  <c r="F51" i="64"/>
  <c r="F59" i="64"/>
  <c r="F77" i="64"/>
  <c r="F23" i="64"/>
  <c r="F24" i="64"/>
  <c r="N52" i="91"/>
  <c r="F75" i="91"/>
  <c r="S72" i="91"/>
  <c r="O61" i="91"/>
  <c r="G88" i="91"/>
  <c r="G47" i="91"/>
  <c r="K88" i="91"/>
  <c r="K47" i="91"/>
  <c r="N88" i="91"/>
  <c r="N47" i="91"/>
  <c r="I100" i="91"/>
  <c r="I53" i="91"/>
  <c r="G106" i="91"/>
  <c r="G56" i="91"/>
  <c r="Q106" i="91"/>
  <c r="Q56" i="91"/>
  <c r="J130" i="91"/>
  <c r="J68" i="91"/>
  <c r="Q142" i="91"/>
  <c r="Q74" i="91"/>
  <c r="L12" i="19"/>
  <c r="L61" i="19"/>
  <c r="L10" i="19"/>
  <c r="L60" i="19"/>
  <c r="L9" i="19"/>
  <c r="L18" i="19"/>
  <c r="L40" i="19"/>
  <c r="L6" i="19"/>
  <c r="L36" i="19"/>
  <c r="L17" i="19"/>
  <c r="L13" i="19"/>
  <c r="L43" i="19"/>
  <c r="L39" i="19"/>
  <c r="L19" i="19"/>
  <c r="L11" i="19"/>
  <c r="L7" i="19"/>
  <c r="L37" i="19"/>
  <c r="L5" i="19"/>
  <c r="L35" i="19"/>
  <c r="L42" i="19"/>
  <c r="AI15" i="19"/>
  <c r="AH15" i="19"/>
  <c r="AG15" i="19"/>
  <c r="L53" i="19"/>
  <c r="L50" i="19"/>
  <c r="L57" i="19"/>
  <c r="L52" i="19"/>
  <c r="L56" i="19"/>
  <c r="L51" i="19"/>
  <c r="L55" i="19"/>
  <c r="L58" i="19"/>
  <c r="L54" i="19"/>
  <c r="R73" i="93"/>
  <c r="L51" i="91"/>
  <c r="N54" i="91"/>
  <c r="N45" i="91"/>
  <c r="N75" i="91"/>
  <c r="D88" i="91"/>
  <c r="D47" i="91"/>
  <c r="S94" i="91"/>
  <c r="S50" i="91"/>
  <c r="M94" i="91"/>
  <c r="M50" i="91"/>
  <c r="D106" i="91"/>
  <c r="D56" i="91"/>
  <c r="G124" i="91"/>
  <c r="G65" i="91"/>
  <c r="K124" i="91"/>
  <c r="K65" i="91"/>
  <c r="M142" i="91"/>
  <c r="M74" i="91"/>
  <c r="I31" i="52"/>
  <c r="I32" i="52"/>
  <c r="L45" i="19"/>
  <c r="L44" i="19"/>
  <c r="D25" i="93"/>
  <c r="L85" i="19"/>
  <c r="P176" i="88"/>
  <c r="P162" i="88"/>
  <c r="P100" i="88"/>
  <c r="D82" i="52"/>
  <c r="D80" i="52"/>
  <c r="D38" i="52"/>
  <c r="G109" i="93"/>
  <c r="G99" i="93"/>
  <c r="G59" i="93"/>
  <c r="G67" i="93"/>
  <c r="Q53" i="19"/>
  <c r="Q50" i="19"/>
  <c r="K26" i="85"/>
  <c r="K5" i="85"/>
  <c r="K17" i="85"/>
  <c r="K65" i="85"/>
  <c r="S41" i="85"/>
  <c r="V37" i="9" a="1"/>
  <c r="V37" i="9"/>
  <c r="AF96" i="9"/>
  <c r="AM90" i="9"/>
  <c r="V33" i="9" a="1"/>
  <c r="V33" i="9"/>
  <c r="AF95" i="9"/>
  <c r="AM88" i="9"/>
  <c r="O5" i="9"/>
  <c r="AO24" i="19"/>
  <c r="O73" i="9"/>
  <c r="O13" i="9"/>
  <c r="AO26" i="19"/>
  <c r="O21" i="9"/>
  <c r="AH25" i="19"/>
  <c r="O29" i="9"/>
  <c r="O49" i="9"/>
  <c r="O25" i="9"/>
  <c r="AH26" i="19"/>
  <c r="O33" i="9"/>
  <c r="V25" i="9" a="1"/>
  <c r="V25" i="9"/>
  <c r="V81" i="9" a="1"/>
  <c r="V81" i="9"/>
  <c r="V13" i="9" a="1"/>
  <c r="V13" i="9"/>
  <c r="AN26" i="19"/>
  <c r="V69" i="9" a="1"/>
  <c r="V69" i="9"/>
  <c r="V73" i="9" a="1"/>
  <c r="V73" i="9"/>
  <c r="V77" i="9" a="1"/>
  <c r="V77" i="9"/>
  <c r="V21" i="9" a="1"/>
  <c r="V21" i="9"/>
  <c r="V65" i="9" a="1"/>
  <c r="V65" i="9"/>
  <c r="AN24" i="19"/>
  <c r="V9" i="9" a="1"/>
  <c r="V9" i="9"/>
  <c r="AN25" i="19"/>
  <c r="O81" i="9"/>
  <c r="O53" i="9"/>
  <c r="AH31" i="19"/>
  <c r="O41" i="9"/>
  <c r="O65" i="9"/>
  <c r="O61" i="9"/>
  <c r="AH33" i="19"/>
  <c r="V45" i="9" a="1"/>
  <c r="V45" i="9"/>
  <c r="L48" i="9"/>
  <c r="O37" i="9"/>
  <c r="O45" i="9"/>
  <c r="O17" i="9"/>
  <c r="AH24" i="19"/>
  <c r="O69" i="9"/>
  <c r="O57" i="9"/>
  <c r="AH32" i="19"/>
  <c r="O9" i="9"/>
  <c r="AO25" i="19"/>
  <c r="V49" i="9" a="1"/>
  <c r="V49" i="9"/>
  <c r="L52" i="9"/>
  <c r="Q94" i="91"/>
  <c r="Q50" i="91"/>
  <c r="P118" i="91"/>
  <c r="P62" i="91"/>
  <c r="F57" i="91"/>
  <c r="E54" i="91"/>
  <c r="Q51" i="91"/>
  <c r="Q49" i="91"/>
  <c r="S45" i="91"/>
  <c r="G75" i="91"/>
  <c r="Q73" i="91"/>
  <c r="G112" i="91"/>
  <c r="G59" i="91"/>
  <c r="I142" i="91"/>
  <c r="I74" i="91"/>
  <c r="R148" i="91"/>
  <c r="R77" i="91"/>
  <c r="H106" i="91"/>
  <c r="H56" i="91"/>
  <c r="K45" i="91"/>
  <c r="M72" i="91"/>
  <c r="R63" i="91"/>
  <c r="E94" i="91"/>
  <c r="E50" i="91"/>
  <c r="S100" i="91"/>
  <c r="S53" i="91"/>
  <c r="K112" i="91"/>
  <c r="K59" i="91"/>
  <c r="I124" i="91"/>
  <c r="I65" i="91"/>
  <c r="Q124" i="91"/>
  <c r="Q65" i="91"/>
  <c r="I148" i="91"/>
  <c r="I77" i="91"/>
  <c r="H124" i="91"/>
  <c r="H65" i="91"/>
  <c r="H100" i="91"/>
  <c r="H53" i="91"/>
  <c r="S57" i="91"/>
  <c r="M49" i="91"/>
  <c r="N48" i="91"/>
  <c r="Q75" i="91"/>
  <c r="J75" i="91"/>
  <c r="F69" i="91"/>
  <c r="G63" i="91"/>
  <c r="M88" i="91"/>
  <c r="M47" i="91"/>
  <c r="M118" i="91"/>
  <c r="M62" i="91"/>
  <c r="L66" i="91"/>
  <c r="O130" i="91"/>
  <c r="O68" i="91"/>
  <c r="O136" i="91"/>
  <c r="O71" i="91"/>
  <c r="R136" i="91"/>
  <c r="R71" i="91"/>
  <c r="H142" i="91"/>
  <c r="H74" i="91"/>
  <c r="L148" i="91"/>
  <c r="L77" i="91"/>
  <c r="P81" i="9" a="1"/>
  <c r="P81" i="9"/>
  <c r="P13" i="9" a="1"/>
  <c r="P13" i="9"/>
  <c r="AQ26" i="19"/>
  <c r="P25" i="9" a="1"/>
  <c r="P25" i="9"/>
  <c r="AJ26" i="19"/>
  <c r="P21" i="9" a="1"/>
  <c r="P21" i="9"/>
  <c r="AJ25" i="19"/>
  <c r="P29" i="9" a="1"/>
  <c r="P29" i="9"/>
  <c r="P77" i="9" a="1"/>
  <c r="P77" i="9"/>
  <c r="P65" i="9" a="1"/>
  <c r="P65" i="9"/>
  <c r="L43" i="9"/>
  <c r="I44" i="85"/>
  <c r="I37" i="85"/>
  <c r="I35" i="85"/>
  <c r="I36" i="85"/>
  <c r="D75" i="54"/>
  <c r="D25" i="54"/>
  <c r="D28" i="54"/>
  <c r="E41" i="63"/>
  <c r="E40" i="63"/>
  <c r="G89" i="57"/>
  <c r="F90" i="58"/>
  <c r="F80" i="58"/>
  <c r="F49" i="58"/>
  <c r="F57" i="58"/>
  <c r="F97" i="64"/>
  <c r="F87" i="64"/>
  <c r="F52" i="64"/>
  <c r="F60" i="64"/>
  <c r="F86" i="62"/>
  <c r="F52" i="62"/>
  <c r="F60" i="62"/>
  <c r="D97" i="64"/>
  <c r="D87" i="64"/>
  <c r="D52" i="64"/>
  <c r="D60" i="64"/>
  <c r="D86" i="62"/>
  <c r="D52" i="62"/>
  <c r="D60" i="62"/>
  <c r="G49" i="64"/>
  <c r="G57" i="64"/>
  <c r="G79" i="64"/>
  <c r="G25" i="64"/>
  <c r="G83" i="65"/>
  <c r="G91" i="65"/>
  <c r="G92" i="65"/>
  <c r="L9" i="72"/>
  <c r="M30" i="86"/>
  <c r="M44" i="86"/>
  <c r="M46" i="86"/>
  <c r="M48" i="86"/>
  <c r="M36" i="86"/>
  <c r="M21" i="86"/>
  <c r="M50" i="86"/>
  <c r="M52" i="86"/>
  <c r="M54" i="86"/>
  <c r="M24" i="86"/>
  <c r="M33" i="86"/>
  <c r="M27" i="86"/>
  <c r="E25" i="55"/>
  <c r="E23" i="49"/>
  <c r="E24" i="49"/>
  <c r="L15" i="72"/>
  <c r="L27" i="72" s="1"/>
  <c r="G52" i="64"/>
  <c r="G60" i="64"/>
  <c r="D93" i="58"/>
  <c r="D83" i="58"/>
  <c r="D52" i="58"/>
  <c r="D60" i="58"/>
  <c r="D82" i="57"/>
  <c r="D52" i="57"/>
  <c r="D60" i="57"/>
  <c r="E81" i="55"/>
  <c r="E51" i="55"/>
  <c r="E59" i="55"/>
  <c r="E89" i="58"/>
  <c r="E79" i="58"/>
  <c r="E48" i="58"/>
  <c r="E56" i="58"/>
  <c r="E79" i="56"/>
  <c r="E48" i="56"/>
  <c r="E56" i="56"/>
  <c r="E69" i="55"/>
  <c r="E41" i="53"/>
  <c r="E39" i="53"/>
  <c r="F92" i="60"/>
  <c r="F91" i="57"/>
  <c r="I16" i="85"/>
  <c r="I15" i="85"/>
  <c r="D67" i="61"/>
  <c r="F24" i="62"/>
  <c r="F67" i="62"/>
  <c r="G50" i="63"/>
  <c r="G58" i="63"/>
  <c r="G25" i="63"/>
  <c r="G26" i="63"/>
  <c r="G51" i="64"/>
  <c r="G59" i="64"/>
  <c r="O30" i="86"/>
  <c r="N44" i="86"/>
  <c r="N46" i="86"/>
  <c r="N48" i="86"/>
  <c r="O33" i="86"/>
  <c r="O21" i="86"/>
  <c r="N50" i="86"/>
  <c r="O27" i="86"/>
  <c r="L13" i="85"/>
  <c r="L23" i="85"/>
  <c r="K13" i="85"/>
  <c r="K23" i="85"/>
  <c r="K20" i="85"/>
  <c r="D51" i="91"/>
  <c r="D100" i="91"/>
  <c r="D53" i="91"/>
  <c r="G100" i="91"/>
  <c r="G53" i="91"/>
  <c r="G52" i="91"/>
  <c r="R100" i="91"/>
  <c r="R53" i="91"/>
  <c r="R52" i="91"/>
  <c r="R57" i="91"/>
  <c r="R112" i="91"/>
  <c r="R59" i="91"/>
  <c r="L60" i="91"/>
  <c r="L118" i="91"/>
  <c r="L62" i="91"/>
  <c r="R118" i="91"/>
  <c r="R62" i="91"/>
  <c r="R60" i="91"/>
  <c r="I61" i="91"/>
  <c r="I118" i="91"/>
  <c r="I62" i="91"/>
  <c r="L16" i="72"/>
  <c r="L28" i="72" s="1"/>
  <c r="G88" i="54"/>
  <c r="L9" i="85"/>
  <c r="L20" i="85"/>
  <c r="F81" i="60"/>
  <c r="F50" i="60"/>
  <c r="F58" i="60"/>
  <c r="F80" i="57"/>
  <c r="F50" i="57"/>
  <c r="F58" i="57"/>
  <c r="D91" i="58"/>
  <c r="D81" i="58"/>
  <c r="D50" i="58"/>
  <c r="D58" i="58"/>
  <c r="F79" i="57"/>
  <c r="F49" i="57"/>
  <c r="F57" i="57"/>
  <c r="G73" i="62"/>
  <c r="F90" i="54"/>
  <c r="D78" i="53"/>
  <c r="D48" i="53"/>
  <c r="D56" i="53"/>
  <c r="E24" i="64"/>
  <c r="G67" i="61"/>
  <c r="D86" i="52"/>
  <c r="F93" i="56"/>
  <c r="F92" i="55"/>
  <c r="F91" i="54"/>
  <c r="F92" i="56"/>
  <c r="G91" i="53"/>
  <c r="F91" i="55"/>
  <c r="D91" i="55"/>
  <c r="D81" i="53"/>
  <c r="D51" i="53"/>
  <c r="D59" i="53"/>
  <c r="E90" i="54"/>
  <c r="E80" i="54"/>
  <c r="E50" i="54"/>
  <c r="E58" i="54"/>
  <c r="E91" i="56"/>
  <c r="E81" i="56"/>
  <c r="E50" i="56"/>
  <c r="E58" i="56"/>
  <c r="D90" i="56"/>
  <c r="D89" i="54"/>
  <c r="D79" i="53"/>
  <c r="D49" i="53"/>
  <c r="D57" i="53"/>
  <c r="G90" i="60"/>
  <c r="G80" i="60"/>
  <c r="G49" i="60"/>
  <c r="G57" i="60"/>
  <c r="F80" i="60"/>
  <c r="F49" i="60"/>
  <c r="F57" i="60"/>
  <c r="D90" i="60"/>
  <c r="D80" i="60"/>
  <c r="D49" i="60"/>
  <c r="D57" i="60"/>
  <c r="D89" i="57"/>
  <c r="E41" i="57"/>
  <c r="E39" i="57"/>
  <c r="V79" i="57"/>
  <c r="V80" i="57"/>
  <c r="I9" i="85"/>
  <c r="F51" i="63"/>
  <c r="F59" i="63"/>
  <c r="G49" i="63"/>
  <c r="G57" i="63"/>
  <c r="E69" i="63"/>
  <c r="O20" i="94"/>
  <c r="E73" i="63"/>
  <c r="F67" i="63"/>
  <c r="G48" i="64"/>
  <c r="G56" i="64"/>
  <c r="D83" i="65"/>
  <c r="D91" i="65"/>
  <c r="D92" i="65"/>
  <c r="D111" i="65"/>
  <c r="D55" i="65"/>
  <c r="D63" i="65"/>
  <c r="E111" i="65"/>
  <c r="E55" i="65"/>
  <c r="E63" i="65"/>
  <c r="G111" i="65"/>
  <c r="G55" i="65"/>
  <c r="G63" i="65"/>
  <c r="F107" i="65"/>
  <c r="L10" i="72"/>
  <c r="K62" i="85"/>
  <c r="L5" i="85"/>
  <c r="L17" i="85"/>
  <c r="F67" i="49"/>
  <c r="E67" i="51"/>
  <c r="D28" i="53"/>
  <c r="D41" i="53"/>
  <c r="D39" i="53"/>
  <c r="D67" i="55"/>
  <c r="D24" i="62"/>
  <c r="D67" i="62"/>
  <c r="F92" i="63"/>
  <c r="F82" i="63"/>
  <c r="F48" i="63"/>
  <c r="F56" i="63"/>
  <c r="F49" i="63"/>
  <c r="F57" i="63"/>
  <c r="F52" i="63"/>
  <c r="F60" i="63"/>
  <c r="F25" i="63"/>
  <c r="G69" i="63"/>
  <c r="G73" i="63"/>
  <c r="D23" i="69"/>
  <c r="D24" i="69"/>
  <c r="D71" i="69"/>
  <c r="D28" i="69"/>
  <c r="K15" i="86"/>
  <c r="K21" i="86"/>
  <c r="K50" i="86"/>
  <c r="F88" i="91"/>
  <c r="F47" i="91"/>
  <c r="F45" i="91"/>
  <c r="P52" i="91"/>
  <c r="P100" i="91"/>
  <c r="P53" i="91"/>
  <c r="F106" i="91"/>
  <c r="F56" i="91"/>
  <c r="F54" i="91"/>
  <c r="D60" i="91"/>
  <c r="D118" i="91"/>
  <c r="D62" i="91"/>
  <c r="E68" i="56"/>
  <c r="E67" i="50"/>
  <c r="G88" i="55"/>
  <c r="E92" i="58"/>
  <c r="E82" i="58"/>
  <c r="E51" i="58"/>
  <c r="E59" i="58"/>
  <c r="F91" i="58"/>
  <c r="F81" i="58"/>
  <c r="F50" i="58"/>
  <c r="F58" i="58"/>
  <c r="K34" i="85"/>
  <c r="K44" i="85"/>
  <c r="I23" i="85"/>
  <c r="F51" i="67"/>
  <c r="F59" i="67"/>
  <c r="G84" i="67"/>
  <c r="G51" i="67"/>
  <c r="G59" i="67"/>
  <c r="D67" i="56"/>
  <c r="E69" i="54"/>
  <c r="E41" i="54"/>
  <c r="E39" i="54"/>
  <c r="E82" i="54"/>
  <c r="E52" i="54"/>
  <c r="E60" i="54"/>
  <c r="E78" i="54"/>
  <c r="E48" i="54"/>
  <c r="E56" i="54"/>
  <c r="G92" i="55"/>
  <c r="G93" i="56"/>
  <c r="G92" i="54"/>
  <c r="E80" i="55"/>
  <c r="E50" i="55"/>
  <c r="E58" i="55"/>
  <c r="G85" i="66"/>
  <c r="G52" i="66"/>
  <c r="G60" i="66"/>
  <c r="F52" i="66"/>
  <c r="F60" i="66"/>
  <c r="X69" i="57"/>
  <c r="X70" i="57"/>
  <c r="K38" i="85"/>
  <c r="F69" i="61"/>
  <c r="F39" i="68"/>
  <c r="K30" i="85"/>
  <c r="K41" i="85"/>
  <c r="X79" i="57"/>
  <c r="X80" i="57"/>
  <c r="G67" i="63"/>
  <c r="O36" i="86"/>
  <c r="I30" i="85"/>
  <c r="D92" i="55"/>
  <c r="D82" i="53"/>
  <c r="D52" i="53"/>
  <c r="D60" i="53"/>
  <c r="E92" i="56"/>
  <c r="E82" i="56"/>
  <c r="E51" i="56"/>
  <c r="E59" i="56"/>
  <c r="E91" i="54"/>
  <c r="E81" i="54"/>
  <c r="E51" i="54"/>
  <c r="E59" i="54"/>
  <c r="F80" i="53"/>
  <c r="F50" i="53"/>
  <c r="F58" i="53"/>
  <c r="G90" i="53"/>
  <c r="D90" i="55"/>
  <c r="D80" i="53"/>
  <c r="D50" i="53"/>
  <c r="D58" i="53"/>
  <c r="E89" i="55"/>
  <c r="E79" i="55"/>
  <c r="E49" i="55"/>
  <c r="E57" i="55"/>
  <c r="E79" i="53"/>
  <c r="E49" i="53"/>
  <c r="E57" i="53"/>
  <c r="F78" i="53"/>
  <c r="F48" i="53"/>
  <c r="F56" i="53"/>
  <c r="F88" i="54"/>
  <c r="F67" i="56"/>
  <c r="F67" i="55"/>
  <c r="F67" i="54"/>
  <c r="D41" i="54"/>
  <c r="D39" i="54"/>
  <c r="D89" i="58"/>
  <c r="D79" i="58"/>
  <c r="D48" i="58"/>
  <c r="D56" i="58"/>
  <c r="E41" i="56"/>
  <c r="E39" i="56"/>
  <c r="E90" i="60"/>
  <c r="E80" i="60"/>
  <c r="E49" i="60"/>
  <c r="E57" i="60"/>
  <c r="E89" i="57"/>
  <c r="F89" i="60"/>
  <c r="F88" i="57"/>
  <c r="K76" i="85"/>
  <c r="D41" i="58"/>
  <c r="D39" i="58"/>
  <c r="K86" i="85"/>
  <c r="K80" i="85"/>
  <c r="I5" i="85"/>
  <c r="I26" i="85"/>
  <c r="D24" i="60"/>
  <c r="G50" i="61"/>
  <c r="G58" i="61"/>
  <c r="G51" i="61"/>
  <c r="G59" i="61"/>
  <c r="G25" i="61"/>
  <c r="G48" i="61"/>
  <c r="G56" i="61"/>
  <c r="G50" i="64"/>
  <c r="G58" i="64"/>
  <c r="G51" i="63"/>
  <c r="G59" i="63"/>
  <c r="E25" i="63"/>
  <c r="E92" i="63"/>
  <c r="E82" i="63"/>
  <c r="E48" i="63"/>
  <c r="E56" i="63"/>
  <c r="F25" i="64"/>
  <c r="F79" i="64"/>
  <c r="O24" i="86"/>
  <c r="K51" i="85"/>
  <c r="K9" i="85"/>
  <c r="D73" i="51"/>
  <c r="D28" i="51"/>
  <c r="E80" i="57"/>
  <c r="E50" i="57"/>
  <c r="E58" i="57"/>
  <c r="V69" i="57"/>
  <c r="V70" i="57"/>
  <c r="E88" i="57"/>
  <c r="E78" i="57"/>
  <c r="E48" i="57"/>
  <c r="E56" i="57"/>
  <c r="G82" i="52"/>
  <c r="G86" i="93"/>
  <c r="S130" i="91"/>
  <c r="S68" i="91"/>
  <c r="S66" i="91"/>
  <c r="E142" i="91"/>
  <c r="E74" i="91"/>
  <c r="E72" i="91"/>
  <c r="E82" i="52"/>
  <c r="F82" i="52"/>
  <c r="E52" i="63"/>
  <c r="E60" i="63"/>
  <c r="L26" i="85"/>
  <c r="L38" i="85"/>
  <c r="K55" i="85"/>
  <c r="K59" i="85"/>
  <c r="K47" i="85"/>
  <c r="P53" i="9" a="1"/>
  <c r="P53" i="9"/>
  <c r="AJ31" i="19"/>
  <c r="AJ38" i="19"/>
  <c r="P57" i="9" a="1"/>
  <c r="P57" i="9"/>
  <c r="AJ32" i="19"/>
  <c r="L70" i="91"/>
  <c r="L136" i="91"/>
  <c r="L71" i="91"/>
  <c r="P70" i="91"/>
  <c r="P136" i="91"/>
  <c r="P71" i="91"/>
  <c r="J45" i="91"/>
  <c r="J88" i="91"/>
  <c r="J47" i="91"/>
  <c r="R88" i="91"/>
  <c r="R47" i="91"/>
  <c r="R46" i="91"/>
  <c r="L94" i="91"/>
  <c r="L50" i="91"/>
  <c r="L48" i="91"/>
  <c r="F51" i="91"/>
  <c r="F100" i="91"/>
  <c r="F53" i="91"/>
  <c r="J106" i="91"/>
  <c r="J56" i="91"/>
  <c r="J54" i="91"/>
  <c r="H57" i="91"/>
  <c r="H112" i="91"/>
  <c r="H59" i="91"/>
  <c r="E118" i="91"/>
  <c r="E62" i="91"/>
  <c r="E60" i="91"/>
  <c r="P63" i="91"/>
  <c r="P124" i="91"/>
  <c r="P65" i="91"/>
  <c r="D130" i="91"/>
  <c r="D68" i="91"/>
  <c r="D66" i="91"/>
  <c r="G130" i="91"/>
  <c r="G68" i="91"/>
  <c r="G66" i="91"/>
  <c r="I67" i="91"/>
  <c r="I130" i="91"/>
  <c r="I68" i="91"/>
  <c r="Q130" i="91"/>
  <c r="Q68" i="91"/>
  <c r="Q67" i="91"/>
  <c r="E136" i="91"/>
  <c r="E71" i="91"/>
  <c r="E69" i="91"/>
  <c r="R142" i="91"/>
  <c r="R74" i="91"/>
  <c r="R73" i="91"/>
  <c r="H148" i="91"/>
  <c r="H77" i="91"/>
  <c r="H75" i="91"/>
  <c r="M148" i="91"/>
  <c r="M77" i="91"/>
  <c r="M75" i="91"/>
  <c r="P49" i="9" a="1"/>
  <c r="P49" i="9"/>
  <c r="L162" i="88"/>
  <c r="L100" i="88"/>
  <c r="M176" i="88"/>
  <c r="M162" i="88"/>
  <c r="M100" i="88"/>
  <c r="K176" i="88"/>
  <c r="K162" i="88"/>
  <c r="K100" i="88"/>
  <c r="P9" i="9" a="1"/>
  <c r="P9" i="9"/>
  <c r="H45" i="91"/>
  <c r="H88" i="91"/>
  <c r="H47" i="91"/>
  <c r="J94" i="91"/>
  <c r="J50" i="91"/>
  <c r="J49" i="91"/>
  <c r="M112" i="91"/>
  <c r="M59" i="91"/>
  <c r="M57" i="91"/>
  <c r="J124" i="91"/>
  <c r="J65" i="91"/>
  <c r="J63" i="91"/>
  <c r="M130" i="91"/>
  <c r="M68" i="91"/>
  <c r="M66" i="91"/>
  <c r="J136" i="91"/>
  <c r="J71" i="91"/>
  <c r="J69" i="91"/>
  <c r="M136" i="91"/>
  <c r="M71" i="91"/>
  <c r="M69" i="91"/>
  <c r="L72" i="91"/>
  <c r="L142" i="91"/>
  <c r="L74" i="91"/>
  <c r="O142" i="91"/>
  <c r="O74" i="91"/>
  <c r="O72" i="91"/>
  <c r="D148" i="91"/>
  <c r="D77" i="91"/>
  <c r="D75" i="91"/>
  <c r="O148" i="91"/>
  <c r="O77" i="91"/>
  <c r="O75" i="91"/>
  <c r="G107" i="93"/>
  <c r="G97" i="93"/>
  <c r="G57" i="93"/>
  <c r="G65" i="93"/>
  <c r="F97" i="93"/>
  <c r="F57" i="93"/>
  <c r="F65" i="93"/>
  <c r="Q72" i="93"/>
  <c r="Q32" i="93"/>
  <c r="Q73" i="93"/>
  <c r="Q33" i="93"/>
  <c r="Q71" i="93"/>
  <c r="I88" i="91"/>
  <c r="I47" i="91"/>
  <c r="O88" i="91"/>
  <c r="O47" i="91"/>
  <c r="O45" i="91"/>
  <c r="P49" i="91"/>
  <c r="P94" i="91"/>
  <c r="P50" i="91"/>
  <c r="O112" i="91"/>
  <c r="O59" i="91"/>
  <c r="O57" i="91"/>
  <c r="L64" i="91"/>
  <c r="L124" i="91"/>
  <c r="L65" i="91"/>
  <c r="N130" i="91"/>
  <c r="N68" i="91"/>
  <c r="N66" i="91"/>
  <c r="I136" i="91"/>
  <c r="I71" i="91"/>
  <c r="I69" i="91"/>
  <c r="K9" i="86"/>
  <c r="K12" i="86"/>
  <c r="K6" i="86"/>
  <c r="E49" i="93"/>
  <c r="E47" i="93"/>
  <c r="Q74" i="93"/>
  <c r="Q34" i="93"/>
  <c r="E88" i="91"/>
  <c r="E47" i="91"/>
  <c r="E45" i="91"/>
  <c r="K118" i="91"/>
  <c r="K62" i="91"/>
  <c r="N118" i="91"/>
  <c r="N62" i="91"/>
  <c r="N60" i="91"/>
  <c r="S118" i="91"/>
  <c r="S62" i="91"/>
  <c r="S60" i="91"/>
  <c r="H66" i="91"/>
  <c r="H130" i="91"/>
  <c r="H68" i="91"/>
  <c r="D69" i="91"/>
  <c r="D136" i="91"/>
  <c r="D71" i="91"/>
  <c r="N69" i="91"/>
  <c r="N136" i="91"/>
  <c r="N71" i="91"/>
  <c r="F142" i="91"/>
  <c r="F74" i="91"/>
  <c r="K19" i="86"/>
  <c r="I162" i="88"/>
  <c r="I100" i="88"/>
  <c r="P69" i="9" a="1"/>
  <c r="P69" i="9"/>
  <c r="J176" i="88"/>
  <c r="J162" i="88"/>
  <c r="J100" i="88"/>
  <c r="H176" i="88"/>
  <c r="H162" i="88"/>
  <c r="H100" i="88"/>
  <c r="K17" i="86"/>
  <c r="M100" i="91"/>
  <c r="M53" i="91"/>
  <c r="K106" i="91"/>
  <c r="K56" i="91"/>
  <c r="E112" i="91"/>
  <c r="E59" i="91"/>
  <c r="E57" i="91"/>
  <c r="F118" i="91"/>
  <c r="F62" i="91"/>
  <c r="S124" i="91"/>
  <c r="S65" i="91"/>
  <c r="S63" i="91"/>
  <c r="F130" i="91"/>
  <c r="F68" i="91"/>
  <c r="K130" i="91"/>
  <c r="K68" i="91"/>
  <c r="G136" i="91"/>
  <c r="G71" i="91"/>
  <c r="D142" i="91"/>
  <c r="D74" i="91"/>
  <c r="D72" i="91"/>
  <c r="S35" i="85"/>
  <c r="U35" i="85"/>
  <c r="P41" i="9" a="1"/>
  <c r="P41" i="9"/>
  <c r="Q44" i="19"/>
  <c r="O100" i="91"/>
  <c r="O53" i="91"/>
  <c r="S106" i="91"/>
  <c r="S56" i="91"/>
  <c r="I112" i="91"/>
  <c r="I59" i="91"/>
  <c r="Q112" i="91"/>
  <c r="Q59" i="91"/>
  <c r="F124" i="91"/>
  <c r="F65" i="91"/>
  <c r="N124" i="91"/>
  <c r="N65" i="91"/>
  <c r="N63" i="91"/>
  <c r="K136" i="91"/>
  <c r="K71" i="91"/>
  <c r="S136" i="91"/>
  <c r="S71" i="91"/>
  <c r="S69" i="91"/>
  <c r="K36" i="86"/>
  <c r="K48" i="86"/>
  <c r="K30" i="86"/>
  <c r="K44" i="86"/>
  <c r="K24" i="86"/>
  <c r="K52" i="86"/>
  <c r="L91" i="19"/>
  <c r="O162" i="88"/>
  <c r="O100" i="88"/>
  <c r="P73" i="9" a="1"/>
  <c r="P73" i="9"/>
  <c r="L84" i="19"/>
  <c r="L87" i="19"/>
  <c r="P72" i="93"/>
  <c r="P32" i="93"/>
  <c r="P74" i="93"/>
  <c r="P34" i="93"/>
  <c r="L41" i="19"/>
  <c r="AG99" i="19"/>
  <c r="W13" i="9"/>
  <c r="W9" i="9"/>
  <c r="AI99" i="19"/>
  <c r="W77" i="9"/>
  <c r="L80" i="9"/>
  <c r="G82" i="57"/>
  <c r="G52" i="57"/>
  <c r="G60" i="57"/>
  <c r="G93" i="58"/>
  <c r="G83" i="58"/>
  <c r="G52" i="58"/>
  <c r="G60" i="58"/>
  <c r="F52" i="68"/>
  <c r="F60" i="68"/>
  <c r="G85" i="68"/>
  <c r="G52" i="68"/>
  <c r="G60" i="68"/>
  <c r="L38" i="19"/>
  <c r="AG98" i="19"/>
  <c r="F41" i="61"/>
  <c r="O28" i="94"/>
  <c r="O26" i="94"/>
  <c r="G41" i="62"/>
  <c r="G40" i="62"/>
  <c r="G39" i="62"/>
  <c r="G90" i="56"/>
  <c r="W81" i="9"/>
  <c r="L81" i="9"/>
  <c r="W65" i="9"/>
  <c r="W21" i="9"/>
  <c r="AE94" i="9"/>
  <c r="AE95" i="9"/>
  <c r="AE96" i="9"/>
  <c r="W53" i="9"/>
  <c r="W25" i="9"/>
  <c r="AH39" i="19"/>
  <c r="AO39" i="19"/>
  <c r="L47" i="9"/>
  <c r="AG95" i="9"/>
  <c r="AM87" i="9"/>
  <c r="AN87" i="9"/>
  <c r="L51" i="9"/>
  <c r="AG96" i="9"/>
  <c r="AM89" i="9"/>
  <c r="AN89" i="9"/>
  <c r="AG24" i="19"/>
  <c r="AN38" i="19"/>
  <c r="AH94" i="9"/>
  <c r="AG26" i="19"/>
  <c r="AN41" i="19"/>
  <c r="AG25" i="19"/>
  <c r="AN39" i="19"/>
  <c r="E74" i="49"/>
  <c r="E41" i="49"/>
  <c r="E39" i="49"/>
  <c r="E73" i="49"/>
  <c r="E28" i="49"/>
  <c r="O6" i="86"/>
  <c r="F39" i="61"/>
  <c r="D68" i="50"/>
  <c r="D23" i="51"/>
  <c r="D24" i="51"/>
  <c r="D74" i="51"/>
  <c r="D41" i="51"/>
  <c r="D39" i="51"/>
  <c r="D81" i="54"/>
  <c r="D51" i="54"/>
  <c r="D59" i="54"/>
  <c r="G84" i="68"/>
  <c r="G51" i="68"/>
  <c r="G59" i="68"/>
  <c r="F51" i="68"/>
  <c r="F59" i="68"/>
  <c r="AJ39" i="19"/>
  <c r="AH41" i="19"/>
  <c r="AO41" i="19"/>
  <c r="E26" i="63"/>
  <c r="AE68" i="94"/>
  <c r="AE69" i="94"/>
  <c r="AE70" i="94"/>
  <c r="G76" i="56"/>
  <c r="G80" i="56"/>
  <c r="G49" i="56"/>
  <c r="G57" i="56"/>
  <c r="G79" i="56"/>
  <c r="G28" i="56"/>
  <c r="G41" i="56"/>
  <c r="G39" i="56"/>
  <c r="G89" i="55"/>
  <c r="D79" i="54"/>
  <c r="D49" i="54"/>
  <c r="D57" i="54"/>
  <c r="F67" i="64"/>
  <c r="AO38" i="19"/>
  <c r="AI12" i="19"/>
  <c r="AH12" i="19"/>
  <c r="AG12" i="19"/>
  <c r="L83" i="19"/>
  <c r="D86" i="93"/>
  <c r="O17" i="86"/>
  <c r="AE53" i="94"/>
  <c r="AD77" i="94"/>
  <c r="AE82" i="94"/>
  <c r="AD83" i="94"/>
  <c r="AE76" i="94"/>
  <c r="G79" i="53"/>
  <c r="G49" i="53"/>
  <c r="G57" i="53"/>
  <c r="M18" i="94"/>
  <c r="E41" i="62"/>
  <c r="E40" i="62"/>
  <c r="O12" i="86"/>
  <c r="O9" i="86"/>
  <c r="F26" i="63"/>
  <c r="AE71" i="94"/>
  <c r="AE72" i="94"/>
  <c r="AE73" i="94"/>
  <c r="E39" i="63"/>
  <c r="AH38" i="19"/>
  <c r="O15" i="86"/>
  <c r="O19" i="86"/>
  <c r="G28" i="55"/>
  <c r="G41" i="55"/>
  <c r="G39" i="55"/>
  <c r="G75" i="55"/>
  <c r="G25" i="55"/>
  <c r="E39" i="61"/>
  <c r="G28" i="54"/>
  <c r="G41" i="54"/>
  <c r="G39" i="54"/>
  <c r="G75" i="54"/>
  <c r="G82" i="54"/>
  <c r="G52" i="54"/>
  <c r="G60" i="54"/>
  <c r="D39" i="63"/>
  <c r="Q46" i="19"/>
  <c r="AQ25" i="19"/>
  <c r="AQ39" i="19"/>
  <c r="G90" i="93"/>
  <c r="G84" i="93"/>
  <c r="G31" i="93"/>
  <c r="L79" i="9"/>
  <c r="L77" i="9"/>
  <c r="Q48" i="19"/>
  <c r="L49" i="9"/>
  <c r="L50" i="9"/>
  <c r="L46" i="9"/>
  <c r="L45" i="9"/>
  <c r="L78" i="9"/>
  <c r="L42" i="9"/>
  <c r="L41" i="9"/>
  <c r="L44" i="9"/>
  <c r="L30" i="9"/>
  <c r="L29" i="9"/>
  <c r="L32" i="9"/>
  <c r="L31" i="9"/>
  <c r="L20" i="9"/>
  <c r="L17" i="9"/>
  <c r="L18" i="9"/>
  <c r="L19" i="9"/>
  <c r="L15" i="9"/>
  <c r="L14" i="9"/>
  <c r="L16" i="9"/>
  <c r="L13" i="9"/>
  <c r="I17" i="85"/>
  <c r="I8" i="85"/>
  <c r="I7" i="85"/>
  <c r="I6" i="85"/>
  <c r="D76" i="56"/>
  <c r="D28" i="56"/>
  <c r="D41" i="56"/>
  <c r="D39" i="56"/>
  <c r="F67" i="51"/>
  <c r="F23" i="49"/>
  <c r="F24" i="49"/>
  <c r="G67" i="49"/>
  <c r="F74" i="49"/>
  <c r="F41" i="49"/>
  <c r="F39" i="49"/>
  <c r="F67" i="50"/>
  <c r="F73" i="49"/>
  <c r="F28" i="49"/>
  <c r="G92" i="56"/>
  <c r="G91" i="54"/>
  <c r="G91" i="55"/>
  <c r="G81" i="53"/>
  <c r="G51" i="53"/>
  <c r="G59" i="53"/>
  <c r="G88" i="57"/>
  <c r="G78" i="57"/>
  <c r="G48" i="57"/>
  <c r="G56" i="57"/>
  <c r="F78" i="57"/>
  <c r="F48" i="57"/>
  <c r="F56" i="57"/>
  <c r="L22" i="9"/>
  <c r="L24" i="9"/>
  <c r="L21" i="9"/>
  <c r="L23" i="9"/>
  <c r="L88" i="19"/>
  <c r="E86" i="93"/>
  <c r="E84" i="93"/>
  <c r="E31" i="93"/>
  <c r="Q59" i="19"/>
  <c r="L86" i="19"/>
  <c r="L12" i="9"/>
  <c r="L10" i="9"/>
  <c r="L9" i="9"/>
  <c r="L11" i="9"/>
  <c r="G86" i="52"/>
  <c r="G80" i="52"/>
  <c r="G38" i="52"/>
  <c r="F79" i="60"/>
  <c r="F48" i="60"/>
  <c r="F56" i="60"/>
  <c r="G89" i="60"/>
  <c r="G79" i="60"/>
  <c r="G48" i="60"/>
  <c r="G56" i="60"/>
  <c r="D79" i="56"/>
  <c r="F75" i="55"/>
  <c r="F82" i="55"/>
  <c r="F52" i="55"/>
  <c r="F60" i="55"/>
  <c r="F28" i="55"/>
  <c r="F41" i="55"/>
  <c r="F39" i="55"/>
  <c r="G90" i="55"/>
  <c r="G91" i="56"/>
  <c r="G90" i="54"/>
  <c r="G80" i="53"/>
  <c r="G50" i="53"/>
  <c r="G58" i="53"/>
  <c r="E74" i="50"/>
  <c r="E41" i="50"/>
  <c r="E39" i="50"/>
  <c r="E73" i="50"/>
  <c r="E28" i="50"/>
  <c r="E23" i="50"/>
  <c r="E24" i="50"/>
  <c r="I11" i="85"/>
  <c r="I12" i="85"/>
  <c r="I10" i="85"/>
  <c r="I20" i="85"/>
  <c r="D80" i="56"/>
  <c r="D49" i="56"/>
  <c r="D57" i="56"/>
  <c r="G40" i="61"/>
  <c r="G41" i="61"/>
  <c r="O68" i="61"/>
  <c r="D41" i="61"/>
  <c r="N63" i="61"/>
  <c r="N64" i="61"/>
  <c r="N65" i="61"/>
  <c r="D40" i="61"/>
  <c r="G91" i="57"/>
  <c r="F92" i="58"/>
  <c r="F82" i="58"/>
  <c r="F51" i="58"/>
  <c r="F59" i="58"/>
  <c r="F81" i="57"/>
  <c r="F51" i="57"/>
  <c r="F59" i="57"/>
  <c r="D78" i="54"/>
  <c r="D48" i="54"/>
  <c r="D56" i="54"/>
  <c r="D82" i="54"/>
  <c r="D52" i="54"/>
  <c r="D60" i="54"/>
  <c r="I46" i="85"/>
  <c r="I45" i="85"/>
  <c r="F80" i="52"/>
  <c r="F38" i="52"/>
  <c r="F86" i="52"/>
  <c r="E86" i="52"/>
  <c r="E80" i="52"/>
  <c r="E38" i="52"/>
  <c r="I41" i="85"/>
  <c r="I32" i="85"/>
  <c r="I31" i="85"/>
  <c r="I33" i="85"/>
  <c r="L39" i="9"/>
  <c r="L40" i="9"/>
  <c r="L38" i="9"/>
  <c r="L37" i="9"/>
  <c r="L27" i="9"/>
  <c r="L25" i="9"/>
  <c r="L28" i="9"/>
  <c r="L26" i="9"/>
  <c r="F86" i="93"/>
  <c r="F84" i="93"/>
  <c r="F31" i="93"/>
  <c r="Q62" i="19"/>
  <c r="L90" i="19"/>
  <c r="L89" i="19"/>
  <c r="F28" i="54"/>
  <c r="F41" i="54"/>
  <c r="F39" i="54"/>
  <c r="F75" i="54"/>
  <c r="F78" i="54"/>
  <c r="F48" i="54"/>
  <c r="F56" i="54"/>
  <c r="D75" i="55"/>
  <c r="D80" i="55"/>
  <c r="D50" i="55"/>
  <c r="D58" i="55"/>
  <c r="D28" i="55"/>
  <c r="D41" i="55"/>
  <c r="D39" i="55"/>
  <c r="F40" i="63"/>
  <c r="F41" i="63"/>
  <c r="D79" i="57"/>
  <c r="D49" i="57"/>
  <c r="D57" i="57"/>
  <c r="D90" i="58"/>
  <c r="D80" i="58"/>
  <c r="D49" i="58"/>
  <c r="D57" i="58"/>
  <c r="N54" i="86"/>
  <c r="N52" i="86"/>
  <c r="E41" i="55"/>
  <c r="E39" i="55"/>
  <c r="G90" i="58"/>
  <c r="G80" i="58"/>
  <c r="G49" i="58"/>
  <c r="G57" i="58"/>
  <c r="G79" i="57"/>
  <c r="G49" i="57"/>
  <c r="G57" i="57"/>
  <c r="L33" i="9"/>
  <c r="L36" i="9"/>
  <c r="L34" i="9"/>
  <c r="L35" i="9"/>
  <c r="L66" i="9"/>
  <c r="L65" i="9"/>
  <c r="L67" i="9"/>
  <c r="L68" i="9"/>
  <c r="L6" i="9"/>
  <c r="L7" i="9"/>
  <c r="L8" i="9"/>
  <c r="L5" i="9"/>
  <c r="I29" i="85"/>
  <c r="I38" i="85"/>
  <c r="I27" i="85"/>
  <c r="I28" i="85"/>
  <c r="E90" i="58"/>
  <c r="E80" i="58"/>
  <c r="E49" i="58"/>
  <c r="E57" i="58"/>
  <c r="E79" i="57"/>
  <c r="E49" i="57"/>
  <c r="E57" i="57"/>
  <c r="F76" i="56"/>
  <c r="F83" i="56"/>
  <c r="F52" i="56"/>
  <c r="F60" i="56"/>
  <c r="F28" i="56"/>
  <c r="F41" i="56"/>
  <c r="F39" i="56"/>
  <c r="F79" i="56"/>
  <c r="D82" i="55"/>
  <c r="D52" i="55"/>
  <c r="D60" i="55"/>
  <c r="G41" i="63"/>
  <c r="G40" i="63"/>
  <c r="D80" i="54"/>
  <c r="D50" i="54"/>
  <c r="D58" i="54"/>
  <c r="I25" i="85"/>
  <c r="I24" i="85"/>
  <c r="D41" i="62"/>
  <c r="D40" i="62"/>
  <c r="E74" i="51"/>
  <c r="E41" i="51"/>
  <c r="E39" i="51"/>
  <c r="E73" i="51"/>
  <c r="E28" i="51"/>
  <c r="E23" i="51"/>
  <c r="E24" i="51"/>
  <c r="F81" i="55"/>
  <c r="F51" i="55"/>
  <c r="F59" i="55"/>
  <c r="F40" i="62"/>
  <c r="F41" i="62"/>
  <c r="G92" i="60"/>
  <c r="G82" i="60"/>
  <c r="G51" i="60"/>
  <c r="G59" i="60"/>
  <c r="F82" i="60"/>
  <c r="F51" i="60"/>
  <c r="F59" i="60"/>
  <c r="Z39" i="95"/>
  <c r="AA39" i="95"/>
  <c r="L82" i="9"/>
  <c r="AA40" i="95"/>
  <c r="Z40" i="95"/>
  <c r="L83" i="9"/>
  <c r="AH95" i="9"/>
  <c r="L57" i="9"/>
  <c r="W57" i="9"/>
  <c r="V57" i="9"/>
  <c r="L60" i="9"/>
  <c r="W61" i="9"/>
  <c r="W73" i="9"/>
  <c r="L84" i="9"/>
  <c r="AH96" i="9"/>
  <c r="L64" i="9"/>
  <c r="W69" i="9"/>
  <c r="E39" i="62"/>
  <c r="AN90" i="9"/>
  <c r="M62" i="9"/>
  <c r="M61" i="9"/>
  <c r="AN88" i="9"/>
  <c r="L61" i="9"/>
  <c r="L62" i="9"/>
  <c r="L63" i="9"/>
  <c r="M53" i="9"/>
  <c r="M57" i="9"/>
  <c r="L56" i="9"/>
  <c r="L55" i="9"/>
  <c r="L54" i="9"/>
  <c r="L53" i="9"/>
  <c r="V53" i="9"/>
  <c r="P68" i="19"/>
  <c r="Q65" i="19"/>
  <c r="G39" i="63"/>
  <c r="D48" i="56"/>
  <c r="D56" i="56"/>
  <c r="G81" i="54"/>
  <c r="G51" i="54"/>
  <c r="G59" i="54"/>
  <c r="G78" i="54"/>
  <c r="G48" i="54"/>
  <c r="G56" i="54"/>
  <c r="G80" i="54"/>
  <c r="G50" i="54"/>
  <c r="G58" i="54"/>
  <c r="F39" i="62"/>
  <c r="G81" i="55"/>
  <c r="G51" i="55"/>
  <c r="G59" i="55"/>
  <c r="G78" i="55"/>
  <c r="G48" i="55"/>
  <c r="G56" i="55"/>
  <c r="AE67" i="94"/>
  <c r="G48" i="56"/>
  <c r="G56" i="56"/>
  <c r="G82" i="55"/>
  <c r="G52" i="55"/>
  <c r="G60" i="55"/>
  <c r="G68" i="56"/>
  <c r="G25" i="56"/>
  <c r="G81" i="56"/>
  <c r="G50" i="56"/>
  <c r="G58" i="56"/>
  <c r="G82" i="56"/>
  <c r="G51" i="56"/>
  <c r="G59" i="56"/>
  <c r="G25" i="54"/>
  <c r="G79" i="54"/>
  <c r="G49" i="54"/>
  <c r="G57" i="54"/>
  <c r="G83" i="56"/>
  <c r="G52" i="56"/>
  <c r="G60" i="56"/>
  <c r="D84" i="93"/>
  <c r="D31" i="93"/>
  <c r="Q83" i="19"/>
  <c r="D90" i="93"/>
  <c r="G79" i="55"/>
  <c r="G49" i="55"/>
  <c r="G57" i="55"/>
  <c r="G80" i="55"/>
  <c r="G50" i="55"/>
  <c r="G58" i="55"/>
  <c r="AG33" i="19"/>
  <c r="AG41" i="19"/>
  <c r="AG48" i="19"/>
  <c r="AG32" i="19"/>
  <c r="AG39" i="19"/>
  <c r="AG47" i="19"/>
  <c r="AG31" i="19"/>
  <c r="AG38" i="19"/>
  <c r="AG46" i="19"/>
  <c r="E90" i="93"/>
  <c r="Q86" i="19"/>
  <c r="G74" i="49"/>
  <c r="G41" i="49"/>
  <c r="G39" i="49"/>
  <c r="G67" i="51"/>
  <c r="G23" i="49"/>
  <c r="G24" i="49"/>
  <c r="G73" i="49"/>
  <c r="G28" i="49"/>
  <c r="G67" i="50"/>
  <c r="D25" i="56"/>
  <c r="D68" i="56"/>
  <c r="D81" i="56"/>
  <c r="D50" i="56"/>
  <c r="D58" i="56"/>
  <c r="D83" i="56"/>
  <c r="D52" i="56"/>
  <c r="D60" i="56"/>
  <c r="D82" i="56"/>
  <c r="D51" i="56"/>
  <c r="D59" i="56"/>
  <c r="F68" i="56"/>
  <c r="F80" i="56"/>
  <c r="F49" i="56"/>
  <c r="F57" i="56"/>
  <c r="F25" i="56"/>
  <c r="F81" i="56"/>
  <c r="F50" i="56"/>
  <c r="F58" i="56"/>
  <c r="D25" i="55"/>
  <c r="D79" i="55"/>
  <c r="D49" i="55"/>
  <c r="D57" i="55"/>
  <c r="D78" i="55"/>
  <c r="D48" i="55"/>
  <c r="D56" i="55"/>
  <c r="G39" i="61"/>
  <c r="I22" i="85"/>
  <c r="I21" i="85"/>
  <c r="F25" i="55"/>
  <c r="F79" i="55"/>
  <c r="F49" i="55"/>
  <c r="F57" i="55"/>
  <c r="F78" i="55"/>
  <c r="F48" i="55"/>
  <c r="F56" i="55"/>
  <c r="F80" i="55"/>
  <c r="F50" i="55"/>
  <c r="F58" i="55"/>
  <c r="I19" i="85"/>
  <c r="I18" i="85"/>
  <c r="I40" i="85"/>
  <c r="I39" i="85"/>
  <c r="F25" i="54"/>
  <c r="F79" i="54"/>
  <c r="F49" i="54"/>
  <c r="F57" i="54"/>
  <c r="F82" i="54"/>
  <c r="F52" i="54"/>
  <c r="F60" i="54"/>
  <c r="F90" i="93"/>
  <c r="Q89" i="19"/>
  <c r="G81" i="57"/>
  <c r="G51" i="57"/>
  <c r="G59" i="57"/>
  <c r="G92" i="58"/>
  <c r="G82" i="58"/>
  <c r="G51" i="58"/>
  <c r="G59" i="58"/>
  <c r="F81" i="54"/>
  <c r="F51" i="54"/>
  <c r="F59" i="54"/>
  <c r="F73" i="50"/>
  <c r="F28" i="50"/>
  <c r="F74" i="50"/>
  <c r="F41" i="50"/>
  <c r="F39" i="50"/>
  <c r="F23" i="50"/>
  <c r="F24" i="50"/>
  <c r="F23" i="51"/>
  <c r="F24" i="51"/>
  <c r="F74" i="51"/>
  <c r="F41" i="51"/>
  <c r="F39" i="51"/>
  <c r="F73" i="51"/>
  <c r="F28" i="51"/>
  <c r="D39" i="62"/>
  <c r="F48" i="56"/>
  <c r="F56" i="56"/>
  <c r="F82" i="56"/>
  <c r="F51" i="56"/>
  <c r="F59" i="56"/>
  <c r="F39" i="63"/>
  <c r="I42" i="85"/>
  <c r="I43" i="85"/>
  <c r="D39" i="61"/>
  <c r="F80" i="54"/>
  <c r="F50" i="54"/>
  <c r="F58" i="54"/>
  <c r="D81" i="55"/>
  <c r="D51" i="55"/>
  <c r="D59" i="55"/>
  <c r="V61" i="9"/>
  <c r="L58" i="9"/>
  <c r="L59" i="9"/>
  <c r="L71" i="9"/>
  <c r="L69" i="9"/>
  <c r="L72" i="9"/>
  <c r="L70" i="9"/>
  <c r="L76" i="9"/>
  <c r="L75" i="9"/>
  <c r="L74" i="9"/>
  <c r="L73" i="9"/>
  <c r="M54" i="9"/>
  <c r="M58" i="9"/>
  <c r="L14" i="19"/>
  <c r="L16" i="19"/>
  <c r="L15" i="19"/>
  <c r="L21" i="19"/>
  <c r="L22" i="19"/>
  <c r="G74" i="51"/>
  <c r="G41" i="51"/>
  <c r="G39" i="51"/>
  <c r="G73" i="51"/>
  <c r="G28" i="51"/>
  <c r="G23" i="51"/>
  <c r="G24" i="51"/>
  <c r="G74" i="50"/>
  <c r="G41" i="50"/>
  <c r="G39" i="50"/>
  <c r="G73" i="50"/>
  <c r="G28" i="50"/>
  <c r="G23" i="50"/>
  <c r="G24" i="50"/>
  <c r="AX82" i="19" l="1"/>
  <c r="BA82" i="19"/>
  <c r="AZ82" i="19"/>
  <c r="AY82" i="19"/>
  <c r="AN85" i="19"/>
  <c r="AW82" i="19"/>
  <c r="AV82" i="19"/>
  <c r="AM86" i="19"/>
  <c r="AI87" i="19"/>
  <c r="AM84" i="19"/>
  <c r="AN84" i="19"/>
  <c r="AN87" i="19" s="1"/>
  <c r="AI93" i="19" s="1"/>
  <c r="M29" i="82"/>
  <c r="M11" i="82"/>
  <c r="M39" i="82" s="1"/>
  <c r="M14" i="82"/>
  <c r="M42" i="82" s="1"/>
  <c r="M25" i="82"/>
  <c r="M32" i="82" s="1"/>
  <c r="M21" i="82"/>
  <c r="L32" i="72"/>
  <c r="L29" i="72"/>
  <c r="L33" i="72"/>
  <c r="L36" i="72"/>
  <c r="K36" i="72"/>
  <c r="C28" i="72"/>
  <c r="C52" i="72" s="1"/>
  <c r="V30" i="72"/>
  <c r="V31" i="72"/>
  <c r="V35" i="72"/>
  <c r="V36" i="72" s="1"/>
  <c r="AJ21" i="72"/>
  <c r="AR21" i="72"/>
  <c r="AJ22" i="72"/>
  <c r="AR22" i="72"/>
  <c r="AJ23" i="72"/>
  <c r="AR23" i="72"/>
  <c r="N5" i="72"/>
  <c r="N14" i="72" s="1"/>
  <c r="N26" i="72" s="1"/>
  <c r="N7" i="72"/>
  <c r="O26" i="72"/>
  <c r="O27" i="72"/>
  <c r="O28" i="72"/>
  <c r="N17" i="72"/>
  <c r="N20" i="72" s="1"/>
  <c r="N23" i="72" s="1"/>
  <c r="N6" i="72"/>
  <c r="N18" i="72"/>
  <c r="N21" i="72" s="1"/>
  <c r="N24" i="72" s="1"/>
  <c r="N19" i="72"/>
  <c r="O20" i="72"/>
  <c r="O23" i="72"/>
  <c r="O24" i="72"/>
  <c r="N16" i="72"/>
  <c r="N28" i="72" s="1"/>
  <c r="O25" i="72"/>
  <c r="O16" i="72"/>
  <c r="O13" i="72"/>
  <c r="O6" i="72"/>
  <c r="O12" i="72"/>
  <c r="N13" i="72"/>
  <c r="O8" i="72"/>
  <c r="AN35" i="72"/>
  <c r="AO35" i="72" s="1"/>
  <c r="O21" i="72"/>
  <c r="O22" i="72"/>
  <c r="N15" i="72"/>
  <c r="N27" i="72" s="1"/>
  <c r="O10" i="72"/>
  <c r="O5" i="72"/>
  <c r="O14" i="72"/>
  <c r="O7" i="72"/>
  <c r="N12" i="72"/>
  <c r="O9" i="72"/>
  <c r="O17" i="72"/>
  <c r="O18" i="72"/>
  <c r="O11" i="72"/>
  <c r="O15" i="72"/>
  <c r="AM87" i="19" l="1"/>
  <c r="AI92" i="19" s="1"/>
  <c r="AO93" i="19"/>
  <c r="AO95" i="19"/>
  <c r="L69" i="19"/>
  <c r="AO92" i="19"/>
  <c r="AP92" i="19" s="1"/>
  <c r="M65" i="19" s="1"/>
  <c r="L67" i="19"/>
  <c r="L65" i="19"/>
  <c r="L68" i="19"/>
  <c r="AO94" i="19"/>
  <c r="AP94" i="19" s="1"/>
  <c r="M68" i="19" s="1"/>
  <c r="L66" i="19"/>
  <c r="L70" i="19"/>
  <c r="V32" i="72"/>
  <c r="N22" i="72"/>
  <c r="N36" i="72" s="1"/>
  <c r="N29" i="72"/>
  <c r="N32" i="72"/>
  <c r="P36" i="72"/>
  <c r="O36" i="72"/>
  <c r="O32" i="72"/>
  <c r="P32" i="72"/>
  <c r="O29" i="72"/>
  <c r="O33" i="72"/>
  <c r="N25" i="72"/>
  <c r="N33" i="72"/>
  <c r="P33" i="72"/>
  <c r="N9" i="72"/>
  <c r="N11" i="72"/>
  <c r="N8" i="72"/>
  <c r="N10" i="72"/>
  <c r="AP95" i="19" l="1"/>
  <c r="M69" i="19" s="1"/>
  <c r="AP93" i="19"/>
  <c r="M66" i="19" s="1"/>
  <c r="O35" i="72"/>
  <c r="O34" i="72"/>
  <c r="O31" i="72"/>
  <c r="P29" i="72"/>
  <c r="O30"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Mvehicles*km/PJ for each output of this technology. </t>
        </r>
        <r>
          <rPr>
            <sz val="9"/>
            <color indexed="81"/>
            <rFont val="Tahoma"/>
            <family val="2"/>
          </rPr>
          <t xml:space="preserve">
For example, if the output is TPCS the meaning is how much energy the cars are consuming to produce output TPCS.
In this way we can specify 3 values for the same technology, one for each demand output.</t>
        </r>
      </text>
    </comment>
    <comment ref="T3" authorId="0" shapeId="0" xr:uid="{00000000-0006-0000-0200-000002000000}">
      <text>
        <r>
          <rPr>
            <b/>
            <sz val="9"/>
            <color indexed="81"/>
            <rFont val="Tahoma"/>
            <family val="2"/>
          </rPr>
          <t>Author:</t>
        </r>
        <r>
          <rPr>
            <sz val="9"/>
            <color indexed="81"/>
            <rFont val="Tahoma"/>
            <family val="2"/>
          </rPr>
          <t xml:space="preserve">
AFA is now in Scen-XX_TRA_xAssumptions -files for each respective country</t>
        </r>
      </text>
    </comment>
    <comment ref="L4" authorId="0" shapeId="0" xr:uid="{00000000-0006-0000-0200-000003000000}">
      <text>
        <r>
          <rPr>
            <b/>
            <sz val="9"/>
            <color indexed="81"/>
            <rFont val="Tahoma"/>
            <family val="2"/>
          </rPr>
          <t>Author:</t>
        </r>
        <r>
          <rPr>
            <sz val="9"/>
            <color indexed="81"/>
            <rFont val="Tahoma"/>
            <family val="2"/>
          </rPr>
          <t xml:space="preserve">
The values below characterise efficiency improvement compared to the base year. They are not used in the calculations directly, but are transformed in the corresponding TRANS file to Mvehicles*km/PJ form. </t>
        </r>
      </text>
    </comment>
    <comment ref="AR10" authorId="0" shapeId="0" xr:uid="{00000000-0006-0000-0200-000004000000}">
      <text>
        <r>
          <rPr>
            <b/>
            <sz val="9"/>
            <color indexed="81"/>
            <rFont val="Tahoma"/>
            <family val="2"/>
          </rPr>
          <t>Author:</t>
        </r>
        <r>
          <rPr>
            <sz val="9"/>
            <color indexed="81"/>
            <rFont val="Tahoma"/>
            <family val="2"/>
          </rPr>
          <t xml:space="preserve">
OBS!! If changed for Fuel cells, be aware these values have not been analysed and processed yet</t>
        </r>
      </text>
    </comment>
    <comment ref="D53" authorId="0" shapeId="0" xr:uid="{00000000-0006-0000-0200-000005000000}">
      <text>
        <r>
          <rPr>
            <b/>
            <sz val="9"/>
            <color indexed="81"/>
            <rFont val="Tahoma"/>
            <family val="2"/>
          </rPr>
          <t>Author:</t>
        </r>
        <r>
          <rPr>
            <sz val="9"/>
            <color indexed="81"/>
            <rFont val="Tahoma"/>
            <family val="2"/>
          </rPr>
          <t xml:space="preserve">
Plug-in hybrid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7" authorId="0" shapeId="0" xr:uid="{00000000-0006-0000-0900-000001000000}">
      <text>
        <r>
          <rPr>
            <b/>
            <sz val="9"/>
            <color indexed="81"/>
            <rFont val="Tahoma"/>
            <family val="2"/>
          </rPr>
          <t>Author:</t>
        </r>
        <r>
          <rPr>
            <sz val="9"/>
            <color indexed="81"/>
            <rFont val="Tahoma"/>
            <family val="2"/>
          </rPr>
          <t xml:space="preserve">
Estimated from TU survey travel distance pattern</t>
        </r>
      </text>
    </comment>
    <comment ref="P13" authorId="0" shapeId="0" xr:uid="{00000000-0006-0000-0900-000002000000}">
      <text>
        <r>
          <rPr>
            <b/>
            <sz val="9"/>
            <color indexed="81"/>
            <rFont val="Tahoma"/>
            <family val="2"/>
          </rPr>
          <t>Author:</t>
        </r>
        <r>
          <rPr>
            <sz val="9"/>
            <color indexed="81"/>
            <rFont val="Tahoma"/>
            <family val="2"/>
          </rPr>
          <t xml:space="preserve">
Source: http://www.folkecenter.net/gb/rd/transport/two-three-wheels/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0B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C103" authorId="0" shapeId="0" xr:uid="{00000000-0006-0000-0B00-000002000000}">
      <text>
        <r>
          <rPr>
            <b/>
            <sz val="9"/>
            <color indexed="81"/>
            <rFont val="Tahoma"/>
            <family val="2"/>
          </rPr>
          <t>Author:</t>
        </r>
        <r>
          <rPr>
            <sz val="9"/>
            <color indexed="81"/>
            <rFont val="Tahoma"/>
            <family val="2"/>
          </rPr>
          <t xml:space="preserve">
Hybrid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X19" authorId="0" shapeId="0" xr:uid="{00000000-0006-0000-1000-000001000000}">
      <text>
        <r>
          <rPr>
            <b/>
            <sz val="9"/>
            <color indexed="81"/>
            <rFont val="Tahoma"/>
            <family val="2"/>
          </rPr>
          <t>Author:</t>
        </r>
        <r>
          <rPr>
            <sz val="9"/>
            <color indexed="81"/>
            <rFont val="Tahoma"/>
            <family val="2"/>
          </rPr>
          <t xml:space="preserve">
Source used also in AlternativDrivmodellen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15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L3" authorId="0" shapeId="0" xr:uid="{00000000-0006-0000-1500-000002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1E00-000001000000}">
      <text>
        <r>
          <rPr>
            <b/>
            <sz val="8"/>
            <color indexed="81"/>
            <rFont val="Tahoma"/>
            <family val="2"/>
          </rPr>
          <t>Author:</t>
        </r>
        <r>
          <rPr>
            <sz val="8"/>
            <color indexed="81"/>
            <rFont val="Tahoma"/>
            <family val="2"/>
          </rPr>
          <t xml:space="preserve">
 0,36 for engines &gt; 85 kW</t>
        </r>
      </text>
    </comment>
    <comment ref="G99" authorId="0" shapeId="0" xr:uid="{00000000-0006-0000-1E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4" authorId="0" shapeId="0" xr:uid="{00000000-0006-0000-21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R71" authorId="0" shapeId="0" xr:uid="{00000000-0006-0000-2100-000002000000}">
      <text>
        <r>
          <rPr>
            <b/>
            <sz val="9"/>
            <color indexed="81"/>
            <rFont val="Tahoma"/>
            <family val="2"/>
          </rPr>
          <t>Author:</t>
        </r>
        <r>
          <rPr>
            <sz val="9"/>
            <color indexed="81"/>
            <rFont val="Tahoma"/>
            <family val="2"/>
          </rPr>
          <t xml:space="preserve">
http://www.maritimesales.com/Ferries%20for%20Sale.htm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3" authorId="0" shapeId="0" xr:uid="{00000000-0006-0000-2400-000001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F00-000001000000}">
      <text>
        <r>
          <rPr>
            <b/>
            <sz val="9"/>
            <color indexed="81"/>
            <rFont val="Tahoma"/>
            <family val="2"/>
          </rPr>
          <t>Author:</t>
        </r>
        <r>
          <rPr>
            <sz val="9"/>
            <color indexed="81"/>
            <rFont val="Tahoma"/>
            <family val="2"/>
          </rPr>
          <t xml:space="preserve">
Without indexes from base year</t>
        </r>
      </text>
    </comment>
    <comment ref="K5" authorId="0" shapeId="0" xr:uid="{00000000-0006-0000-1F00-000002000000}">
      <text>
        <r>
          <rPr>
            <b/>
            <sz val="9"/>
            <color indexed="81"/>
            <rFont val="Tahoma"/>
            <family val="2"/>
          </rPr>
          <t>Author:</t>
        </r>
        <r>
          <rPr>
            <sz val="9"/>
            <color indexed="81"/>
            <rFont val="Tahoma"/>
            <family val="2"/>
          </rPr>
          <t xml:space="preserve">
Like in base year</t>
        </r>
      </text>
    </comment>
    <comment ref="L5" authorId="0" shapeId="0" xr:uid="{00000000-0006-0000-1F00-000003000000}">
      <text>
        <r>
          <rPr>
            <b/>
            <sz val="9"/>
            <color indexed="81"/>
            <rFont val="Tahoma"/>
            <family val="2"/>
          </rPr>
          <t>Author:</t>
        </r>
        <r>
          <rPr>
            <sz val="9"/>
            <color indexed="81"/>
            <rFont val="Tahoma"/>
            <family val="2"/>
          </rPr>
          <t xml:space="preserve">
in absolute terms, not relative to VT file</t>
        </r>
      </text>
    </comment>
    <comment ref="P28" authorId="0" shapeId="0" xr:uid="{B5321963-E5DE-4BEF-9EB3-57F242CEFFC2}">
      <text>
        <r>
          <rPr>
            <b/>
            <sz val="9"/>
            <color indexed="81"/>
            <rFont val="Tahoma"/>
            <family val="2"/>
          </rPr>
          <t>Author:</t>
        </r>
        <r>
          <rPr>
            <sz val="9"/>
            <color indexed="81"/>
            <rFont val="Tahoma"/>
            <family val="2"/>
          </rPr>
          <t xml:space="preserve">
35 higher than conventional based on TIMES DK</t>
        </r>
      </text>
    </comment>
    <comment ref="P29" authorId="0" shapeId="0" xr:uid="{00000000-0006-0000-1F00-000004000000}">
      <text>
        <r>
          <rPr>
            <b/>
            <sz val="9"/>
            <color indexed="81"/>
            <rFont val="Tahoma"/>
            <family val="2"/>
          </rPr>
          <t>Author:</t>
        </r>
        <r>
          <rPr>
            <sz val="9"/>
            <color indexed="81"/>
            <rFont val="Tahoma"/>
            <family val="2"/>
          </rPr>
          <t xml:space="preserve">
http://www.maritimesales.com/Ferries%20for%20Sale.htm</t>
        </r>
      </text>
    </comment>
    <comment ref="P35" authorId="0" shapeId="0" xr:uid="{00000000-0006-0000-1F00-000005000000}">
      <text>
        <r>
          <rPr>
            <b/>
            <sz val="9"/>
            <color indexed="81"/>
            <rFont val="Tahoma"/>
            <family val="2"/>
          </rPr>
          <t>Author:</t>
        </r>
        <r>
          <rPr>
            <sz val="9"/>
            <color indexed="81"/>
            <rFont val="Tahoma"/>
            <family val="2"/>
          </rPr>
          <t xml:space="preserve">
http://www.maritimesales.com/Ferries%20for%20Sale.htm</t>
        </r>
      </text>
    </comment>
    <comment ref="AD47" authorId="0" shapeId="0" xr:uid="{00000000-0006-0000-1F00-000006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AE47" authorId="0" shapeId="0" xr:uid="{00000000-0006-0000-1F00-000007000000}">
      <text>
        <r>
          <rPr>
            <b/>
            <sz val="9"/>
            <color indexed="81"/>
            <rFont val="Tahoma"/>
            <family val="2"/>
          </rPr>
          <t>Author:</t>
        </r>
        <r>
          <rPr>
            <sz val="9"/>
            <color indexed="81"/>
            <rFont val="Tahoma"/>
            <family val="2"/>
          </rPr>
          <t xml:space="preserve">
Without indexes from base year</t>
        </r>
      </text>
    </comment>
    <comment ref="AE49" authorId="0" shapeId="0" xr:uid="{00000000-0006-0000-1F00-000008000000}">
      <text>
        <r>
          <rPr>
            <b/>
            <sz val="9"/>
            <color indexed="81"/>
            <rFont val="Tahoma"/>
            <family val="2"/>
          </rPr>
          <t>Author:</t>
        </r>
        <r>
          <rPr>
            <sz val="9"/>
            <color indexed="81"/>
            <rFont val="Tahoma"/>
            <family val="2"/>
          </rPr>
          <t xml:space="preserve">
in absolute terms, not relative to VT file</t>
        </r>
      </text>
    </comment>
    <comment ref="AH65" authorId="0" shapeId="0" xr:uid="{00000000-0006-0000-1F00-000009000000}">
      <text>
        <r>
          <rPr>
            <b/>
            <sz val="9"/>
            <color indexed="81"/>
            <rFont val="Tahoma"/>
            <family val="2"/>
          </rPr>
          <t>Author:</t>
        </r>
        <r>
          <rPr>
            <sz val="9"/>
            <color indexed="81"/>
            <rFont val="Tahoma"/>
            <family val="2"/>
          </rPr>
          <t xml:space="preserve">
http://www.maritimesales.com/Ferries%20for%20Sale.htm</t>
        </r>
      </text>
    </comment>
    <comment ref="AH68" authorId="0" shapeId="0" xr:uid="{00000000-0006-0000-1F00-00000A000000}">
      <text>
        <r>
          <rPr>
            <b/>
            <sz val="9"/>
            <color indexed="81"/>
            <rFont val="Tahoma"/>
            <family val="2"/>
          </rPr>
          <t>Author:</t>
        </r>
        <r>
          <rPr>
            <sz val="9"/>
            <color indexed="81"/>
            <rFont val="Tahoma"/>
            <family val="2"/>
          </rPr>
          <t xml:space="preserve">
http://www.maritimesales.com/Ferries%20for%20Sale.htm</t>
        </r>
      </text>
    </comment>
    <comment ref="AH71" authorId="0" shapeId="0" xr:uid="{00000000-0006-0000-1F00-00000B000000}">
      <text>
        <r>
          <rPr>
            <b/>
            <sz val="9"/>
            <color indexed="81"/>
            <rFont val="Tahoma"/>
            <family val="2"/>
          </rPr>
          <t>Author:</t>
        </r>
        <r>
          <rPr>
            <sz val="9"/>
            <color indexed="81"/>
            <rFont val="Tahoma"/>
            <family val="2"/>
          </rPr>
          <t xml:space="preserve">
http://www.maritimesales.com/Ferries%20for%20Sale.htm</t>
        </r>
      </text>
    </comment>
    <comment ref="AH74" authorId="0" shapeId="0" xr:uid="{00000000-0006-0000-1F00-00000C000000}">
      <text>
        <r>
          <rPr>
            <b/>
            <sz val="9"/>
            <color indexed="81"/>
            <rFont val="Tahoma"/>
            <family val="2"/>
          </rPr>
          <t>Author:</t>
        </r>
        <r>
          <rPr>
            <sz val="9"/>
            <color indexed="81"/>
            <rFont val="Tahoma"/>
            <family val="2"/>
          </rPr>
          <t xml:space="preserve">
http://www.maritimesales.com/Ferries%20for%20Sale.htm</t>
        </r>
      </text>
    </comment>
    <comment ref="U92" authorId="0" shapeId="0" xr:uid="{00000000-0006-0000-1F00-00000D000000}">
      <text>
        <r>
          <rPr>
            <b/>
            <sz val="9"/>
            <color indexed="81"/>
            <rFont val="Tahoma"/>
            <family val="2"/>
          </rPr>
          <t>Author:</t>
        </r>
        <r>
          <rPr>
            <sz val="9"/>
            <color indexed="81"/>
            <rFont val="Tahoma"/>
            <family val="2"/>
          </rPr>
          <t xml:space="preserve">
Like in base year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00000000-0006-0000-2400-000001000000}">
      <text>
        <r>
          <rPr>
            <b/>
            <sz val="9"/>
            <color indexed="81"/>
            <rFont val="Tahoma"/>
            <family val="2"/>
          </rPr>
          <t>Author:</t>
        </r>
        <r>
          <rPr>
            <sz val="9"/>
            <color indexed="81"/>
            <rFont val="Tahoma"/>
            <family val="2"/>
          </rPr>
          <t xml:space="preserve">
In absolute terms but relative to base year</t>
        </r>
      </text>
    </comment>
    <comment ref="O5" authorId="0" shapeId="0" xr:uid="{00000000-0006-0000-2400-000002000000}">
      <text>
        <r>
          <rPr>
            <b/>
            <sz val="9"/>
            <color indexed="81"/>
            <rFont val="Tahoma"/>
            <family val="2"/>
          </rPr>
          <t>Author:</t>
        </r>
        <r>
          <rPr>
            <sz val="9"/>
            <color indexed="81"/>
            <rFont val="Tahoma"/>
            <family val="2"/>
          </rPr>
          <t xml:space="preserve">
Boeing 737 http://www.boeing.com/company/about-bca/</t>
        </r>
      </text>
    </comment>
    <comment ref="L6" authorId="0" shapeId="0" xr:uid="{29FE2111-E7F2-4676-86A2-E238DF103487}">
      <text>
        <r>
          <rPr>
            <b/>
            <sz val="9"/>
            <color indexed="81"/>
            <rFont val="Tahoma"/>
            <family val="2"/>
          </rPr>
          <t>Author:</t>
        </r>
        <r>
          <rPr>
            <sz val="9"/>
            <color indexed="81"/>
            <rFont val="Tahoma"/>
            <family val="2"/>
          </rPr>
          <t xml:space="preserve">
In absolute terms but relative to base year</t>
        </r>
      </text>
    </comment>
    <comment ref="L7" authorId="0" shapeId="0" xr:uid="{B918506F-268C-4FD4-B005-CCAFC2E18C40}">
      <text>
        <r>
          <rPr>
            <b/>
            <sz val="9"/>
            <color indexed="81"/>
            <rFont val="Tahoma"/>
            <family val="2"/>
          </rPr>
          <t>Author:</t>
        </r>
        <r>
          <rPr>
            <sz val="9"/>
            <color indexed="81"/>
            <rFont val="Tahoma"/>
            <family val="2"/>
          </rPr>
          <t xml:space="preserve">
In absolute terms but relative to base year</t>
        </r>
      </text>
    </comment>
    <comment ref="O8" authorId="0" shapeId="0" xr:uid="{00000000-0006-0000-2400-000003000000}">
      <text>
        <r>
          <rPr>
            <b/>
            <sz val="9"/>
            <color indexed="81"/>
            <rFont val="Tahoma"/>
            <family val="2"/>
          </rPr>
          <t>Author:</t>
        </r>
        <r>
          <rPr>
            <sz val="9"/>
            <color indexed="81"/>
            <rFont val="Tahoma"/>
            <family val="2"/>
          </rPr>
          <t xml:space="preserve">
http://www.businessair.com/turboprop-aircraft</t>
        </r>
      </text>
    </comment>
    <comment ref="V9" authorId="0" shapeId="0" xr:uid="{00000000-0006-0000-2400-000004000000}">
      <text>
        <r>
          <rPr>
            <b/>
            <sz val="9"/>
            <color indexed="81"/>
            <rFont val="Tahoma"/>
            <family val="2"/>
          </rPr>
          <t>Author:</t>
        </r>
        <r>
          <rPr>
            <sz val="9"/>
            <color indexed="81"/>
            <rFont val="Tahoma"/>
            <family val="2"/>
          </rPr>
          <t xml:space="preserve">
From BY data, in VT</t>
        </r>
      </text>
    </comment>
    <comment ref="O11" authorId="0" shapeId="0" xr:uid="{00000000-0006-0000-2400-000005000000}">
      <text>
        <r>
          <rPr>
            <b/>
            <sz val="9"/>
            <color indexed="81"/>
            <rFont val="Tahoma"/>
            <family val="2"/>
          </rPr>
          <t>Author:</t>
        </r>
        <r>
          <rPr>
            <sz val="9"/>
            <color indexed="81"/>
            <rFont val="Tahoma"/>
            <family val="2"/>
          </rPr>
          <t xml:space="preserve">
Boeing 737 http://www.boeing.com/company/about-bca/</t>
        </r>
      </text>
    </comment>
    <comment ref="O14" authorId="0" shapeId="0" xr:uid="{00000000-0006-0000-2400-000006000000}">
      <text>
        <r>
          <rPr>
            <b/>
            <sz val="9"/>
            <color indexed="81"/>
            <rFont val="Tahoma"/>
            <family val="2"/>
          </rPr>
          <t>Author:</t>
        </r>
        <r>
          <rPr>
            <sz val="9"/>
            <color indexed="81"/>
            <rFont val="Tahoma"/>
            <family val="2"/>
          </rPr>
          <t xml:space="preserve">
Boeing 737 http://www.boeing.com/company/about-bca/</t>
        </r>
      </text>
    </comment>
    <comment ref="L17" authorId="0" shapeId="0" xr:uid="{652A12C5-80A3-43D8-BBD4-17CEEEB84C75}">
      <text>
        <r>
          <rPr>
            <b/>
            <sz val="9"/>
            <color indexed="81"/>
            <rFont val="Tahoma"/>
            <family val="2"/>
          </rPr>
          <t>Author:</t>
        </r>
        <r>
          <rPr>
            <sz val="9"/>
            <color indexed="81"/>
            <rFont val="Tahoma"/>
            <family val="2"/>
          </rPr>
          <t xml:space="preserve">
In absolute terms but relative to base year</t>
        </r>
      </text>
    </comment>
    <comment ref="O17" authorId="0" shapeId="0" xr:uid="{01DFE519-F2A8-4352-8933-3ABC264A3B91}">
      <text>
        <r>
          <rPr>
            <b/>
            <sz val="9"/>
            <color indexed="81"/>
            <rFont val="Tahoma"/>
            <family val="2"/>
          </rPr>
          <t>Author:</t>
        </r>
        <r>
          <rPr>
            <sz val="9"/>
            <color indexed="81"/>
            <rFont val="Tahoma"/>
            <family val="2"/>
          </rPr>
          <t xml:space="preserve">
Boeing 737 http://www.boeing.com/company/about-bca/</t>
        </r>
      </text>
    </comment>
    <comment ref="L18" authorId="0" shapeId="0" xr:uid="{321F6B9B-CADE-4A10-9B18-5A32D1681472}">
      <text>
        <r>
          <rPr>
            <b/>
            <sz val="9"/>
            <color indexed="81"/>
            <rFont val="Tahoma"/>
            <family val="2"/>
          </rPr>
          <t>Author:</t>
        </r>
        <r>
          <rPr>
            <sz val="9"/>
            <color indexed="81"/>
            <rFont val="Tahoma"/>
            <family val="2"/>
          </rPr>
          <t xml:space="preserve">
In absolute terms but relative to base year</t>
        </r>
      </text>
    </comment>
    <comment ref="L19" authorId="0" shapeId="0" xr:uid="{306EBECE-E8ED-4E36-AD64-ABCF9A03026D}">
      <text>
        <r>
          <rPr>
            <b/>
            <sz val="9"/>
            <color indexed="81"/>
            <rFont val="Tahoma"/>
            <family val="2"/>
          </rPr>
          <t>Author:</t>
        </r>
        <r>
          <rPr>
            <sz val="9"/>
            <color indexed="81"/>
            <rFont val="Tahoma"/>
            <family val="2"/>
          </rPr>
          <t xml:space="preserve">
In absolute terms but relative to base year</t>
        </r>
      </text>
    </comment>
    <comment ref="O20" authorId="0" shapeId="0" xr:uid="{0FB8B6F5-5A70-413B-854E-FB4372C74415}">
      <text>
        <r>
          <rPr>
            <b/>
            <sz val="9"/>
            <color indexed="81"/>
            <rFont val="Tahoma"/>
            <family val="2"/>
          </rPr>
          <t>Author:</t>
        </r>
        <r>
          <rPr>
            <sz val="9"/>
            <color indexed="81"/>
            <rFont val="Tahoma"/>
            <family val="2"/>
          </rPr>
          <t xml:space="preserve">
Boeing 737 http://www.boeing.com/company/about-bca/</t>
        </r>
      </text>
    </comment>
    <comment ref="O23" authorId="0" shapeId="0" xr:uid="{A439D5DB-720A-4D42-85BC-31065073BB91}">
      <text>
        <r>
          <rPr>
            <b/>
            <sz val="9"/>
            <color indexed="81"/>
            <rFont val="Tahoma"/>
            <family val="2"/>
          </rPr>
          <t>Author:</t>
        </r>
        <r>
          <rPr>
            <sz val="9"/>
            <color indexed="81"/>
            <rFont val="Tahoma"/>
            <family val="2"/>
          </rPr>
          <t xml:space="preserve">
Boeing 737 http://www.boeing.com/company/about-bca/</t>
        </r>
      </text>
    </comment>
    <comment ref="O26" authorId="0" shapeId="0" xr:uid="{C80D9A90-FAE3-4D7C-B309-2B3A6CAB218E}">
      <text>
        <r>
          <rPr>
            <b/>
            <sz val="9"/>
            <color indexed="81"/>
            <rFont val="Tahoma"/>
            <family val="2"/>
          </rPr>
          <t>Author:</t>
        </r>
        <r>
          <rPr>
            <sz val="9"/>
            <color indexed="81"/>
            <rFont val="Tahoma"/>
            <family val="2"/>
          </rPr>
          <t xml:space="preserve">
Boeing 737 http://www.boeing.com/company/about-bca/</t>
        </r>
      </text>
    </comment>
  </commentList>
</comments>
</file>

<file path=xl/sharedStrings.xml><?xml version="1.0" encoding="utf-8"?>
<sst xmlns="http://schemas.openxmlformats.org/spreadsheetml/2006/main" count="9642" uniqueCount="1575">
  <si>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</si>
  <si>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</si>
  <si>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</si>
  <si>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</si>
  <si>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</si>
  <si>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</si>
  <si>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</si>
  <si>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</si>
  <si>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</si>
  <si>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</si>
  <si>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</si>
  <si>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</si>
  <si>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</si>
  <si>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</si>
  <si>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</si>
  <si>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</si>
  <si>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</si>
  <si>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</si>
  <si>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</si>
  <si>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</si>
  <si>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</si>
  <si>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</si>
  <si>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</si>
  <si>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</si>
  <si>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</si>
  <si>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</si>
  <si>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</si>
  <si>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</si>
  <si>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</si>
  <si>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</si>
  <si>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</si>
  <si>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</si>
  <si>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</si>
  <si>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</si>
  <si>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</si>
  <si>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Bus Gas</t>
  </si>
  <si>
    <t>DKK/km</t>
  </si>
  <si>
    <t>NOx</t>
  </si>
  <si>
    <t>Nr.</t>
  </si>
  <si>
    <t>Reference</t>
  </si>
  <si>
    <t>Forudsætninger for samfundsøkonomiske analyser på energiområdet. Energistyrelsen. April 2011.</t>
  </si>
  <si>
    <t>Energistyrelsen. Forudsætninger for samfundsøkonomiske analyser på energiområdet. April 2010</t>
  </si>
  <si>
    <t>Transportøkonomiske enhedspriser 2010, DTU , Institut for transport</t>
  </si>
  <si>
    <t>Concawe (2011): Well-to-wheels analysis of future automotive fuels and power-trains in the European Context. November 2011.</t>
  </si>
  <si>
    <t>Nyt fra Danmarks Statistik, Motorparken 2010.</t>
  </si>
  <si>
    <t>EU kommisionens forordning nr. 692/2008 om EURO V og VI normer</t>
  </si>
  <si>
    <t>IEA, Energy Technology Perspectives 2008.</t>
  </si>
  <si>
    <t>Better Place, Renault Fluence</t>
  </si>
  <si>
    <t>COWI, Literaturstudie vedrørerende aktuelle og forventede priser på batterier, sendt til ENS</t>
  </si>
  <si>
    <t>Catalyst, Forsøgsordning med el-biler - tredje runde. Juni 2011. ENS</t>
  </si>
  <si>
    <t>http://www.biofuelsb2b.com/useful_info.php?page=Typic</t>
  </si>
  <si>
    <t>Concawe (2006): Well-to-wheels analysis of future automotive fuels and power-trains in the European Context. May 2006.</t>
  </si>
  <si>
    <t>Energistyrelsen. Biogasanlæg business case: Model 1000 m3/dag med salg af gas til decentral KV-værk og halmprocesvarme. Rev. 2009.05.25</t>
  </si>
  <si>
    <t>Energistyrelsen. Energistatistik 2011.</t>
  </si>
  <si>
    <t>Oplysninger per email fra Steffen Müller, produktionschef i Volvo Danmark, november 2011</t>
  </si>
  <si>
    <t>Lorie Hamelin, 2011. Modeling land use changes in consequential LCA, presentation, meta study</t>
  </si>
  <si>
    <t>www.eof.dk</t>
  </si>
  <si>
    <t>Power Point præsentation "Alternative Fuels Volvo Busser Danmark A/S" fra Jens Ommen, Volvo (via mail fra Steffen Müller 15/12-2011 til Michael Rask)</t>
  </si>
  <si>
    <t>Emails fra Kurt Vinther (kurt.vinther@volvo.com), Volvo d. 23/1-2012</t>
  </si>
  <si>
    <t>Oplysninger per email fra Niels Frees, Trafikstyrelsen, bekræftet af ENS. 07-09-2012.</t>
  </si>
  <si>
    <t>Oplysninger per mail fra ENS, Henrik Duer, 06/12 2012</t>
  </si>
  <si>
    <t>Nye herfra</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</si>
  <si>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</si>
  <si>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</si>
  <si>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</si>
  <si>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</si>
  <si>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</si>
  <si>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</si>
  <si>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</si>
  <si>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</si>
  <si>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</si>
  <si>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</si>
  <si>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</si>
  <si>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</si>
  <si>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</si>
  <si>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</si>
  <si>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</si>
  <si>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</si>
  <si>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</si>
  <si>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</si>
  <si>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</si>
  <si>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Mpass-km</t>
  </si>
  <si>
    <t>kvehicles</t>
  </si>
  <si>
    <t>Mkr/(kvehicle*km)</t>
  </si>
  <si>
    <t>Conversion factors</t>
  </si>
  <si>
    <t>kr/vehicle =</t>
  </si>
  <si>
    <t>Mt-km</t>
  </si>
  <si>
    <t>Start</t>
  </si>
  <si>
    <t>Relative eff (see also the TRANS)</t>
  </si>
  <si>
    <t>EFF</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</si>
  <si>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</si>
  <si>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</si>
  <si>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</si>
  <si>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</si>
  <si>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</si>
  <si>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</si>
  <si>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</si>
  <si>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</si>
  <si>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</si>
  <si>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</si>
  <si>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</si>
  <si>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</si>
  <si>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</si>
  <si>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</si>
  <si>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</si>
  <si>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</si>
  <si>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</si>
  <si>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</si>
  <si>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</si>
  <si>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</si>
  <si>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</si>
  <si>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</si>
  <si>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</si>
  <si>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</si>
  <si>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</si>
  <si>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</si>
  <si>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</si>
  <si>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</si>
  <si>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</si>
  <si>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</si>
  <si>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</si>
  <si>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</si>
  <si>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</si>
  <si>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</si>
  <si>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</si>
  <si>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</si>
  <si>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</si>
  <si>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</si>
  <si>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</si>
  <si>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</si>
  <si>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</si>
  <si>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</si>
  <si>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</si>
  <si>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</si>
  <si>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</si>
  <si>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</si>
  <si>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</si>
  <si>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</si>
  <si>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</si>
  <si>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</si>
  <si>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</si>
  <si>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</si>
  <si>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</si>
  <si>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</si>
  <si>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</si>
  <si>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</si>
  <si>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</si>
  <si>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</si>
  <si>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</si>
  <si>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</si>
  <si>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Batteri</t>
  </si>
  <si>
    <t>MJ/km</t>
  </si>
  <si>
    <t>Fuel consumption</t>
  </si>
  <si>
    <t>Bus Diesel</t>
  </si>
  <si>
    <t>Mercedes 12 m. bybus</t>
  </si>
  <si>
    <t>Dæk, vask, vedligehold</t>
  </si>
  <si>
    <t>Busser</t>
  </si>
  <si>
    <t>Gas</t>
  </si>
  <si>
    <t>Hybrid</t>
  </si>
  <si>
    <t>Pris</t>
  </si>
  <si>
    <t>365 dage/år x 16 t/dag x 18,6 km/t</t>
  </si>
  <si>
    <t>D&amp;V ex olie</t>
  </si>
  <si>
    <t>Brændstofforbrug</t>
  </si>
  <si>
    <t>km/l</t>
  </si>
  <si>
    <t>Motorvirkningsgrad</t>
  </si>
  <si>
    <t>Olieskift pris</t>
  </si>
  <si>
    <t>kr/skift</t>
  </si>
  <si>
    <t>Totalvægt</t>
  </si>
  <si>
    <t>ton</t>
  </si>
  <si>
    <t>Olieskift interval</t>
  </si>
  <si>
    <t>km/skift</t>
  </si>
  <si>
    <t>Emissioner fra lastbiler</t>
  </si>
  <si>
    <t>g/GJ</t>
  </si>
  <si>
    <t>GJ mek/GJ CNG</t>
  </si>
  <si>
    <t>kg/GJ CNG</t>
  </si>
  <si>
    <t>Gap i motorvirkningsgrad til diesel</t>
  </si>
  <si>
    <t>Gap mellem diesel og gas antages at bliver mindre, jf. ref. 70</t>
  </si>
  <si>
    <t>km/m^3</t>
  </si>
  <si>
    <t>OBS! anden formel</t>
  </si>
  <si>
    <t>Aftalt mellem COWI og ENS, per energi leveret - IKKE per energi indfyret</t>
  </si>
  <si>
    <t>Ingen svovl i gas</t>
  </si>
  <si>
    <t>Scania P280 (distribution)</t>
  </si>
  <si>
    <t xml:space="preserve">          m `M=MMMMMMMMMMMMMMMMMMMMMMMMMMMM;;;;;;;;;;;;;;;;;;;;;;;;;;;;;;;;;;;;;;;?==============MomO;OaAMOå+;OAOOOOOOL</t>
  </si>
  <si>
    <t>PM for 2020 er udelukkende estimeret</t>
  </si>
  <si>
    <t>g/kWh</t>
  </si>
  <si>
    <t>Partikler (PM)</t>
  </si>
  <si>
    <t>HC</t>
  </si>
  <si>
    <t>g/MWh</t>
  </si>
  <si>
    <t>CO</t>
  </si>
  <si>
    <t>Middel energiforbrug an køretøj</t>
  </si>
  <si>
    <t>Estimat baseret på international benchmarking (2011 tal)</t>
  </si>
  <si>
    <t>Kørsel per år*middel energiforbr an hjul</t>
  </si>
  <si>
    <t>Gennemsnit fra Lint 41 drift i Lokalbanen og Arriva</t>
  </si>
  <si>
    <t>MJ/kg</t>
  </si>
  <si>
    <t>Detaljerede data mangler</t>
  </si>
  <si>
    <t>Middel energiforbrug an tog, sekundær</t>
  </si>
  <si>
    <t>Middel energiforbrug an tog, primær</t>
  </si>
  <si>
    <t>GJ mek/GJd</t>
  </si>
  <si>
    <t>Den bedste tilgængelige teknologi som er godkendt til jernbanebrug lige nu er som beskrevet ovenfor dieselmotorer der lever op til EU NRMM Stage IIIB. Den bedst tilgængelige teknologi opfylder pt. EURO6, som dog kun gælder lastbil og bus. Derudover vil den bedst tilgængelige dieselmotorteknologi til små motorer (under 560 kW) og regionaltrafik allerede i dag være kombineret med batterier og supercaps til optimeret opsamling af bremseenergien fra de relativt mange stop.</t>
  </si>
  <si>
    <t>De nye emissionsstandarder for togdrift følger meget tæt efter EURO-normen for vejsiden så dermed er der tale om krav til en meget effektiv og ren forbrænding. Det er en klar ulempe at motorer skal testes særskilt i henhold til togdrift-cyklus da det giver dyrere motorer til en relativ lille markedsniche.</t>
  </si>
  <si>
    <t>En standard dieselmotor til jernbanedrift er underlagt EU kommissionens Non-Road Mobile Machinery Directive - NRMM ("moderdirektivet" hedder EU/97/68* - se nedenfor). Den foreskriver to klasser af motorer: under 560 kW (primært til togsæt DMU - diesel multiple units) og over 560 kW (både til togsæt og lokomotiver). Den pt. gældende emissionsklasse er benævnt "Stage IIIB" og gælder fra 01/2012. Normen indbefatter emissionsgrænser for CO, HC, PM samt NOx. Emissionsgrænserne kan opnås på forskellig vis, via bl.a. EGR, katalysator og påfyldning af urea til udvaskning af NOx. Der benyttes altid diesel godkendt til vejbrug (EN 590) dvs. det er ultra svovlfattigt. Dieselmotorer til jernbanebrug benyttes ofte i diesel-elektrisk og mekanisk traktion. Førhen blev de også i vid udstrækning brugt i diesel-hydraulisk brug men det er på retur pga. udvikling af mere avancerede transmissionssystemer.</t>
  </si>
  <si>
    <t>Generel teknologi-beskrivelse:</t>
  </si>
  <si>
    <t>Dieseltogsæt (Lint 41)</t>
  </si>
  <si>
    <t>Bedste estimat baseret på ORR rapporten (2011 tal)</t>
  </si>
  <si>
    <t>Gennemsnit fra IC3 kørsel i DSB i 2013 ("alt andet lige")</t>
  </si>
  <si>
    <t>Estimat, værdi for 2035 er udelukkende teoretisk</t>
  </si>
  <si>
    <t>Dieseltogsæt (IC3 DSB)</t>
  </si>
  <si>
    <t>Produktionens el-mix antages at blive reguleret andetsteds i regnearket fra COWI.</t>
  </si>
  <si>
    <t>Omtrentlig årlig produktion/togsæt-km i DSB</t>
  </si>
  <si>
    <t>Miljø-data el-produktion</t>
  </si>
  <si>
    <t>Beregnet</t>
  </si>
  <si>
    <t>Restlevetid IR4 og nyindkøbte el-tog i 2035</t>
  </si>
  <si>
    <t>Ulemperne ved el-drift er primært miljømæssigt: afhængigheden af el-producentens el-mix og økonomisk: den store investering og vedligehold af det jernbane-specifikke elnet.</t>
  </si>
  <si>
    <t>Der er ingen emissioner direkte fra toget, og der opnås generelt en høj energieffektivitet i selve jernbanesystemet. Set over hele energikæden fra udvinding, fremstilling og transmission af elektrisk energi til forbrug ombord på toget afhænger det dog meget af hvordan strømmen er produceret. Hvis strømmen kommer fra 100% fossilt brændsel kan et diesel-tog godt være lige så miljøvenligt eller bedre end et el-tog alt andet lige.</t>
  </si>
  <si>
    <t>Når man skal beskrive el-togs systemet er der meget vigtigt at gøre sig klart hvor systemgrænserne går for at kunne sammenligne det med alternativer på en fornuftig måde. Der henvises til kilde 1 (http://www.railenergy.eu/RailenergyMethodology.aspx) angående en præcis systemafgrænsning for jernbanesystemet.</t>
  </si>
  <si>
    <t>El-tog har været i drift i over 100 år i mange lande og det er en velkendt og gennemprøvet teknologi som selvfølgelig også er under konstant udvikling. Oprindelig benyttedes kun DC i drift mens man senere er gået over til AC for at mindske tab primært i transmissionen fra transformer til tog. Der benyttes to typer fødning af elektriciteten: OCL (overhead catenary line eller frithængende kabler fra mast) og tredje skinne (jordbaseret fritliggende strømskinne).</t>
  </si>
  <si>
    <t>Elektrisk regionaltogsæt (IR4 DSB)</t>
  </si>
  <si>
    <t>Currency year</t>
  </si>
  <si>
    <t>CURR</t>
  </si>
  <si>
    <t>Efficiency index</t>
  </si>
  <si>
    <t>Start year offset:</t>
  </si>
  <si>
    <t>END</t>
  </si>
  <si>
    <t>Last available year for installation</t>
  </si>
  <si>
    <t>TRADSBL2</t>
  </si>
  <si>
    <t>TRADSBL3</t>
  </si>
  <si>
    <t>TRADSBL4</t>
  </si>
  <si>
    <t>TRAGSBL2</t>
  </si>
  <si>
    <t>TRAGSBL3</t>
  </si>
  <si>
    <t>TRAGSBL4</t>
  </si>
  <si>
    <t>Transport Passengers Car - Hydrogen Fuel-cell Electric Vehicle - Average size - New</t>
  </si>
  <si>
    <t>End</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</si>
  <si>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</si>
  <si>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</si>
  <si>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</si>
  <si>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</si>
  <si>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</si>
  <si>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</si>
  <si>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</si>
  <si>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</si>
  <si>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</si>
  <si>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</si>
  <si>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</si>
  <si>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</si>
  <si>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</si>
  <si>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</si>
  <si>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</si>
  <si>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</si>
  <si>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</si>
  <si>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</si>
  <si>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</si>
  <si>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</si>
  <si>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</si>
  <si>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</si>
  <si>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</si>
  <si>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</si>
  <si>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</si>
  <si>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</si>
  <si>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</si>
  <si>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</si>
  <si>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</si>
  <si>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</si>
  <si>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</si>
  <si>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</si>
  <si>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</si>
  <si>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</si>
  <si>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</si>
  <si>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</si>
  <si>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</si>
  <si>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</si>
  <si>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</si>
  <si>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</si>
  <si>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</si>
  <si>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</si>
  <si>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</si>
  <si>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</si>
  <si>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</si>
  <si>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</si>
  <si>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</si>
  <si>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</si>
  <si>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</si>
  <si>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</si>
  <si>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</si>
  <si>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</si>
  <si>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</si>
  <si>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</si>
  <si>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</si>
  <si>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</si>
  <si>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</si>
  <si>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</si>
  <si>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</si>
  <si>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</si>
  <si>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</si>
  <si>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</si>
  <si>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</si>
  <si>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</si>
  <si>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Emissioner fra Bybusser (Diesel Urban Buses 15 - 18t)</t>
  </si>
  <si>
    <t>Regnet ud fra antagelsen om at gasbusser og lastbiler gennemsnitligt har et merforbrug på 19 % ift. diesel, jf. ref. 70.</t>
  </si>
  <si>
    <t>Mercedes 12 m. bybus. Gasforbruget i bussen er dog baseret på et gennemsnit af gasbussers merforbrug i forhold til dieselbusser, og er derfor ikke specifik i forhold til denne bus.</t>
  </si>
  <si>
    <t>Udviklingen i effektivitet antages at følge udviklingen af elbussen givet i ref. 69</t>
  </si>
  <si>
    <t>Som dieselbus</t>
  </si>
  <si>
    <t>Dæk, vask, vedligehold og batterigaranti</t>
  </si>
  <si>
    <t>56, Arriva elbusprojekt, korrespondance med Joachim Reinhard Danchell, Movia, 14/10-2014</t>
  </si>
  <si>
    <t>New</t>
  </si>
  <si>
    <t>El-EBusCo, 12 m. bybus</t>
  </si>
  <si>
    <t>Batteriets holdbarhed (max. bussens levetid)</t>
  </si>
  <si>
    <t>5 % mindre vedligehold</t>
  </si>
  <si>
    <t>Olieskift</t>
  </si>
  <si>
    <t>Reparationer, ekskl. dæk og olie</t>
  </si>
  <si>
    <t>86 kW Dieselmotor</t>
  </si>
  <si>
    <t>Bus 4x2 hjul (Volvo B9L), fladt terræn, middel belægning og moderat temperatur uden AC.</t>
  </si>
  <si>
    <t>Bus Hybrid</t>
  </si>
  <si>
    <t>Sheet: Emissions - ton, row 51</t>
  </si>
  <si>
    <t>kg/nm</t>
  </si>
  <si>
    <t>Sheet: Emissions - ton, row 31</t>
  </si>
  <si>
    <t>Sheet: Emissions - ton, row 36</t>
  </si>
  <si>
    <t>9000 TEU, 70% capacity, Sheet: Emissions - ton, row 14</t>
  </si>
  <si>
    <t>GJ/nm</t>
  </si>
  <si>
    <t>Middel energiforbrug an skib</t>
  </si>
  <si>
    <t>MJ fremdrift/MJ fuel</t>
  </si>
  <si>
    <t>Overall efficiency</t>
  </si>
  <si>
    <t>CAPEX per day</t>
  </si>
  <si>
    <t>km/nm</t>
  </si>
  <si>
    <t>Length of nautical mile</t>
  </si>
  <si>
    <t>CAPEX per year</t>
  </si>
  <si>
    <t>Interview with Hans Otto Kristensen on trends in ship operation</t>
  </si>
  <si>
    <t>knots</t>
  </si>
  <si>
    <t>Cruise Speed</t>
  </si>
  <si>
    <t>UDS/nm</t>
  </si>
  <si>
    <t>Capex</t>
  </si>
  <si>
    <t>ratio</t>
  </si>
  <si>
    <t>Days at sea/total voyage time</t>
  </si>
  <si>
    <t>Interest rate for shipowner</t>
  </si>
  <si>
    <t>Hans-Otto Christensen, Dansk Rederiforening, Skønnet værdi pba. expertudsagn</t>
  </si>
  <si>
    <t>USD</t>
  </si>
  <si>
    <t>Cost of ship</t>
  </si>
  <si>
    <t>CAPEX</t>
  </si>
  <si>
    <t>USD/nm</t>
  </si>
  <si>
    <t>Opex</t>
  </si>
  <si>
    <t>MJ mek/year</t>
  </si>
  <si>
    <t>USD/day</t>
  </si>
  <si>
    <t>km</t>
  </si>
  <si>
    <t>Middel energiforbrug an skrue</t>
  </si>
  <si>
    <t>kg/GJd</t>
  </si>
  <si>
    <t>Middel energiforbrug an skib, sekundær</t>
  </si>
  <si>
    <t>Middel energiforbrug an skib, primær</t>
  </si>
  <si>
    <t>Ship service speed at actual draught (70% capacity) has been assumed to be 22knots in 2015, 20 in 2020 and 18 in 2035 and 2050.</t>
  </si>
  <si>
    <t>9000 TEU containerskib er den fremherskende containerskibsstørrelse pt. Det er den største skibstype, der kan passere den nye Panama kanal. Trenden går mod større skibe der sejler langsomere.</t>
  </si>
  <si>
    <t>9000 TEU</t>
  </si>
  <si>
    <t>2,7 times lower than HFO</t>
  </si>
  <si>
    <t>10 times lower than HFO</t>
  </si>
  <si>
    <t>0 ifølge hans Otto og MAN diesel</t>
  </si>
  <si>
    <t>Approx. 6 times lower than HFO</t>
  </si>
  <si>
    <t>Interview with Hans Otto Kristensen on trends in ship operation, these speeds will also provide conformity to EEDI goals from IMO</t>
  </si>
  <si>
    <t>Hans-Otto Christensen, Dansk Rederiforening, Skønnet værdi pba. expertudsagn, 15% højere end conventionel motor</t>
  </si>
  <si>
    <t>9000 TEU Dual Fuel</t>
  </si>
  <si>
    <t>Scaled proportional to container ship</t>
  </si>
  <si>
    <t>MJ mech/MJ fuel</t>
  </si>
  <si>
    <t>Engine efficiency</t>
  </si>
  <si>
    <t>J/kg</t>
  </si>
  <si>
    <t xml:space="preserve"> Calorific value HFO</t>
  </si>
  <si>
    <t>kg/Ws</t>
  </si>
  <si>
    <t xml:space="preserve"> Fuel consumption</t>
  </si>
  <si>
    <t>Sheet: Emission factors, row 26</t>
  </si>
  <si>
    <t xml:space="preserve"> Fuel consumption, main engine</t>
  </si>
  <si>
    <t>% reduction i CO2 emissions</t>
  </si>
  <si>
    <t>Reduction in energy consumption</t>
  </si>
  <si>
    <t>Total cost excl. fuel</t>
  </si>
  <si>
    <t>High speed katamaran ferry</t>
  </si>
  <si>
    <t>Middel energiforbrug an fly pr sæde</t>
  </si>
  <si>
    <t>Gennemsnitlige SAS tal anvendt til beregning af omkostninger</t>
  </si>
  <si>
    <t>SAS group sustainability report jan-oct 2012, p. 48</t>
  </si>
  <si>
    <t>1000km2</t>
  </si>
  <si>
    <t>Noise, 85db area</t>
  </si>
  <si>
    <t>1000 ton</t>
  </si>
  <si>
    <t>kr/km</t>
  </si>
  <si>
    <t>Total unit costs, excl. fuel</t>
  </si>
  <si>
    <t>Total unit costs</t>
  </si>
  <si>
    <t>kr/flight</t>
  </si>
  <si>
    <t>SAS group annual report jan-oct 2012, p. 92</t>
  </si>
  <si>
    <t>kr/pass.km.</t>
  </si>
  <si>
    <t>Total unit cost</t>
  </si>
  <si>
    <t>USD/km</t>
  </si>
  <si>
    <t>Jet fuel cost per km</t>
  </si>
  <si>
    <t>USD/ton</t>
  </si>
  <si>
    <t>Jet fuel price</t>
  </si>
  <si>
    <t>l/km</t>
  </si>
  <si>
    <t>kg/km</t>
  </si>
  <si>
    <t>jet fuel per km</t>
  </si>
  <si>
    <t>jet fuel per flight</t>
  </si>
  <si>
    <t>pass km. per flight</t>
  </si>
  <si>
    <t>ratio sched. to tot seat km</t>
  </si>
  <si>
    <t>seat km. tot</t>
  </si>
  <si>
    <t>seat km. sched</t>
  </si>
  <si>
    <t>pass km. tot</t>
  </si>
  <si>
    <t>pass tot</t>
  </si>
  <si>
    <t>SAS group sustainability report jan-oct 2012, p. 48. Improvement of 1,5 % in fuel economy pr. year until 2035, according to Martin Porsgaard</t>
  </si>
  <si>
    <t>jet fuel used</t>
  </si>
  <si>
    <t>avg. pass km.</t>
  </si>
  <si>
    <t>flights tot.</t>
  </si>
  <si>
    <t>flights sched</t>
  </si>
  <si>
    <t>stk</t>
  </si>
  <si>
    <t>Antal sæder</t>
  </si>
  <si>
    <t>MJ mek/sædekm</t>
  </si>
  <si>
    <t>Middel energiforbrug an "vinge"</t>
  </si>
  <si>
    <t>kg/GJ JetA1</t>
  </si>
  <si>
    <t>Middel energiforbrug an fly, sekundær</t>
  </si>
  <si>
    <t>Middel energiforbrug an fly, primær</t>
  </si>
  <si>
    <t>GJ mek/GJ JetA1</t>
  </si>
  <si>
    <t>Turbofan, 75 ton 168 sæder</t>
  </si>
  <si>
    <t>Turbofan, 75 ton passagerfly</t>
  </si>
  <si>
    <t>MJ/sædekm</t>
  </si>
  <si>
    <t>DKK/(km*sæde)</t>
  </si>
  <si>
    <t>Faste og variable d&amp;v (pr sæde)</t>
  </si>
  <si>
    <t>Ydelse per år (pr sæde)</t>
  </si>
  <si>
    <t>s.6 top, 100 mio. kr. for 5 togsæt. Angivet pr sæde</t>
  </si>
  <si>
    <t>DKK/sæde</t>
  </si>
  <si>
    <t>Gennemsnit fra Lint 41 kørsel på Lokalbanen</t>
  </si>
  <si>
    <t>kg/GJ LNG</t>
  </si>
  <si>
    <t>s.6 top, 100 mio. kr. for 5 togsæt + 2 mio.kr. til LNG powerpacks. Angivet pr sæde</t>
  </si>
  <si>
    <t>Ulempen er at der skal etableres en helt ny jernbane energi-infrastruktur til sikker tankning og opbevaring samt at der er ikke ubetydelige sikkerhedsmæssige risici ved håndtering af LNG, som skal opbevares ved -160 grader Celcius. Derfor vil det formentlig heller ikke komme på tale at benytte LNG i udbredt grad på det primære jernbanenet, hvor høj trafikintensitet samt mange kortere eller længere tunneller vil gøre det umuligt at garantere passagernes sikkerhed ved uheld.</t>
  </si>
  <si>
    <t>Fordelen ved LNG er at den kan bruges direkte i nyere avancerede dieselmotorer evt. ved tilsætning af mindre mængde diesel til antændingen (&lt;10%). Ved forbrændingen opnås 30% lavere CO2 emissioner og 70% lavere NOx emissioner sammenlignet med diesel. Øvrige regulerede emissioner reduceres også betydeligt. LNG har fået betydeligt comeback efter vedvarende fund af betydelige mængder gas bl.a. pga. fracking. For at det kan give mening økonomisk, må gassen være tilgængelig via et højtryksnet (f.eks. DONG's naturgasnet) ellers bliver det alt for dyrt.</t>
  </si>
  <si>
    <t>Selvom der er mange LNG forsøg i gang pt. i USA, Europa, Rusland og i Asien, så er det ikke et eksisterende alternativ til diesel. Det skal derfor understreges at nærværende data kun er en teoretisk tilnærmelse og på ingen måde har nogen forbindelse til virkelig drift i et Lint 41 med passagerer.</t>
  </si>
  <si>
    <t>Brug af gas i dieseldrevne motorer til jernbanedrift har været undersøgt over en længere årrække og helt tilbage til 1990'erne hvis ikke før. Der har været udført test med de forskellige opbevaringsformer som LPG, LNG, CNG samt biogas. Efter en betydelig modning af teknologien, blandt andet understøttet af udviklingen i dieselmotor-teknologien, er der nu bred (global) enighed om at det absolut mest velegnede gas-drivmiddel er LNG på grund af energitætheden, håndteringen og prisen ift. både gas- og dieselalternativerne.</t>
  </si>
  <si>
    <t>Gasdrevet lokaltog (baseret på Lint 41)</t>
  </si>
  <si>
    <t>side. 128. Diesel koster 62 mio, eltog koster 53 mio. Angivet pr sæde</t>
  </si>
  <si>
    <t>side. 128. Angivet pr sæde</t>
  </si>
  <si>
    <t>Hydrogen</t>
  </si>
  <si>
    <t>http://www.agri-outlook.org/</t>
  </si>
  <si>
    <t>Høringssvar til Alternative Drivmidler, jan 2012, SerEnergy A/S, Danish Power Systems, Nordic Green, Aalborg University. inklusiv uddybning per 10/12 2012</t>
  </si>
  <si>
    <t>Forudsætninger for samfundsøkonomiske analyser på energiområdet. Energistyrelsen. April 2011, opdateret dataark oktober 2012</t>
  </si>
  <si>
    <t>SHIP-DESMO-Container Ship - 1 January 2014.xls - https://www.shipowners.dk/services/beregningsvaerktoejer/</t>
  </si>
  <si>
    <t>JEC - Joint Research Centre-EUCAR-CONCAWE collaboration, Tank to Wheels Report, version 4.0, July 2013</t>
  </si>
  <si>
    <t>Statoil, Grønt Regnskab 2012</t>
  </si>
  <si>
    <t>ASTM 7566 - 13, Standard Specification for Aviation Fuel Containing Synthesized Hydrocarbons</t>
  </si>
  <si>
    <t>ASTM 1655 - 13, Standard Specification for Aviation Fuel</t>
  </si>
  <si>
    <t>Biogas i Danmark - status, barrierer og perspektiver, Biogas Taskforce, November 2013, Kap 8, Biogasøkonomi. Ea-energianalyser har leveret den bagvedliggende data.</t>
  </si>
  <si>
    <t>http://www.energinet.dk/SiteCollectionDocuments/Danske%20dokumenter/Gas/Faktablad%20-%20gaskvalitet.pdf</t>
  </si>
  <si>
    <t>IFRO rapport 220: Biogasproduktion i Danmark – Vurderinger af drifts- og samfundsøkonomi, 2013, tabel 5.6. http://curis.ku.dk/ws/files/46258309/IFRO_rapport_220.pdf</t>
  </si>
  <si>
    <t>FORCE, Danish Energy Agency, 2013, Technology data for advanced bioenergy fuels.</t>
  </si>
  <si>
    <t>Energistyrelsen Juni 1999. Brændselsprisforudsætninger for samfundsøkonomiske beregninger</t>
  </si>
  <si>
    <t>Energistyrelsen. Forudsætninger for samfundsøkonomiske analyser på energi-området. Maj 2009</t>
  </si>
  <si>
    <t>www.cleanfuelconnection.com</t>
  </si>
  <si>
    <t>Energistyrelsen (2006): Appendiks: Forudsætninger for samfundsøkonomiske analyser på energiområdet. Energistyrelsen, juli 2006.</t>
  </si>
  <si>
    <t>Niras (2011). Strategisk analyse af electrificering af banenettet - Opgave A, strategianalysen. Banedanmark.</t>
  </si>
  <si>
    <t>LNG LTD. Improved LNG process - Better Economics for Future Projects. http://www.lnglimited.com.au/IRM/content/default.aspx</t>
  </si>
  <si>
    <t xml:space="preserve">Ea Enerrgy Analyses (2013)  "Analysis of biomass prices, future Danish prices for straw, wood chips and wood pellets (draft 21-03-2013)", </t>
  </si>
  <si>
    <t>COWI/SDU 2013: Life Cycle Assessment of bioenergy pathways for the future Danish energy system</t>
  </si>
  <si>
    <t>IFPRI (2010): Global Trade and Environmental Impact Study of the EU Biofuels Mandate</t>
  </si>
  <si>
    <t>EU projektet Railenergy (www.railenergy.eu)</t>
  </si>
  <si>
    <t>"European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</si>
  <si>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Baseret på viden og praktisk erfaring fra tekniske eksperter fra jernbanesektoren i Danmark og internationale faglige netværk</t>
  </si>
  <si>
    <t>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</si>
  <si>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Lokalbanen, www.lokalbanen.dk/om-lokalbanen/miljoe</t>
  </si>
  <si>
    <t>ETH, Zürich, http://www.ethlife.ethz.ch/archive_articles/130912_erdgasdieselhybrid_cn/index_EN</t>
  </si>
  <si>
    <t>Bilag til lokalbaneplan for Østbanen, Region Sjælland</t>
  </si>
  <si>
    <t>RAMMEVILKÅR FOR GAS TIL TUNG VEJTRANSPORT, Energistyrelsen, 2014</t>
  </si>
  <si>
    <t>Maritime Economics, Martin Stopford, 3rd edition, 2009, chapter 13, Routledge</t>
  </si>
  <si>
    <t>Fast Ferry International, http://www.fastferryinfo.com/</t>
  </si>
  <si>
    <t>Upstream Emissions of Fossil Fuel Feedstocks for Transport Fuels Consumed in the EU, International Council on Clean Transportation (ICCT), 2014.</t>
  </si>
  <si>
    <t>Energiscenarier frem mod 2020, 2035 og 2050. 2014, Energistyrelsen</t>
  </si>
  <si>
    <t>Arriva elbusprojekt, korrespondance med Joachim Reinhard Danchell, Movia, 14/10-2014</t>
  </si>
  <si>
    <t>Forudsætninger for samfundsøkonomiske analyser på energiområdet, Energistyrelsen, 2014</t>
  </si>
  <si>
    <t>Danmarks energi- og klimafremskrivning 2014, Energistyrelsen, 2014</t>
  </si>
  <si>
    <t>Efficiency and cost evolution of zero carbon technology pathways to 2050: The case of light duty battery electric vehicles (BEVs), Cuenot, 2014, Energistyrelsen</t>
  </si>
  <si>
    <t>Lifecycle Analysis Comparison of a Battery Electric Vehicle and a Conventional Gasoline Vehicle, Aguirre et al. 2012, Californian Air Ressource Board</t>
  </si>
  <si>
    <t>CO2 emissions from fuel combustion - highlights, 2013, IEA</t>
  </si>
  <si>
    <t>World Energy Outlook, 2014, IEA</t>
  </si>
  <si>
    <t>COWI/SDU: Carbon footprint of bioenergy pathways for the future Danish energy system, main report, 2014</t>
  </si>
  <si>
    <t>JEC WTW study Version 4a,  2014</t>
  </si>
  <si>
    <t>EUDP: "Technology data for hydrogen technologies", part of "Analysis for commercialization of hydrogen technologies" 2015</t>
  </si>
  <si>
    <t>US DOE: "Fuel Cell System Cost - 2013" http://www.hydrogen.energy.gov/pdfs/14012_fuel_cell_system_cost_2013.pdf</t>
  </si>
  <si>
    <t>Electric Power Research Institute (2013): Total Cost of Ownership Model for Current Plug-in Electric Vehicles</t>
  </si>
  <si>
    <t>Validering af energiforbrugsdata for køretøjer i AD modellen. Teknologisk Institut, 2015</t>
  </si>
  <si>
    <t>Analyse nr. 18- Fremtidig vejtransport, 2015, Dansk Energi</t>
  </si>
  <si>
    <t>ADDITION OF MATERIALS DATA TO THE DANISH TRANSPORTATION LCA MODEL, (S&amp;T)2 Consultants Inc., 2014</t>
  </si>
  <si>
    <t>A case for Life Cycle Assessment Light Duty Truck Vehicle, WorldSteelAuto 2014</t>
  </si>
  <si>
    <t>9000 TEU container ship - overall efficiency - propulsion and auxiliary power included, Notat fra Hans Otto Kristensen, 2015</t>
  </si>
  <si>
    <t>REVIEW OF TECHNOLOGY DATA FOR ADVANCED BIOENERGY FUELS</t>
  </si>
  <si>
    <t>Landbrug og Fødevarers prisdatabase, september 2015</t>
  </si>
  <si>
    <t>Ciriminna et al. 2014: Understanding the glycerol market. European journal og lipid science and technology.</t>
  </si>
  <si>
    <t>International Energy Agency: World Energy Outlook 2014</t>
  </si>
  <si>
    <t>GHGenius 4.03a, http://www.ghgenius.ca/</t>
  </si>
  <si>
    <t>Less oil, more CO2? ASPO Netherlands, 2009, http://www.peakoil.nl/wp-content/uploads/2009/05/april_2009_less_oil_more_co2_aspo_netherlands.pdf</t>
  </si>
  <si>
    <t>Dansk Eenrgi Transportmodel v. 5.0</t>
  </si>
  <si>
    <t>Energiforbrug for tog og fly, Teknologisk Institut, 2016</t>
  </si>
  <si>
    <t>2015</t>
  </si>
  <si>
    <t>TRAHFO</t>
  </si>
  <si>
    <t>Transport Freight Ship National - Diesel Engine - Blending 2 - New</t>
  </si>
  <si>
    <t>Transport Freight Ship National - Diesel Engine - Blending 3 - New</t>
  </si>
  <si>
    <t>Transport Freight Ship National - Diesel Engine - Blending 4 - New</t>
  </si>
  <si>
    <t>MKr11</t>
  </si>
  <si>
    <t>Transport Passengers Motorcycle - Gasoline Engine - Blending2 - New</t>
  </si>
  <si>
    <t>Transport Passengers Motorcycle - Gasoline Engine - Blending3 - New</t>
  </si>
  <si>
    <t>Transport Passengers Motorcycle - Gasoline Engine - Blending4 - New</t>
  </si>
  <si>
    <t>Transport Passengers Moped - Gasoline Engine - Blending2 - New</t>
  </si>
  <si>
    <t>Transport Passengers Moped - Gasoline Engine - Blending3 - New</t>
  </si>
  <si>
    <t>Transport Passengers Moped - Gasoline Engine - Blending4 - New</t>
  </si>
  <si>
    <t>Transport Passengers Motorcycle - Dedicated ethanol - New</t>
  </si>
  <si>
    <t>Transport Passengers Moped - Dedicated ethanol - New</t>
  </si>
  <si>
    <t>Transport Passengers - Electric Bike - New</t>
  </si>
  <si>
    <t>Transport Passengers - Bicycle - New</t>
  </si>
  <si>
    <t>Transport Passengers Car - Flex-Fuel Ethanol - Average size - New</t>
  </si>
  <si>
    <t>PHEV</t>
  </si>
  <si>
    <t>Transport Passengers Car - Hybrid Electric Vehicle Gasoline 2 - Average size - New</t>
  </si>
  <si>
    <t>Transport Passengers Car - Hybrid Electric Vehicle Gasoline 3 - Average size - New</t>
  </si>
  <si>
    <t>Transport Passengers Car - Hybrid Electric Vehicle Gasoline 4 - Average size - New</t>
  </si>
  <si>
    <t>All new transport technologies to be added in the SubRES</t>
  </si>
  <si>
    <t>TRADSB</t>
  </si>
  <si>
    <t>Transport Freight Truck -RME - New</t>
  </si>
  <si>
    <t>Transport passenger Ship National - Diesel Engine - Blending 2 - New</t>
  </si>
  <si>
    <t>Transport passenger Ship National - Diesel Engine - Blending 3 - New</t>
  </si>
  <si>
    <t>Transport passenger Ship National - Diesel Engine - Blending 4 - New</t>
  </si>
  <si>
    <t>km/MJ</t>
  </si>
  <si>
    <t>Mvehcikm/MJ</t>
  </si>
  <si>
    <t>Mvehcikm/PJ</t>
  </si>
  <si>
    <t>tons of goods</t>
  </si>
  <si>
    <t>tkm</t>
  </si>
  <si>
    <t>National</t>
  </si>
  <si>
    <t>International</t>
  </si>
  <si>
    <t>Demand in base year</t>
  </si>
  <si>
    <t>km/year</t>
  </si>
  <si>
    <t>Number of ships required</t>
  </si>
  <si>
    <t>Mvehci*km/PJ</t>
  </si>
  <si>
    <t>ACTFLO~DEMO</t>
  </si>
  <si>
    <t>passengers/vehicle</t>
  </si>
  <si>
    <t>MKr15</t>
  </si>
  <si>
    <t>Passengers/vehicle</t>
  </si>
  <si>
    <t>AFA</t>
  </si>
  <si>
    <t>Max km per year</t>
  </si>
  <si>
    <t>Transport Passengers Car - Battery Electric Vehicle - Average battery size - New</t>
  </si>
  <si>
    <t>SHARE-I</t>
  </si>
  <si>
    <t>Share-I~LO~0</t>
  </si>
  <si>
    <t>Share-O~FX~0</t>
  </si>
  <si>
    <t>Occupancy in base year</t>
  </si>
  <si>
    <t>(Mvehic*km)/PJ</t>
  </si>
  <si>
    <t>CEFF-I</t>
  </si>
  <si>
    <t>Share-I~0</t>
  </si>
  <si>
    <t>Battery</t>
  </si>
  <si>
    <t>Transport Passengers Public Buses - Electric - New</t>
  </si>
  <si>
    <t>Transport Passengers Coaches - Electric - New</t>
  </si>
  <si>
    <t>Transport Passengers Public Buses - Diesel Hybrid - Blending 2 - New</t>
  </si>
  <si>
    <t>Transport Passengers Public Buses - Diesel Hybrid - Blending 3 - New</t>
  </si>
  <si>
    <t>Transport Passengers Public Buses - Diesel Hybrid - Blending 4 - New</t>
  </si>
  <si>
    <t>Transport Passengers Coaches - Diesel Hybrid - Blending 2 - New</t>
  </si>
  <si>
    <t>Transport Passengers Coaches - Diesel Hybrid - Blending 3 - New</t>
  </si>
  <si>
    <t>Transport Passengers Coaches - Diesel Hybrid - Blending 4 - New</t>
  </si>
  <si>
    <t>fx</t>
  </si>
  <si>
    <t>MKr13</t>
  </si>
  <si>
    <t>TRANGBL2</t>
  </si>
  <si>
    <t>TRANGBL3</t>
  </si>
  <si>
    <t>TRANGBL4</t>
  </si>
  <si>
    <t>Transport Passengers Public Buses - Diesel Engine - Blending 2 - New</t>
  </si>
  <si>
    <t>Transport Passengers Public Buses - Diesel Engine- Blending 3 - New</t>
  </si>
  <si>
    <t>Transport Passengers Public Buses - Diesel Engine - Blending 4 - New</t>
  </si>
  <si>
    <t>Transport Passengers Coaches - Diesel Engine - Blending 2 - New</t>
  </si>
  <si>
    <t>Transport Passengers Coaches - Diesel Engine- Blending 3 - New</t>
  </si>
  <si>
    <t>Transport Passengers Coaches - Diesel Engine - Blending 4 - New</t>
  </si>
  <si>
    <t>Transport Passengers Public Buses - Gas Engine - Blending 2 - New</t>
  </si>
  <si>
    <t>Transport Passengers Public Buses - Gas Engine- Blending 3 - New</t>
  </si>
  <si>
    <t>Transport Passengers Public Buses - Gas Engine - Blending 4 - New</t>
  </si>
  <si>
    <t>Transport Passengers Coaches - Gas Engine - Blending 2 - New</t>
  </si>
  <si>
    <t>Transport Passengers Coaches - Gas Engine- Blending 3 - New</t>
  </si>
  <si>
    <t>Transport Passengers Coaches - Gas Engine - Blending 4 - New</t>
  </si>
  <si>
    <t>Transport Passengers Rail S-train - Electric - New</t>
  </si>
  <si>
    <t>kr/seat =</t>
  </si>
  <si>
    <t>Mkr/kseat</t>
  </si>
  <si>
    <t>Transport Passengers Rail Metro - Electric  - New</t>
  </si>
  <si>
    <t>Transport Passengers Rail Other train - Electric - New</t>
  </si>
  <si>
    <t>Transport Passengers Rail Other train - Diesel Engine - Blending 2 - New</t>
  </si>
  <si>
    <t>Transport Passengers Rail Other train - Diesel Engine - Blending 3 - New</t>
  </si>
  <si>
    <t>Transport Passengers Rail Other train - Diesel Engine - Blending 4 - New</t>
  </si>
  <si>
    <t>CAPUNIT</t>
  </si>
  <si>
    <t>Transport Passengers - Walk - New</t>
  </si>
  <si>
    <t>DKK/moto</t>
  </si>
  <si>
    <t>Assumptions costs moto and mopeds</t>
  </si>
  <si>
    <t>Assumptions for costs</t>
  </si>
  <si>
    <t>DKK/vehicle</t>
  </si>
  <si>
    <t>TPPANKEBL1E</t>
  </si>
  <si>
    <t>TPPAIKEBL1E</t>
  </si>
  <si>
    <t>TPPANAVGSLE</t>
  </si>
  <si>
    <t>Mvkm/PJ</t>
  </si>
  <si>
    <t>TFFAIKEBL1E</t>
  </si>
  <si>
    <t>€/moto</t>
  </si>
  <si>
    <t>45, "European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</si>
  <si>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Varom costs</t>
  </si>
  <si>
    <t>Only including mantainance of rolling stock</t>
  </si>
  <si>
    <t>From: Civity, European Benchmarking of the costs, performance and revenues of GB TOCs, Final Report</t>
  </si>
  <si>
    <t>Commuter train</t>
  </si>
  <si>
    <t>DKK/trainkm</t>
  </si>
  <si>
    <t>Regional train</t>
  </si>
  <si>
    <t>Long distance train</t>
  </si>
  <si>
    <t>From: EA - Vehicle energy use and costs</t>
  </si>
  <si>
    <t>Transport Passengers Air National - Biokerosene 2- New</t>
  </si>
  <si>
    <t>Transport Passengers Air National - Aviation Gasoline 2 - New</t>
  </si>
  <si>
    <t>Transport Passengers Air National - Aviation Gasoline 3 - New</t>
  </si>
  <si>
    <t>Transport Passengers Air National - Aviation Gasoline 4 - New</t>
  </si>
  <si>
    <t>Transport Passengers Air International - Biokerosene 2 - New</t>
  </si>
  <si>
    <t>Transport Passengers Air International - Biokerosene 3 - New</t>
  </si>
  <si>
    <t>Transport Passengers Air International - Biokerosene 4 - New</t>
  </si>
  <si>
    <t>Transport Freight Air International - Biokerosene 2 - New</t>
  </si>
  <si>
    <t>Transport Freight Air International - Biokerosene 3 - New</t>
  </si>
  <si>
    <t>Transport Freight Air International - Biokerosene 4 - New</t>
  </si>
  <si>
    <t>TRAKEBL2</t>
  </si>
  <si>
    <t>TRAKEBL3</t>
  </si>
  <si>
    <t>TRAKEBL4</t>
  </si>
  <si>
    <t>Transport Passengers Car - Diesel Engine - Blending 2 - Average size - New</t>
  </si>
  <si>
    <t>Transport Passengers Car - Diesel Engine - Blending 3 - Average size - New</t>
  </si>
  <si>
    <t>Transport Passengers Car - Diesel Engine - Blending 4 - Average size - New</t>
  </si>
  <si>
    <t>Transport Passengers Car - Otto Engine - Blending 2 - Average size - New</t>
  </si>
  <si>
    <t>Transport Passengers Car - Otto Engine - Blending 3 - Average size - New</t>
  </si>
  <si>
    <t>Transport Passengers Car - Otto Engine - Blending 4 - Average size - New</t>
  </si>
  <si>
    <t>Transport Passengers Car - Gas Engine - Blending 2 - Average size - New</t>
  </si>
  <si>
    <t>Transport Passengers Car - Gas Engine - Blending 3 - Average size - New</t>
  </si>
  <si>
    <t>Transport Passengers Car - Gas Engine - Blending 4 - Average size - New</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</si>
  <si>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</si>
  <si>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</si>
  <si>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</si>
  <si>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</si>
  <si>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Transport Freight Truck - Diesel Engine - Blending 2 - New</t>
  </si>
  <si>
    <t>Transport Freight Truck - Diesel Engine - Blending 3 - New</t>
  </si>
  <si>
    <t>Transport Freight Truck - Diesel Engine - Blending 4 - New</t>
  </si>
  <si>
    <t>Transport Freight Truck - Gas Engine - Blending 2 - New</t>
  </si>
  <si>
    <t>Transport Freight Truck - Gas Engine - Blending 3 - New</t>
  </si>
  <si>
    <t>Transport Freight Truck - Gas Engine - Blending 4 - New</t>
  </si>
  <si>
    <t>Transport Freight Van - Diesel Engine - Blending 2 - New</t>
  </si>
  <si>
    <t>Transport Freight Van - Diesel Engine - Blending 3 - New</t>
  </si>
  <si>
    <t>Transport Freight Van - Diesel Engine - Blending 4 - New</t>
  </si>
  <si>
    <t>Transport Freight Van - Otto Engine - Blending 2 - New</t>
  </si>
  <si>
    <t>Transport Freight Van - Otto Engine - Blending 3 - New</t>
  </si>
  <si>
    <t>Transport Freight Van - Otto Engine - Blending 4 - New</t>
  </si>
  <si>
    <t>Transport Freight Van - Electricity - New</t>
  </si>
  <si>
    <t>Efficiency improvement</t>
  </si>
  <si>
    <t>Transport Freight Train - Diesel Engine - Blending 2 - New</t>
  </si>
  <si>
    <t>Transport Freight Train - Diesel Engine - Blending 3 - New</t>
  </si>
  <si>
    <t>Transport Freight Train - Diesel Engine - Blending 4 - New</t>
  </si>
  <si>
    <t>Transport Freight Train - Electric - New</t>
  </si>
  <si>
    <t>Transport Freight Ship Internnational - Fuel Oil - Blending 2 - New</t>
  </si>
  <si>
    <t>Transport Freight Ship Internnational - Fuel Oil - Blending 3 - New</t>
  </si>
  <si>
    <t>Transport Freight Ship Internnational - Fuel Oil - Blending 4 - New</t>
  </si>
  <si>
    <t>Transport passenger Ship Internnational - Fuel Oil - Blending 2 - New</t>
  </si>
  <si>
    <t>Transport passenger Ship Internnational - Fuel Oil - Blending 3 - New</t>
  </si>
  <si>
    <t>Transport passenger Ship Internnational - Fuel Oil - Blending 4 - New</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</si>
  <si>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</si>
  <si>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</si>
  <si>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</si>
  <si>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</si>
  <si>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</si>
  <si>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19, Emails fra Kurt Vinther (kurt.vinther@volvo.com), Volvo d. 23/1-2012</t>
  </si>
  <si>
    <t>80, Energiforbrug for tog og fly, Teknologisk Institut, 2016</t>
  </si>
  <si>
    <t>46, Baseret på viden og praktisk erfaring fra tekniske eksperter fra jernbanesektoren i Danmark og internationale faglige netværk</t>
  </si>
  <si>
    <t>39, Niras (2011). Strategisk analyse af electrificering af banenettet - Opgave A, strategianalysen. Banedanmark.</t>
  </si>
  <si>
    <t>47, 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</si>
  <si>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50, Bilag til lokalbaneplan for Østbanen, Region Sjælland</t>
  </si>
  <si>
    <t>48, Lokalbanen, www.lokalbanen.dk/om-lokalbanen/miljoe</t>
  </si>
  <si>
    <t>15, Oplysninger per email fra Steffen Müller, produktionschef i Volvo Danmark, november 2011</t>
  </si>
  <si>
    <t>52, Maritime Economics, Martin Stopford, 3rd edition, 2009, chapter 13, Routledge</t>
  </si>
  <si>
    <t>72, 9000 TEU container ship - overall efficiency - propulsion and auxiliary power included, Notat fra Hans Otto Kristensen, 2015</t>
  </si>
  <si>
    <t>24, SHIP-DESMO-Container Ship - 1 January 2014.xls - https://www.shipowners.dk/services/beregningsvaerktoejer/</t>
  </si>
  <si>
    <t>53, Fast Ferry International, http://www.fastferryinfo.com/</t>
  </si>
  <si>
    <t>Share-O~UP~0</t>
  </si>
  <si>
    <t>TPMTS</t>
  </si>
  <si>
    <t>TPMTM</t>
  </si>
  <si>
    <t>TPMTL</t>
  </si>
  <si>
    <t>TPMPS</t>
  </si>
  <si>
    <t>TPMPM</t>
  </si>
  <si>
    <t>TPMPL</t>
  </si>
  <si>
    <t>TPBIS</t>
  </si>
  <si>
    <t>TPBIM</t>
  </si>
  <si>
    <t>TRAH2G</t>
  </si>
  <si>
    <t>Share-O~UP~2012</t>
  </si>
  <si>
    <t>TPCAX</t>
  </si>
  <si>
    <t>TPCAS</t>
  </si>
  <si>
    <t>TPCAM</t>
  </si>
  <si>
    <t>TPCAL</t>
  </si>
  <si>
    <t/>
  </si>
  <si>
    <t>TRAGSBL5</t>
  </si>
  <si>
    <t>TPMPX</t>
  </si>
  <si>
    <t>TPBIX</t>
  </si>
  <si>
    <t>TPWAX</t>
  </si>
  <si>
    <t>TPWAS</t>
  </si>
  <si>
    <t>TPBUX</t>
  </si>
  <si>
    <t>TPBUS</t>
  </si>
  <si>
    <t>TPBUM</t>
  </si>
  <si>
    <t>TPBUL</t>
  </si>
  <si>
    <t>TPCOS</t>
  </si>
  <si>
    <t>TPCOM</t>
  </si>
  <si>
    <t>TPCOL</t>
  </si>
  <si>
    <t>TPRSX</t>
  </si>
  <si>
    <t>TPRSS</t>
  </si>
  <si>
    <t>TPRSM</t>
  </si>
  <si>
    <t>TPRMX</t>
  </si>
  <si>
    <t>TPRMS</t>
  </si>
  <si>
    <t>TPROS</t>
  </si>
  <si>
    <t>TPROM</t>
  </si>
  <si>
    <t>TPROL</t>
  </si>
  <si>
    <t>TFTRS</t>
  </si>
  <si>
    <t>TFTRN</t>
  </si>
  <si>
    <t>TFTRI</t>
  </si>
  <si>
    <t>TFVAS</t>
  </si>
  <si>
    <t>TFVAL</t>
  </si>
  <si>
    <t>TFSNH</t>
  </si>
  <si>
    <t>TFSIH</t>
  </si>
  <si>
    <t>TPSNH</t>
  </si>
  <si>
    <t>TPSIH</t>
  </si>
  <si>
    <t>TPANV</t>
  </si>
  <si>
    <t>TPAIV</t>
  </si>
  <si>
    <t>TFAIV</t>
  </si>
  <si>
    <t>TRAAGSL</t>
  </si>
  <si>
    <t>Date</t>
  </si>
  <si>
    <t>Name</t>
  </si>
  <si>
    <t>Sheet Name</t>
  </si>
  <si>
    <t>Cells</t>
  </si>
  <si>
    <t>Comments</t>
  </si>
  <si>
    <t>Olexandr Balyk</t>
  </si>
  <si>
    <t>TRA_Bikes</t>
  </si>
  <si>
    <t>Removed input commodity and efficiency for this process</t>
  </si>
  <si>
    <t>TRA_Walk</t>
  </si>
  <si>
    <t>NCAP_AFA</t>
  </si>
  <si>
    <t>Mileage, km</t>
  </si>
  <si>
    <t>TRA_Cars</t>
  </si>
  <si>
    <t>Added availability factor for cars (moved from trans)</t>
  </si>
  <si>
    <t>EU El personbil</t>
  </si>
  <si>
    <t>Update from Mikkel on battery cost</t>
  </si>
  <si>
    <t>Update from Mikkel on power train cost</t>
  </si>
  <si>
    <t>Mikkel added conversion to DKK</t>
  </si>
  <si>
    <t>EU Plugin Hybrid personbil</t>
  </si>
  <si>
    <t>Mikkel's changes. Same battery costs as for EVs</t>
  </si>
  <si>
    <t>Compact</t>
  </si>
  <si>
    <t>2010 Lab Year</t>
  </si>
  <si>
    <t>2015 Lab Year</t>
  </si>
  <si>
    <t>2020 Lab Year</t>
  </si>
  <si>
    <t>2025 Lab Year</t>
  </si>
  <si>
    <t>2030 Lab Year</t>
  </si>
  <si>
    <t>2045 Lab Year</t>
  </si>
  <si>
    <t>low tech</t>
  </si>
  <si>
    <t>avg tech</t>
  </si>
  <si>
    <t>high tech</t>
  </si>
  <si>
    <t>SI Conv</t>
  </si>
  <si>
    <t>Vehicle Cost LOW</t>
  </si>
  <si>
    <t>Vehicle Cost AVG</t>
  </si>
  <si>
    <t>Vehicle Cost HIGH</t>
  </si>
  <si>
    <t>CI Conv</t>
  </si>
  <si>
    <t>H2 Conv</t>
  </si>
  <si>
    <t>E85 Conv</t>
  </si>
  <si>
    <t>CNG Conv</t>
  </si>
  <si>
    <t>SI Split HEV</t>
  </si>
  <si>
    <t>SI Erev HEV PHEV40</t>
  </si>
  <si>
    <t>CI Split HEV</t>
  </si>
  <si>
    <t>CI Erev HEV PHEV40</t>
  </si>
  <si>
    <t>H2 Split HEV</t>
  </si>
  <si>
    <t>H2 Split HEV PHEV10</t>
  </si>
  <si>
    <t>H2 Split HEV PHEV20</t>
  </si>
  <si>
    <t>H2 Erev HEV PHEV30</t>
  </si>
  <si>
    <t>H2 Erev HEV PHEV40</t>
  </si>
  <si>
    <t>E85 Split HEV</t>
  </si>
  <si>
    <t>E85 Split HEV PHEV20</t>
  </si>
  <si>
    <t>E85 Erev HEV PHEV30</t>
  </si>
  <si>
    <t>E85 Erev HEV PHEV40</t>
  </si>
  <si>
    <t>FC HEV</t>
  </si>
  <si>
    <t>FC HEV PHEV10</t>
  </si>
  <si>
    <t>FC HEV PHEV20</t>
  </si>
  <si>
    <t>FC HEV PHEV30</t>
  </si>
  <si>
    <t>FC HEV PHEV40</t>
  </si>
  <si>
    <t>BEV DM-100</t>
  </si>
  <si>
    <t>BEV 100</t>
  </si>
  <si>
    <t>BEV DM-200</t>
  </si>
  <si>
    <t>BEV 200</t>
  </si>
  <si>
    <t>BEV DM-300</t>
  </si>
  <si>
    <t>BEV 300</t>
  </si>
  <si>
    <t>CNG Split HEV</t>
  </si>
  <si>
    <t>CNG Split HEV PHEV10</t>
  </si>
  <si>
    <t>CNG Split HEV PHEV20</t>
  </si>
  <si>
    <t>CNG Erev HEV PHEV30</t>
  </si>
  <si>
    <t>CNG Erev HEV PHEV40</t>
  </si>
  <si>
    <t>Car type</t>
  </si>
  <si>
    <t>Fuel</t>
  </si>
  <si>
    <t>All costs are in USD</t>
  </si>
  <si>
    <t>Petrol</t>
  </si>
  <si>
    <t xml:space="preserve">Hydrogen </t>
  </si>
  <si>
    <t>Ethanoel</t>
  </si>
  <si>
    <t>Petrol Electricity</t>
  </si>
  <si>
    <t>Diesel Electricity</t>
  </si>
  <si>
    <t>Ethanol Electricity</t>
  </si>
  <si>
    <t>Electricity</t>
  </si>
  <si>
    <t>Hydrogen Electricity</t>
  </si>
  <si>
    <t xml:space="preserve">Gas </t>
  </si>
  <si>
    <t>Gas Electricity</t>
  </si>
  <si>
    <t>Data sheet on investment costs of cars before taxes and VAT, the average tech and cost group has been selected as reference for the TIMES-DK model</t>
  </si>
  <si>
    <t>Three cost groups have been used, low, average and high</t>
  </si>
  <si>
    <t>Three risk levels has been used, calculated based on a monte carlo analysis, corrosponding to; 10 % uncertainty (alligned with original-equipment-manufacturer (OEM) improvements based on regulations, 50 % uncertainty, and 90 % uncertainty (alligned with agreesive technology advancement based on the DOE VTO)</t>
  </si>
  <si>
    <t>Data sheet used for lookups in the background data</t>
  </si>
  <si>
    <t>cost group</t>
  </si>
  <si>
    <t>car type</t>
  </si>
  <si>
    <t>Fuel cell</t>
  </si>
  <si>
    <t>Gas PHEV</t>
  </si>
  <si>
    <t>Petrol Hybrids</t>
  </si>
  <si>
    <t>Ethanoel hybrids</t>
  </si>
  <si>
    <t>Ethanoel PHEV</t>
  </si>
  <si>
    <t>Gas Hybrids</t>
  </si>
  <si>
    <t>Possible additions to car stock</t>
  </si>
  <si>
    <t>tech level</t>
  </si>
  <si>
    <t>MKr16</t>
  </si>
  <si>
    <t>DKK/USD</t>
  </si>
  <si>
    <t>USD conversion</t>
  </si>
  <si>
    <t>Average lifetime of vehicels is assumed to be 16 year based on the "Alternative drivmiddel-modellen", Oktober 2017</t>
  </si>
  <si>
    <t>Average annual distance per vehicles is assumed to be 18000 km/year, based on the "Alternative drivmiddel-modellen", Oktober 2017</t>
  </si>
  <si>
    <t>Assumptions specific for Denmark:</t>
  </si>
  <si>
    <t>city fraction:</t>
  </si>
  <si>
    <t>min ajd factor:</t>
  </si>
  <si>
    <t>UDDS</t>
  </si>
  <si>
    <t>EV Only</t>
  </si>
  <si>
    <t>Wh/mile</t>
  </si>
  <si>
    <t>Distance</t>
  </si>
  <si>
    <t>miles</t>
  </si>
  <si>
    <t>HWFET</t>
  </si>
  <si>
    <t>Combined</t>
  </si>
  <si>
    <t>Wh/m, Adj</t>
  </si>
  <si>
    <t>Wh/mile for Battery Energy Consumption</t>
  </si>
  <si>
    <t>MPGGE for Engine Fuel Economy</t>
  </si>
  <si>
    <t>MPGGE: Miles per Gallon Gasoline Equivalent</t>
  </si>
  <si>
    <t>CD</t>
  </si>
  <si>
    <t>MPGGE Unadjusted</t>
  </si>
  <si>
    <t>MPGGE Adjusted</t>
  </si>
  <si>
    <t>CS</t>
  </si>
  <si>
    <t>CD+CS</t>
  </si>
  <si>
    <t>Unadjusted</t>
  </si>
  <si>
    <t>Adjusted</t>
  </si>
  <si>
    <t>The Single-mode (input split) for car and only Multi-mode for trucks</t>
  </si>
  <si>
    <t>This worksheet describes Conventional, Hybrid and Fuel Cell vehicle Fuel Economy in Miles per Gallon</t>
  </si>
  <si>
    <t>Abbreviation</t>
  </si>
  <si>
    <t>Description</t>
  </si>
  <si>
    <t>City Cycle</t>
  </si>
  <si>
    <t>Highway Cycle</t>
  </si>
  <si>
    <t>Unadjusted Fuel Economy values</t>
  </si>
  <si>
    <t>Adjusted Fuel Economy values</t>
  </si>
  <si>
    <t>Efficiency for BEV</t>
  </si>
  <si>
    <t>Efficiency for PHEV in both primary fuel and electricity consumption</t>
  </si>
  <si>
    <t>MJ/L</t>
  </si>
  <si>
    <t>Samlede kørselsomkostninger</t>
  </si>
  <si>
    <r>
      <t xml:space="preserve">Her er alle kørselsomkostningerne samlet og opgjort som gennemsnitlige og marginale omkostninger henholdsvis uden og med afgifter. Omkostningerne omfatter drivmiddel, dæk, reparation og vedligehold (inkl. olie og ejerafgift for så vidt angår de gennemsnitlige omkostninger inkl. afgifter) samt afskrivninger. Omkostningerne er baseret på et studie af Cowi 2016 </t>
    </r>
    <r>
      <rPr>
        <i/>
        <sz val="10"/>
        <rFont val="Arial"/>
        <family val="2"/>
      </rPr>
      <t xml:space="preserve">Opdatering af kørselsomkostninger i transportøkonomiske enhedspriser, </t>
    </r>
    <r>
      <rPr>
        <sz val="10"/>
        <rFont val="Arial"/>
        <family val="2"/>
      </rPr>
      <t>hvor omkostninger er opgjort for en række typiske konkrete biler i bilparken. De er baseret på reglerne for afgifterne for 2016. Der foreligger et regneark med mere detaljerede oplysninger om de enkeltre biltyper og deres sammenvejning. Omkostningerne varierer over tid grundet ændringer i priser på drivmidler og forbedringer af energieffektiviteten.</t>
    </r>
  </si>
  <si>
    <t>Kørselsomkostninger for benzin-personbiler opgjort som gennemsnitlige omkostninger med og uden afgifter</t>
  </si>
  <si>
    <t>priser</t>
  </si>
  <si>
    <t>kr./km</t>
  </si>
  <si>
    <t>ekskl. afgifter</t>
  </si>
  <si>
    <t>Dæk</t>
  </si>
  <si>
    <t>Reparation og vedligeholdelse</t>
  </si>
  <si>
    <t>Afskrivninger</t>
  </si>
  <si>
    <t>inkl. afgifter</t>
  </si>
  <si>
    <t>Ejerafgift</t>
  </si>
  <si>
    <t>Kørselsomkostninger for benzin-personbiler opgjort som marginale omkostninger med og uden afgifter</t>
  </si>
  <si>
    <t>Kørselsomkostninger for diesel-personbiler opgjort som gennemsnitlige omkostninger med og uden afgifter</t>
  </si>
  <si>
    <t>Kørselsomkostninger for diesel-personbiler opgjort som marginale omkostninger med og uden afgifter</t>
  </si>
  <si>
    <t>Kørselsomkostninger for Hybrid-personbiler opgjort som gennemsnitlige omkostninger med og uden afgifter</t>
  </si>
  <si>
    <t xml:space="preserve">Note: Benzindreven </t>
  </si>
  <si>
    <t>Kørselsomkostninger for hybrid-personbiler opgjort som marginale omkostninger med og uden afgifter</t>
  </si>
  <si>
    <t>Kørselsomkostninger for el-personbiler opgjort som gennemsnitlige omkostninger med og uden afgifter</t>
  </si>
  <si>
    <t>Note: Elbiler er fritaget for registrerings- og ejerafgift til og med 2015, og her er fritagelsen beregningsteknisk fortsat derefter.Ifølge aftale af 9/10 2015 indfases afgifterne i perioden 2016-2020, men små elbiler, som er repræsenteret ovenfor, vil få en ret lav afgift.</t>
  </si>
  <si>
    <t>Kørselsomkostninger for el-personbiler opgjort som marginale omkostninger med og uden afgifter</t>
  </si>
  <si>
    <t>Average operation and maintenance costs for vehicles according to fuel type</t>
  </si>
  <si>
    <t xml:space="preserve">Fuel cell cars assumed to have the same operation and maintenance costs as hybrids as the current car types avaiable on the market is a hybrid fuel cell/electric </t>
  </si>
  <si>
    <t>Gas cars assumed to have the same operation and maintenance costs as petrol cars as the current car types avaiable on the market is a modified spark ignition engine</t>
  </si>
  <si>
    <t>Driving parameter</t>
  </si>
  <si>
    <t>Efficiency parameter</t>
  </si>
  <si>
    <t>convesion factor for eff</t>
  </si>
  <si>
    <t>Fuel type</t>
  </si>
  <si>
    <t>Unit</t>
  </si>
  <si>
    <t>MJ/kWh</t>
  </si>
  <si>
    <t>Efficiency for single fuel vehicles in Miles per Gallon petrol eq.</t>
  </si>
  <si>
    <t xml:space="preserve">Efficency </t>
  </si>
  <si>
    <t>Share of trafic work</t>
  </si>
  <si>
    <t>Weighted share</t>
  </si>
  <si>
    <t>3) Adjustning efficiency parameters to replicate energy statistics in base year (2010) from the VT_DK_TRA sheet</t>
  </si>
  <si>
    <t>MPGGE to km/l or Wh/m to Wh/km</t>
  </si>
  <si>
    <t>use this value</t>
  </si>
  <si>
    <t>efficiency of cars</t>
  </si>
  <si>
    <t>reference eff</t>
  </si>
  <si>
    <t>TRAELCEV</t>
  </si>
  <si>
    <t>assumed similar trend between diesel and electric vans as are spesent for cars</t>
  </si>
  <si>
    <t>Mikkel Bosack Simonsen</t>
  </si>
  <si>
    <t>TRA_TRUCKS</t>
  </si>
  <si>
    <t>Updates of vans investment costs according to the sources and updated Electric vans to develop at the same trend as for cars</t>
  </si>
  <si>
    <t>All vehicles</t>
  </si>
  <si>
    <t>all</t>
  </si>
  <si>
    <t>Updates of car costs and efficiencies, based on the source autonomie.net</t>
  </si>
  <si>
    <t xml:space="preserve">Updates of efficiency of allvehicles, new vehicles are based on efficiencies for new vehicles rather than existing stock. Source for all other vehicles than cars are based on the "transportmodellen" </t>
  </si>
  <si>
    <t xml:space="preserve">Reference of efficiency for busses, taken from the VT_DK_TRA </t>
  </si>
  <si>
    <t>Driving pattern</t>
  </si>
  <si>
    <t>Extra Short &lt;5 km</t>
  </si>
  <si>
    <t>Short 5-25 km</t>
  </si>
  <si>
    <t>Medium 25-50 km</t>
  </si>
  <si>
    <t>Long &gt;50 km</t>
  </si>
  <si>
    <t>AVG. Eff</t>
  </si>
  <si>
    <t xml:space="preserve">Public busses </t>
  </si>
  <si>
    <t>Coaches</t>
  </si>
  <si>
    <t>Note: source is based on public city busses, therefore the efficiency is assumed to develop at similar pace for coaches</t>
  </si>
  <si>
    <t>for now not used</t>
  </si>
  <si>
    <t>Metro</t>
  </si>
  <si>
    <t>S-Train</t>
  </si>
  <si>
    <t>electric</t>
  </si>
  <si>
    <t>Other train</t>
  </si>
  <si>
    <t>Type</t>
  </si>
  <si>
    <t>it is assumed that metro and s train have the same efficiency as normal electric trains</t>
  </si>
  <si>
    <t>seats assumptions</t>
  </si>
  <si>
    <t>S-train</t>
  </si>
  <si>
    <t>Source for S-Train and other trains</t>
  </si>
  <si>
    <t>Assumed to be half of S-Train</t>
  </si>
  <si>
    <t>Truck</t>
  </si>
  <si>
    <t>Van</t>
  </si>
  <si>
    <t>Gasoline</t>
  </si>
  <si>
    <t>Component Cost</t>
  </si>
  <si>
    <t>Glider</t>
  </si>
  <si>
    <t>ICE</t>
  </si>
  <si>
    <t>Emission Control</t>
  </si>
  <si>
    <t>FC System</t>
  </si>
  <si>
    <t>Fuel Tank</t>
  </si>
  <si>
    <t>High Voltage Energy Storage</t>
  </si>
  <si>
    <t>Integrated Traction Drive #1</t>
  </si>
  <si>
    <t>Integrated Traction Drive #2</t>
  </si>
  <si>
    <t>Generator</t>
  </si>
  <si>
    <t>Transmission</t>
  </si>
  <si>
    <t>Rest</t>
  </si>
  <si>
    <t>FC Power</t>
  </si>
  <si>
    <t>Integrated Traction Drive #2/Generator</t>
  </si>
  <si>
    <t>Specific Power</t>
  </si>
  <si>
    <t>Power</t>
  </si>
  <si>
    <t>Costs of manufacturing fuel cell systems</t>
  </si>
  <si>
    <t>USD/KW</t>
  </si>
  <si>
    <t>As fuel cell cars does not meet todays price an update of the components costs have been evaluated, shich shows very low Fuel cell system costs. These have been updated according to source on costs of fuel cells. The assumption used by autonomie of manufaturing cost multiplied by 1.5 is equal to the consumer costs have similar been used here. Low tech is assumed + 20% costs and hihg tetch is -20 % costs</t>
  </si>
  <si>
    <t>Source for fuel cell system costs: https://www.hydrogen.energy.gov/pdfs/15015_fuel_cell_system_cost_2015.pdf</t>
  </si>
  <si>
    <t>https://data.bloomberglp.com/bnef/sites/14/2017/07/BNEF-Lithium-ion-battery-costs-and-market.pdf</t>
  </si>
  <si>
    <t>assumed vans must be able to drive 400 km per charge</t>
  </si>
  <si>
    <t>kWh/KM</t>
  </si>
  <si>
    <t>kWh capacity</t>
  </si>
  <si>
    <t>Electric truck is based on standard plus battery costs similar to 500 km drive</t>
  </si>
  <si>
    <t>Adjusted according to relation between diesel and EV vans</t>
  </si>
  <si>
    <t>Assumed trucks must be able to drive 500 km per charge, general rules is maximum 4 hour driving a truk before break, which allows for possibility of charging batteries</t>
  </si>
  <si>
    <t>Transport Freight Truck -Electric - New</t>
  </si>
  <si>
    <t>TRA_Trucks</t>
  </si>
  <si>
    <t>Update and applied new EV profiles for both truks and vans</t>
  </si>
  <si>
    <t>l/100 km</t>
  </si>
  <si>
    <t>seat</t>
  </si>
  <si>
    <t>kg/m cubic</t>
  </si>
  <si>
    <t>MJ/l</t>
  </si>
  <si>
    <t>Kg/l</t>
  </si>
  <si>
    <t>MJ/100 km</t>
  </si>
  <si>
    <t>Mpkm/PJ</t>
  </si>
  <si>
    <t>pkm/MJ</t>
  </si>
  <si>
    <t>TFRN</t>
  </si>
  <si>
    <t>TFRI</t>
  </si>
  <si>
    <t>Based on assumption that Tesla truck consumes 2 kWh/mile (1000 kwh to 500 miles range) and a 0.7 reality factor as for cars</t>
  </si>
  <si>
    <t>Based on Tesla EV truck with 800 km range or approx. 500 km real life range, assumed battery pack price of 120 in 2020 and decreasing according to studies to 75 US dollars in 2030</t>
  </si>
  <si>
    <t>From TIMES-DK, December 2018 Klimaaftalen branch</t>
  </si>
  <si>
    <t>Loss in efficiency due to increasing weight of batteries (2020, assumed to be 1, as battery weight decreases in the future and it will have no impact (can be adjusted)</t>
  </si>
  <si>
    <t xml:space="preserve">Based on Daimers E-Fuso truck load of 11 ton compared to normal 13 ton load </t>
  </si>
  <si>
    <t>Økonomi data of ICE Truck</t>
  </si>
  <si>
    <t>IEA</t>
  </si>
  <si>
    <t>Max</t>
  </si>
  <si>
    <t>Min</t>
  </si>
  <si>
    <t>Battery cost (IEA)</t>
  </si>
  <si>
    <t>TIMES-DK, December 2018</t>
  </si>
  <si>
    <r>
      <t xml:space="preserve">Investment </t>
    </r>
    <r>
      <rPr>
        <b/>
        <sz val="10"/>
        <rFont val="Arial"/>
        <family val="2"/>
      </rPr>
      <t>MIN</t>
    </r>
  </si>
  <si>
    <r>
      <t xml:space="preserve">Investment </t>
    </r>
    <r>
      <rPr>
        <b/>
        <sz val="10"/>
        <rFont val="Arial"/>
        <family val="2"/>
      </rPr>
      <t>MAX</t>
    </r>
  </si>
  <si>
    <r>
      <t xml:space="preserve">Investment </t>
    </r>
    <r>
      <rPr>
        <b/>
        <sz val="10"/>
        <rFont val="Arial"/>
        <family val="2"/>
      </rPr>
      <t>AVR</t>
    </r>
  </si>
  <si>
    <t>Avg</t>
  </si>
  <si>
    <t xml:space="preserve">Old Electric truck </t>
  </si>
  <si>
    <t>Martin Hagberg</t>
  </si>
  <si>
    <t>column K</t>
  </si>
  <si>
    <t>Updated CEFF-O so that these are not dependent on base year values for Denmark</t>
  </si>
  <si>
    <t>Assumed similar development as for electric cars</t>
  </si>
  <si>
    <t>Difference in cost between gas and gasoline cars, Taken from the 2016 version as gas cars does not exist in 2018 version</t>
  </si>
  <si>
    <t>Ethanol cars are assumed to cast the same as gasoline cars</t>
  </si>
  <si>
    <t>Midsize</t>
  </si>
  <si>
    <t>Source: Autonomie.net (Assessment of vehicle sizing, energy consumption and cost through large scale simulation og advandeced vehicle technology, 2018)</t>
  </si>
  <si>
    <t>Needs to be updated every second year, next update expected to be avaiable in 2020</t>
  </si>
  <si>
    <t>Difference from 2016 version in Gas and gasoline cars</t>
  </si>
  <si>
    <t>It is assumed as the source is based on US values, that the midsize cars values is similar to an average danish/european car as the price levels are evaluated seperately for each car group</t>
  </si>
  <si>
    <t>Source: Autonomie.net (Assessment of vehicle sizing, energy consumption and cost through large scale simulation og advandeced vehicle technology, 2020)</t>
  </si>
  <si>
    <t>Based on Diesel trucks, matching all parameters except for fuel input</t>
  </si>
  <si>
    <t>Loss in efficiency due to increasing weight of batteries (2030, assumed to be 1, as battery weight decreases in the future and it will have no impact (can be adjusted)</t>
  </si>
  <si>
    <t>TFTRGSBL2N</t>
  </si>
  <si>
    <t>TFTRGSBL3N</t>
  </si>
  <si>
    <t>TFTRGSBL4N</t>
  </si>
  <si>
    <t>TRADSBL1</t>
  </si>
  <si>
    <t>Transport Freight Ship National - Diesel Engine - Blending 1 - New</t>
  </si>
  <si>
    <t>Output</t>
  </si>
  <si>
    <t>Auxilary Output ratio between Pkm and Mtonkm</t>
  </si>
  <si>
    <t>Base year load</t>
  </si>
  <si>
    <t>VAROM old values</t>
  </si>
  <si>
    <t>Transport Freight Ship Internnational - Fuel Oil - Blending 1 - New</t>
  </si>
  <si>
    <t>Comm-OUT-A</t>
  </si>
  <si>
    <t>TFSIDUALX2N</t>
  </si>
  <si>
    <t>TFSIDUALX3N</t>
  </si>
  <si>
    <t>TFSIDUALX4N</t>
  </si>
  <si>
    <t>Transport Freight Ship Internnational - Dual fueled - Blending 2 - New</t>
  </si>
  <si>
    <t>Transport Freight Ship Internnational - Dual fueled - Blending 3 - New</t>
  </si>
  <si>
    <t>Transport Freight Ship Internnational - Dual fueled - Blending 4 - New</t>
  </si>
  <si>
    <t>Transport Freight Truck - Hybrid Electric Vehicle Diesel 3 - New</t>
  </si>
  <si>
    <t>Transport Freight Truck - Hybrid Electric Vehicle Diesel 4 - New</t>
  </si>
  <si>
    <t>PARAMTERS USED FOR FORMULATION OF PLUG-IN HYBRID TRUCKS (DIESEL)</t>
  </si>
  <si>
    <t>Of gasoline</t>
  </si>
  <si>
    <t>Of diesel</t>
  </si>
  <si>
    <t xml:space="preserve">Car gasoline </t>
  </si>
  <si>
    <t>Efficiency</t>
  </si>
  <si>
    <t>Car diesel</t>
  </si>
  <si>
    <t>years</t>
  </si>
  <si>
    <t>Of Gasoline</t>
  </si>
  <si>
    <t>Car gasoline hybrid</t>
  </si>
  <si>
    <t>Ratio (Hybrid/GSL)</t>
  </si>
  <si>
    <t>Ratio (DSL/GSL)</t>
  </si>
  <si>
    <t>Ratio (Hybrid/DSL)</t>
  </si>
  <si>
    <t>ton/vehicle</t>
  </si>
  <si>
    <t>SWEDEN</t>
  </si>
  <si>
    <t>ACT_FLO (Load (tonnes per vehicle) - Assumed</t>
  </si>
  <si>
    <t>SE1</t>
  </si>
  <si>
    <t>SE2</t>
  </si>
  <si>
    <t>SE3</t>
  </si>
  <si>
    <t>SE4</t>
  </si>
  <si>
    <t>Average</t>
  </si>
  <si>
    <t>NORWAY</t>
  </si>
  <si>
    <t>NO1</t>
  </si>
  <si>
    <t>NO₂</t>
  </si>
  <si>
    <t>DENMARK</t>
  </si>
  <si>
    <t>DK1</t>
  </si>
  <si>
    <t>DK2</t>
  </si>
  <si>
    <t>AVERAGE</t>
  </si>
  <si>
    <t>Mton*km/PJ</t>
  </si>
  <si>
    <t>TFTREVX1HDSBL3N</t>
  </si>
  <si>
    <t>TFTREVX1HDSBL4N</t>
  </si>
  <si>
    <t>Ref tech in Scen_XX_TRA_xAssumptions.xlsx (and MERGED_TRA_TRUCKS_Update)</t>
  </si>
  <si>
    <t>TFTRDSBL1E</t>
  </si>
  <si>
    <t>TFVADSBL1E</t>
  </si>
  <si>
    <t>TFVAGSBL1E</t>
  </si>
  <si>
    <t>Transport Freight Truck - GSB Engine - Blending 2 - New</t>
  </si>
  <si>
    <t>Transport Freight Truck - GSB Engine - Blending 3 - New</t>
  </si>
  <si>
    <t>Transport Freight Truck - GSB Engine - Blending 4 - New</t>
  </si>
  <si>
    <t>TFTRDSBL1E?</t>
  </si>
  <si>
    <t>removed CEFF-I</t>
  </si>
  <si>
    <t>Technologies here below are the ones defined by Simon (COWI) based on TIMES-DK. However, we realised that such technologies have a different architecture compared to the BY, fors instance</t>
  </si>
  <si>
    <t>the ACTFLO is not defined by only inderectly considered in the EFF. So we decided to come back to the old ships and add new ones based on them.</t>
  </si>
  <si>
    <t>ACTFLO~DEMO~2012</t>
  </si>
  <si>
    <t>tons/ship</t>
  </si>
  <si>
    <t>Efficiency base year</t>
  </si>
  <si>
    <t>TPPSIHFOE1</t>
  </si>
  <si>
    <t>TPPSNDSBLE1</t>
  </si>
  <si>
    <t>TFFSNDSBLE1</t>
  </si>
  <si>
    <t>TFFSIHFOE1</t>
  </si>
  <si>
    <t>Occupancy international ships</t>
  </si>
  <si>
    <t>Occupancy national ships</t>
  </si>
  <si>
    <t>Load factor international ferries</t>
  </si>
  <si>
    <t>1 TEU</t>
  </si>
  <si>
    <t>equivalent to 1 container of 20 foot, which holds approx</t>
  </si>
  <si>
    <t>1 ship of 9000 TEU can carry</t>
  </si>
  <si>
    <t>1 ship of 9000 TEU can carry (70 % of full load) compared to average danish ships with 1300 TEU</t>
  </si>
  <si>
    <t>Transport Freight Ship International - Fuel Oil - Blending 2 - New</t>
  </si>
  <si>
    <t>Transport Freight Ship International - Fuel Oil - Blending 3 - New</t>
  </si>
  <si>
    <t>Transport Freight Ship International - Fuel Oil - Blending 4 - New</t>
  </si>
  <si>
    <t>Transport Freight Ship International - Dual fueled - Blending 2 - New</t>
  </si>
  <si>
    <t>Transport Freight Ship International - Dual fueled - Blending 3 - New</t>
  </si>
  <si>
    <t>Transport Freight Ship International - Dual fueled - Blending 4 - New</t>
  </si>
  <si>
    <t>Transport passenger Ship International - Fuel Oil - Blending 2 - New</t>
  </si>
  <si>
    <t>Transport passenger Ship International - Fuel Oil - Blending 3 - New</t>
  </si>
  <si>
    <t>Transport passenger Ship International - Fuel Oil - Blending 4 - New</t>
  </si>
  <si>
    <t>Removed NCAP_AFA from this file. Now in Scen_XX_Xassumptions -files and based n average driving distances in each respective country.</t>
  </si>
  <si>
    <t>UP</t>
  </si>
  <si>
    <t>Transport Freight Truck Short Distance (&lt;50 km)</t>
  </si>
  <si>
    <t>Transport Freight Truck Long Distance National (&gt;50 km)</t>
  </si>
  <si>
    <t>Transport Freight Truck Long Distance International (&gt;50 km)</t>
  </si>
  <si>
    <t>DKE</t>
  </si>
  <si>
    <t>DKW</t>
  </si>
  <si>
    <t>NO2</t>
  </si>
  <si>
    <t>Efficiency and input shares for plug in hybrid trucks (updated by Martin Hagberg 2019- 09-20)</t>
  </si>
  <si>
    <t xml:space="preserve">Average : </t>
  </si>
  <si>
    <t>Vers</t>
  </si>
  <si>
    <t>electricity</t>
  </si>
  <si>
    <t>diesel</t>
  </si>
  <si>
    <t>tkm covered by electricity (output share)</t>
  </si>
  <si>
    <t>tkm covered by diesel  (output share)</t>
  </si>
  <si>
    <t>input share</t>
  </si>
  <si>
    <t xml:space="preserve">Assumption:75% of the tkm below 50km can be covered by electricity with an efficiency equivalent to a Battery electric truck. For the rest, the truck functions as diesel truck. </t>
  </si>
  <si>
    <t xml:space="preserve">Updated efficiencies for truck plug in hybrids </t>
  </si>
  <si>
    <t>electr</t>
  </si>
  <si>
    <t>Transport Passengers Cars Short Distance (&lt;5 km)</t>
  </si>
  <si>
    <t>Transport Passengers Cars Short Distance (&lt;25 km)</t>
  </si>
  <si>
    <t>Transport Passengers Cars Medium Distance (25-50 km)</t>
  </si>
  <si>
    <t>Transport Passengers Cars Long Distance (&gt;50 km)</t>
  </si>
  <si>
    <t>gasoline</t>
  </si>
  <si>
    <t>Relative efficiency of electric car to gasoline car</t>
  </si>
  <si>
    <t xml:space="preserve">Assumption:90% of the tkm below 50km can be covered by electricity with an efficiency equivalent to BEV. For the rest, 5% is covered by electricity. </t>
  </si>
  <si>
    <t>BEV</t>
  </si>
  <si>
    <r>
      <t>Eff SF</t>
    </r>
    <r>
      <rPr>
        <sz val="10"/>
        <color rgb="FFFF0000"/>
        <rFont val="Arial"/>
        <family val="2"/>
      </rPr>
      <t>'!$D$11:$Q$28</t>
    </r>
    <r>
      <rPr>
        <sz val="10"/>
        <rFont val="Arial"/>
        <family val="2"/>
      </rPr>
      <t>,MATCH(TRA_Cars!$AS$5&amp;TRA_Cars!$AV$5,'Eff SF'!$A$1</t>
    </r>
    <r>
      <rPr>
        <sz val="10"/>
        <color rgb="FFFF0000"/>
        <rFont val="Arial"/>
        <family val="2"/>
      </rPr>
      <t>1:$A$28</t>
    </r>
    <r>
      <rPr>
        <sz val="10"/>
        <rFont val="Arial"/>
        <family val="2"/>
      </rPr>
      <t>&amp;'Eff SF'!$C$11:</t>
    </r>
    <r>
      <rPr>
        <sz val="10"/>
        <color rgb="FFFF0000"/>
        <rFont val="Arial"/>
        <family val="2"/>
      </rPr>
      <t>$C$28,</t>
    </r>
    <r>
      <rPr>
        <sz val="10"/>
        <rFont val="Arial"/>
        <family val="2"/>
      </rPr>
      <t>0),MATCH(TRA_Cars!G5&amp;TRA_Cars!$AT$5,'Ef</t>
    </r>
    <r>
      <rPr>
        <sz val="10"/>
        <color rgb="FFFF0000"/>
        <rFont val="Arial"/>
        <family val="2"/>
      </rPr>
      <t>f SF'!$D$9:$Q$9&amp;'Eff SF'!$D$10:$Q$10,0</t>
    </r>
  </si>
  <si>
    <t>otto ref</t>
  </si>
  <si>
    <t>Updated efficiencies for plug in cars . Updated column W (reference efficiencies)</t>
  </si>
  <si>
    <t>otto</t>
  </si>
  <si>
    <t>Efficiencies</t>
  </si>
  <si>
    <t>diesel ref</t>
  </si>
  <si>
    <t>SHARES FROM TRA_TP_Update</t>
  </si>
  <si>
    <t>Transport Freight Truck - FCEV H2 - New</t>
  </si>
  <si>
    <t xml:space="preserve">Hydrogen Fuel cell truck </t>
  </si>
  <si>
    <t>Energy consumption</t>
  </si>
  <si>
    <t>EU28</t>
  </si>
  <si>
    <t>Diesel hybrid</t>
  </si>
  <si>
    <t>CNG SI</t>
  </si>
  <si>
    <t>Hydrogen fuel cell</t>
  </si>
  <si>
    <t>Electric overhead catenary</t>
  </si>
  <si>
    <t xml:space="preserve">Electric dynamic induction </t>
  </si>
  <si>
    <t>LNG CI</t>
  </si>
  <si>
    <t>NG SI</t>
  </si>
  <si>
    <t>Releative</t>
  </si>
  <si>
    <t>ERS truck induction</t>
  </si>
  <si>
    <t>ERS truck overhead</t>
  </si>
  <si>
    <t>H2 FC</t>
  </si>
  <si>
    <t>CNG - SI</t>
  </si>
  <si>
    <t>LNG ICE-SI</t>
  </si>
  <si>
    <t>LNG ICE-CI</t>
  </si>
  <si>
    <t>Hybrid electric</t>
  </si>
  <si>
    <t>Incremental cost</t>
  </si>
  <si>
    <t>1000 USD2015</t>
  </si>
  <si>
    <t>Mkr</t>
  </si>
  <si>
    <t>Electric TIMES scand</t>
  </si>
  <si>
    <t>Incr to diesel</t>
  </si>
  <si>
    <t>USD/kWh</t>
  </si>
  <si>
    <t>Overhead catanary</t>
  </si>
  <si>
    <t>battery KWh</t>
  </si>
  <si>
    <t>Battery cost</t>
  </si>
  <si>
    <t>TFTRH2GX1N</t>
  </si>
  <si>
    <t>Transport Freight Ship International - Methanol - New</t>
  </si>
  <si>
    <t>Source:Transitioning to zero-emission heavy duty freight vehicles. Marissa Moultak, Nic Lutsey, Dale Hall. (2017)</t>
  </si>
  <si>
    <t>https://theicct.org/publications/transitioning-zero-emission-heavy-duty-freight-vehicles</t>
  </si>
  <si>
    <t>Transport Freight Ship International - Hydrogen (ICE) - New</t>
  </si>
  <si>
    <t>Added FCEV truck, and H2 and MeOH ship</t>
  </si>
  <si>
    <t>Added dummy cost for Walking previously included in scenario file (which has been removed)</t>
  </si>
  <si>
    <t>Transport Passengers Ferry Medium Distance - LNG Fuel cell 1396 kW Engine</t>
  </si>
  <si>
    <t>Transport Passengers Ferry Short Distance - LNG Fuel cell 530 kW Engine</t>
  </si>
  <si>
    <t>Transport Passengers Ferry Medium Distance - H2 Fuel cell 1396 kW Engine</t>
  </si>
  <si>
    <t>Transport Passengers Ferry Short Distance - H2 Fuel cell 530 kW Engine</t>
  </si>
  <si>
    <t>Transport Passengers Ferry Medium Distance - Methanol Fuel cell 1396 kW Engine</t>
  </si>
  <si>
    <t>Transport Passengers Ferry Short Distance - Methanol Fuel cell 530 kW Engine</t>
  </si>
  <si>
    <t>Transport Passengers Ferry Medium Distance - MFO Fuel cell 1396 kW Engine</t>
  </si>
  <si>
    <t>Transport Passengers Ferry Short Distance - MFO Fuel cell 530 kW Engine</t>
  </si>
  <si>
    <t>Transport Passengers Ferry Medium Distance - H2 DICI 1396 kW Engine</t>
  </si>
  <si>
    <t>Transport Passengers Ferry Short Distance - H2 DICI 530 kW Engine</t>
  </si>
  <si>
    <t>Transport Passengers Ferry Extra Long Distance - Methanol DICI 32160 kW Engine</t>
  </si>
  <si>
    <t>Transport Passengers Ferry Long Distance - Methanol DICI 3429 kW Engine</t>
  </si>
  <si>
    <t>Transport Passengers Ferry Medium Distance - Methanol DICI 1396 kW Engine</t>
  </si>
  <si>
    <t>Transport Passengers Ferry Short Distance - Methanol DICI 530 Kw Engine</t>
  </si>
  <si>
    <t>Transport Passengers Ferry Medium Distance - ELC Engine</t>
  </si>
  <si>
    <t>Transport Passengers Ferry Short Distance - ELC Engine</t>
  </si>
  <si>
    <t>Transport Passengers Ferry Extra Long Distance - 32160 kW HPDI Engine</t>
  </si>
  <si>
    <t>Transport Passengers Ferry Long Distance - 3429 kW HPDI Engine</t>
  </si>
  <si>
    <t>Transport Passengers Ferry Medium Distance - 1396kW HPDI Engine</t>
  </si>
  <si>
    <t>Transport Passengers Ferry Short Distance - 530kW HPDI Engine</t>
  </si>
  <si>
    <t>Transport Passengers Ferry Extra Long Distance - 32160 kW PIDF Engine</t>
  </si>
  <si>
    <t>Transport Passengers Ferry Long Distance - 3429 kW PIDF Engine</t>
  </si>
  <si>
    <t>Transport Passengers Ferry Medium Distance - 1396kW PIDF Engine</t>
  </si>
  <si>
    <t>Transport Passengers Ferry Short Distance - 530kW PIDF Engine</t>
  </si>
  <si>
    <t>Transport Passengers Ferry Extra Long Distance - 32160 kW PISI Engine</t>
  </si>
  <si>
    <t>Transport Passengers Ferry Long Distance - 3429 kW PISI Engine</t>
  </si>
  <si>
    <t>Transport Passengers Ferry Medium Distance - 1396kW PISI Engine</t>
  </si>
  <si>
    <t>Transport Passengers Ferry Short Distance - 530kW PISI Engine</t>
  </si>
  <si>
    <t>Transport Passengers Ferry Extra Long Distance - 32160 kW Engine with scrubber</t>
  </si>
  <si>
    <t>Transport Passengers Ferry Long Distance - 3429 kW Engine with scrubber</t>
  </si>
  <si>
    <t>Transport Passengers Ferry Medium Distance - 1396kW Engine with scrubber</t>
  </si>
  <si>
    <t>Transport Passengers Ferry Short Distance - 530kW Engine with scrubber</t>
  </si>
  <si>
    <t>Transport Passengers Ferry Extra Long Distance - 32160 kW DICI Engine</t>
  </si>
  <si>
    <t>Transport Passengers Ferry Long Distance - 3429 kW DICI Engine</t>
  </si>
  <si>
    <t>Transport Passengers Ferry Medium Distance - 1396kW DICI Engine</t>
  </si>
  <si>
    <t>Transport Passengers Ferry Short Distance - 530kW DICI Engine</t>
  </si>
  <si>
    <t>FOIC</t>
  </si>
  <si>
    <t>TFSRI</t>
  </si>
  <si>
    <t>TPPSI</t>
  </si>
  <si>
    <t>TRAHFON</t>
  </si>
  <si>
    <t>TRAOILBL3N</t>
  </si>
  <si>
    <t>TRAOILBL2N</t>
  </si>
  <si>
    <t>NGFC</t>
  </si>
  <si>
    <t>Medium</t>
  </si>
  <si>
    <t>MKr10</t>
  </si>
  <si>
    <t>TPSM</t>
  </si>
  <si>
    <t>TRANGAN</t>
  </si>
  <si>
    <t>Small</t>
  </si>
  <si>
    <t>TPSS</t>
  </si>
  <si>
    <t>H2FC</t>
  </si>
  <si>
    <t>TRAH2C</t>
  </si>
  <si>
    <t>MOFC</t>
  </si>
  <si>
    <t>TRAMOB</t>
  </si>
  <si>
    <t>FOFC</t>
  </si>
  <si>
    <t>TRAMFO2</t>
  </si>
  <si>
    <t>H2IC</t>
  </si>
  <si>
    <t>MOIC</t>
  </si>
  <si>
    <t>X large</t>
  </si>
  <si>
    <t>TPSXL</t>
  </si>
  <si>
    <t>Large</t>
  </si>
  <si>
    <t>TPSL</t>
  </si>
  <si>
    <t>Added cost of an electric ferry was estimated to be 18% over conventional ferry https://www.siemens.com/press/pool/de/feature/2015/processindustries-drives/2015-10-scandlines/study-seven-out-of-ten-e.pdf</t>
  </si>
  <si>
    <t>Source:https://www.siemens.com/press/en/pressrelease/?press=/en/pressrelease/2015/processindustries-drives/pr2015050200pden.htm&amp;content[]=PD</t>
  </si>
  <si>
    <t>ELCC</t>
  </si>
  <si>
    <t>*source</t>
  </si>
  <si>
    <t>NGDU</t>
  </si>
  <si>
    <t>TRAMFO3</t>
  </si>
  <si>
    <t>NGIC</t>
  </si>
  <si>
    <t>(kvehicle/Mvehicle)</t>
  </si>
  <si>
    <t>MKr/kvehicle</t>
  </si>
  <si>
    <t>M€/(kvehicle*km)</t>
  </si>
  <si>
    <t>Mvehicle-km/PJ</t>
  </si>
  <si>
    <t>Max. km/year/vehicle</t>
  </si>
  <si>
    <t xml:space="preserve"> (passenger/ferry)</t>
  </si>
  <si>
    <t>MKr2010</t>
  </si>
  <si>
    <t>Size of ship</t>
  </si>
  <si>
    <t>Input Share</t>
  </si>
  <si>
    <t xml:space="preserve">Capacity to Activity Factor </t>
  </si>
  <si>
    <t>Investment cost</t>
  </si>
  <si>
    <t>Fixed OM cost</t>
  </si>
  <si>
    <t>Variable cost</t>
  </si>
  <si>
    <t>Utilisation factor</t>
  </si>
  <si>
    <t>Activity to Flo</t>
  </si>
  <si>
    <t>currency year</t>
  </si>
  <si>
    <t>*Discription</t>
  </si>
  <si>
    <t>Share-I~LO</t>
  </si>
  <si>
    <t>Share-I~FX~0</t>
  </si>
  <si>
    <t>Share-I~UP~0</t>
  </si>
  <si>
    <t>CAP2ACT</t>
  </si>
  <si>
    <t>Share-I~FX</t>
  </si>
  <si>
    <t>Share-I~UP</t>
  </si>
  <si>
    <t>EFF~DKW</t>
  </si>
  <si>
    <t>EFF~DKE</t>
  </si>
  <si>
    <t>AFA~DKW</t>
  </si>
  <si>
    <t>AFA~DKE</t>
  </si>
  <si>
    <t>ACTFLO~DEMO~DKE</t>
  </si>
  <si>
    <t>YEAR</t>
  </si>
  <si>
    <t>LR</t>
  </si>
  <si>
    <t>Transport Freight Ro-Ro Cargo - MGO MEDIUM FC</t>
  </si>
  <si>
    <t>Transport Freight Ro-Ro Cargo - MGO SMALL FC</t>
  </si>
  <si>
    <t>Transport Freight Containerised Cargo - MGO MEDIUM FC</t>
  </si>
  <si>
    <t>Transport Freight Containerised Cargo - MGO SMALL FC</t>
  </si>
  <si>
    <t>Transport Freight Dry Bulk - MGO MEDIUM FC</t>
  </si>
  <si>
    <t>Transport Freight Dry Bulk - MGO SMALL FC</t>
  </si>
  <si>
    <t>Transport Freight Liquid Bulk - MGO MEDIUM FC</t>
  </si>
  <si>
    <t>Transport Freight Liquid Bulk - MGO SMALL FC</t>
  </si>
  <si>
    <t>Transport Freight Ro-Ro Cargo - LNG MEDIUM FC</t>
  </si>
  <si>
    <t>Transport Freight Ro-Ro Cargo - LNG SMALL FC</t>
  </si>
  <si>
    <t>Transport Freight Ro-Ro Cargo - H2 MEDIUM FC</t>
  </si>
  <si>
    <t>Transport Freight Ro-Ro Cargo - H2 SMALL FC</t>
  </si>
  <si>
    <t>Transport Freight Ro-Ro Cargo - Methanol MEDIUM FC</t>
  </si>
  <si>
    <t>Transport Freight Ro-Ro Cargo - Methanol SMALL FC</t>
  </si>
  <si>
    <t>Transport Freight Containerised Cargo - LNG MEDIUM FC</t>
  </si>
  <si>
    <t>Transport Freight Containerised Cargo - LNG SMALL FC</t>
  </si>
  <si>
    <t>Transport Freight Containerised Cargo - H2 MEDIUM FC</t>
  </si>
  <si>
    <t>Transport Freight Containerised Cargo - H2 SMALL FC</t>
  </si>
  <si>
    <t>Transport Freight Containerised Cargo - Methanol MEDIUM FC</t>
  </si>
  <si>
    <t>Transport Freight Containerised Cargo - Methanol SMALL FC</t>
  </si>
  <si>
    <t>Transport Freight Dry Bulk - LNG MEDIUM FC</t>
  </si>
  <si>
    <t>Transport Freight Dry Bulk - LNG SMALL FC</t>
  </si>
  <si>
    <t>Transport Freight Dry Bulk - H2 MEDIUM FC</t>
  </si>
  <si>
    <t>Transport Freight Dry Bulk - H2 SMALL FC</t>
  </si>
  <si>
    <t>Transport Freight Dry Bulk - Methanol MEDIUM FC</t>
  </si>
  <si>
    <t>Transport Freight Dry Bulk - Methanol SMALL FC</t>
  </si>
  <si>
    <t>Transport Freight Liquid Bulk - LNG MEDIUM FC</t>
  </si>
  <si>
    <t>Transport Freight Liquid Bulk - LNG SMALL FC</t>
  </si>
  <si>
    <t>Transport Freight Liquid Bulk - H2 MEDIUM FC</t>
  </si>
  <si>
    <t>Transport Freight Liquid Bulk - H2 SMALL FC</t>
  </si>
  <si>
    <t>Transport Freight Liquid Bulk - Methanol MEDIUM FC</t>
  </si>
  <si>
    <t>Transport Freight Liquid Bulk - Methanol SMALL FC</t>
  </si>
  <si>
    <t>Transport Freight Ro-Ro Cargo - ELC MEDIUM Engine</t>
  </si>
  <si>
    <t>Transport Freight Ro-Ro Cargo - ELC SMALL Engine</t>
  </si>
  <si>
    <t>Transport Freight Containerised Cargo - ELC MEDIUM Engine</t>
  </si>
  <si>
    <t>Transport Freight Containerised Cargo - ELC SMALL Engine</t>
  </si>
  <si>
    <t>Transport Freight Dry Bulk - ELC MEDIUM Engine</t>
  </si>
  <si>
    <t>Transport Freight Dry Bulk - ELC SMALL Engine</t>
  </si>
  <si>
    <t>Transport Freight Liquid Bulk - ELC MEDIUM Engine</t>
  </si>
  <si>
    <t>Transport Freight Liquid Bulk - ELC SMALL Engine</t>
  </si>
  <si>
    <t>Transport Freight Ro-Ro Cargo - LNG PIDF MEDIUM Engine</t>
  </si>
  <si>
    <t>Transport Freight Ro-Ro Cargo - LNG PIDF SMALL Engine</t>
  </si>
  <si>
    <t>Transport Freight Containerised Cargo - LNG PIDF LARGE Engine</t>
  </si>
  <si>
    <t>Transport Freight Containerised Cargo - LNG PIDF MEDIUM Engine</t>
  </si>
  <si>
    <t>Transport Freight Containerised Cargo - LNG PIDF SMALL Engine</t>
  </si>
  <si>
    <t>Transport Freight Dry Bulk - LNG PIDF LARGE Engine</t>
  </si>
  <si>
    <t>Transport Freight Dry Bulk - LNG PIDF MEDIUM Engine</t>
  </si>
  <si>
    <t>Transport Freight Dry Bulk - LNG PIDF SMALL Engine</t>
  </si>
  <si>
    <t>Transport Freight Liquid Bulk - LNG PIDF LARGE Engine</t>
  </si>
  <si>
    <t>Transport Freight Liquid Bulk - LNG PIDF MEDIUM Engine</t>
  </si>
  <si>
    <t>Transport Freight Liquid Bulk - LNG PIDF SMALL Engine</t>
  </si>
  <si>
    <t>Transport Freight Ro-Ro Cargo - LNG PISI MEDIUM Engine</t>
  </si>
  <si>
    <t>Transport Freight Ro-Ro Cargo - LNG PISI SMALL Engine</t>
  </si>
  <si>
    <t>Transport Freight Containerised Cargo - LNG PISI LARGE Engine</t>
  </si>
  <si>
    <t>Transport Freight Containerised Cargo - LNG PISI MEDIUM Engine</t>
  </si>
  <si>
    <t>Transport Freight Containerised Cargo - LNG PISI SMALL Engine</t>
  </si>
  <si>
    <t>Transport Freight Dry Bulk - LNG PISI LARGE Engine</t>
  </si>
  <si>
    <t>Transport Freight Dry Bulk - LNG PISI MEDIUM Engine</t>
  </si>
  <si>
    <t>Transport Freight Dry Bulk - LNG PISI SMALL Engine</t>
  </si>
  <si>
    <t>Transport Freight Liquid Bulk - LNG PISI LARGE Engine</t>
  </si>
  <si>
    <t>Transport Freight Liquid Bulk - LNG PISI MEDIUM Engine</t>
  </si>
  <si>
    <t>Transport Freight Liquid Bulk - LNG PISI SMALL Engine</t>
  </si>
  <si>
    <t>Transport Freight Ro-Ro Cargo - H2 DICI MEDIUM Engine</t>
  </si>
  <si>
    <t>Transport Freight Ro-Ro Cargo - H2 DICI SMALL Engine</t>
  </si>
  <si>
    <t>Transport Freight Ro-Ro Cargo - Methanol DICI MEDIUM Engine</t>
  </si>
  <si>
    <t>Transport Freight Ro-Ro Cargo - Methanol DICI SMALL Engine</t>
  </si>
  <si>
    <t>Transport Freight Containerised Cargo - H2 DICI LARGE Engine</t>
  </si>
  <si>
    <t>Transport Freight Containerised Cargo - H2 DICI MEDIUM Engine</t>
  </si>
  <si>
    <t>Transport Freight Containerised Cargo - H2 DICI SMALL Engine</t>
  </si>
  <si>
    <t>Transport Freight Containerised Cargo - Methanol DICI LARGE Engine</t>
  </si>
  <si>
    <t>Transport Freight Containerised Cargo - Methanol DICI MEDIUM Engine</t>
  </si>
  <si>
    <t>Transport Freight Containerised Cargo - Methanol DICI SMALL Engine</t>
  </si>
  <si>
    <t>Transport Freight Dry Bulk - H2 DICI LARGE Engine</t>
  </si>
  <si>
    <t>Transport Freight Dry Bulk - H2 DICI MEDIUM Engine</t>
  </si>
  <si>
    <t>Transport Freight Dry Bulk - H2 DICI SMALL Engine</t>
  </si>
  <si>
    <t>Transport Freight Dry Bulk - Methanol DICI LARGE Engine</t>
  </si>
  <si>
    <t>Transport Freight Dry Bulk - Methanol DICI MEDIUM Engine</t>
  </si>
  <si>
    <t>Transport Freight Dry Bulk - Methanol DICI SMALL Engine</t>
  </si>
  <si>
    <t>Transport Freight Liquid Bulk - H2 DICI LARGE Engine</t>
  </si>
  <si>
    <t>Transport Freight Liquid Bulk - H2 DICI MEDIUM Engine</t>
  </si>
  <si>
    <t>Transport Freight Liquid Bulk - H2 DICI SMALL Engine</t>
  </si>
  <si>
    <t>Transport Freight Liquid Bulk - Methanol DICI LARGE Engine</t>
  </si>
  <si>
    <t>Transport Freight Liquid Bulk - Methanol DICI MEDIUM Engine</t>
  </si>
  <si>
    <t>Transport Freight Liquid Bulk - Methanol DICI SMALL Engine</t>
  </si>
  <si>
    <t>Transport Freight Ro-Ro Cargo - DICI MEDIUM Engine With Scrubber</t>
  </si>
  <si>
    <t>Transport Freight Ro-Ro Cargo - DICI SMALL Engine With Scrubber</t>
  </si>
  <si>
    <t>Transport Freight Ro-Ro Cargo - DICI MEDIUM Engine</t>
  </si>
  <si>
    <t>Transport Freight Ro-Ro Cargo - DICI SMALL Engine</t>
  </si>
  <si>
    <t>Transport Freight Containerised Cargo - DICI LARGE Engine With Scrubber</t>
  </si>
  <si>
    <t>Transport Freight Containerised Cargo - DICI MEDIUM Engine With Scrubber</t>
  </si>
  <si>
    <t>Transport Freight Containerised Cargo - DICI SMALL Engine With Scrubber</t>
  </si>
  <si>
    <t>Transport Freight Containerised Cargo - DICI LARGE Engine</t>
  </si>
  <si>
    <t>Transport Freight Containerised Cargo - DICI MEDIUM Engine</t>
  </si>
  <si>
    <t>Transport Freight Containerised Cargo - DICI SMALL Engine</t>
  </si>
  <si>
    <t>Transport Freight Dry Bulk - DICI LARGE Engine With Scrubber</t>
  </si>
  <si>
    <t>Transport Freight Dry Bulk - DICI MEDIUM Engine With Scrubber</t>
  </si>
  <si>
    <t>Transport Freight Dry Bulk - DICI SMALL Engine With Scrubber</t>
  </si>
  <si>
    <t>Transport Freight Dry Bulk - DICI LARGE Engine</t>
  </si>
  <si>
    <t>Transport Freight Dry Bulk - DICI MEDIUM Engine</t>
  </si>
  <si>
    <t>Transport Freight Dry Bulk - DICI SMALL Engine</t>
  </si>
  <si>
    <t>Transport Freight Liquid Bulk - DICI LARGE Engine With Scrubber</t>
  </si>
  <si>
    <t>Transport Freight Liquid Bulk - DICI MEDIUM Engine With Scrubber</t>
  </si>
  <si>
    <t>Transport Freight Liquid Bulk - DICI SMALL Engine With Scrubber</t>
  </si>
  <si>
    <t>Transport Freight Liquid Bulk - DICI LARGE Engine</t>
  </si>
  <si>
    <t>Transport Freight Liquid Bulk - DICI MEDIUM Engine</t>
  </si>
  <si>
    <t>Transport Freight Liquid Bulk - DICI SMALL Engine</t>
  </si>
  <si>
    <t>Container ship</t>
  </si>
  <si>
    <t>TFSR</t>
  </si>
  <si>
    <t>TFSC</t>
  </si>
  <si>
    <t>Short sea</t>
  </si>
  <si>
    <t>TFSD</t>
  </si>
  <si>
    <t>TFSL</t>
  </si>
  <si>
    <t>*Source:The added cost of the scrubber (1.8 M€/ vessel) is from 'Marine Scrubbers:The Guide 2015'. OM cost 1% of the inv.</t>
  </si>
  <si>
    <t>RORO</t>
  </si>
  <si>
    <t>LCNT</t>
  </si>
  <si>
    <t>LBL</t>
  </si>
  <si>
    <t>DBL</t>
  </si>
  <si>
    <t>Mtkm</t>
  </si>
  <si>
    <t>t</t>
  </si>
  <si>
    <t>2030s</t>
  </si>
  <si>
    <t>2020s</t>
  </si>
  <si>
    <t>2010s</t>
  </si>
  <si>
    <t>2030e</t>
  </si>
  <si>
    <t>2020e</t>
  </si>
  <si>
    <t>2010e</t>
  </si>
  <si>
    <t>CAPF</t>
  </si>
  <si>
    <t>CWT</t>
  </si>
  <si>
    <t>DWT</t>
  </si>
  <si>
    <t>Summarised table used as a datainput</t>
  </si>
  <si>
    <t>MKr/(kvehicle*km)</t>
  </si>
  <si>
    <t xml:space="preserve"> (ton/vessel)</t>
  </si>
  <si>
    <t>Distance ships</t>
  </si>
  <si>
    <t>Power unit of the engine</t>
  </si>
  <si>
    <t>DWT (´000)</t>
  </si>
  <si>
    <t>ACTFLO~DEMO~DKW</t>
  </si>
  <si>
    <t>e</t>
  </si>
  <si>
    <t>s</t>
  </si>
  <si>
    <t>Transport Freight RORO - Ammonia fuel ships</t>
  </si>
  <si>
    <t>Transport Freight Containerised cargo - Ammonia fuel ships</t>
  </si>
  <si>
    <t>Transport Freight Dry Bulk - Ammonia fuel ships</t>
  </si>
  <si>
    <t>Transport Freight Liquid bulk - Ammonia fuel ships</t>
  </si>
  <si>
    <t>Transport Freight RORO - Ammonia duel fuel ships</t>
  </si>
  <si>
    <t>Transport Freight Containerised cargo - Ammonia duel fuel ships</t>
  </si>
  <si>
    <t>Transport Freight Dry Bulk - Ammonia duel fuel ships</t>
  </si>
  <si>
    <t>Transport Freight Liquid bulk - Ammonia duel fuel ships</t>
  </si>
  <si>
    <t>Transport Freight RORO - LNG PIDF LARGE Engine</t>
  </si>
  <si>
    <t>Transport Freight RORO - LNG PISI LARGE Engine</t>
  </si>
  <si>
    <t>Transport Freight RORO - H2 DICI LARGE Engine</t>
  </si>
  <si>
    <t>Transport Freight RORO - Methanol DICI LARGE Engine</t>
  </si>
  <si>
    <t>Transport Freight RORO - DICI LARGE Engine</t>
  </si>
  <si>
    <t>AMIC</t>
  </si>
  <si>
    <t>TRAAMM</t>
  </si>
  <si>
    <t>AMDU</t>
  </si>
  <si>
    <t>TFSCI</t>
  </si>
  <si>
    <t>Deep sea ships</t>
  </si>
  <si>
    <t>TFSDI</t>
  </si>
  <si>
    <t>TFSLI</t>
  </si>
  <si>
    <t>Loss in cargo capacity from using gas fuels compared to liquied fuels</t>
  </si>
  <si>
    <t>Power unit of the engine (kW)</t>
  </si>
  <si>
    <t>RO-ro</t>
  </si>
  <si>
    <t>Container</t>
  </si>
  <si>
    <t>Liquid bulk</t>
  </si>
  <si>
    <t>Dry bulk</t>
  </si>
  <si>
    <t>Size</t>
  </si>
  <si>
    <t>Energy consumption for ships spped in knots, based upon DWT from Tills thesis and the transport departments calculation tool for shipping</t>
  </si>
  <si>
    <t>Energy consumption for ships GJ/Nm, based upon DWT from Tills thesis and the transport departments calculation tool for shipping</t>
  </si>
  <si>
    <t xml:space="preserve">National </t>
  </si>
  <si>
    <t>All</t>
  </si>
  <si>
    <t>RO-RO</t>
  </si>
  <si>
    <t>Vehicle</t>
  </si>
  <si>
    <t xml:space="preserve">Assumed 2800 TEU </t>
  </si>
  <si>
    <t>Reefer</t>
  </si>
  <si>
    <t>General Cargo</t>
  </si>
  <si>
    <t>0-10000</t>
  </si>
  <si>
    <t>Bulk carrier</t>
  </si>
  <si>
    <t>Type of Ships</t>
  </si>
  <si>
    <t>10000-20000</t>
  </si>
  <si>
    <t>20000+</t>
  </si>
  <si>
    <t>LPG tanker</t>
  </si>
  <si>
    <t>Chemical tanker</t>
  </si>
  <si>
    <t>Product tanker</t>
  </si>
  <si>
    <t>Oil tanker</t>
  </si>
  <si>
    <t>Capacity utilazation</t>
  </si>
  <si>
    <t>size DWT</t>
  </si>
  <si>
    <t>Type of ship</t>
  </si>
  <si>
    <t xml:space="preserve">International </t>
  </si>
  <si>
    <t>https://www.transportmeasures.org/en/wiki/manuals/sea/load-capacity-utilisation/</t>
  </si>
  <si>
    <t>Load capacity factors per shipping type</t>
  </si>
  <si>
    <t>LNG FC</t>
  </si>
  <si>
    <t>Methanoel FC</t>
  </si>
  <si>
    <t>RO_MSP</t>
  </si>
  <si>
    <t>Fuel oil FC</t>
  </si>
  <si>
    <t>RO_MNSP</t>
  </si>
  <si>
    <t>H2 ICE</t>
  </si>
  <si>
    <t>OTH</t>
  </si>
  <si>
    <t>Passenger</t>
  </si>
  <si>
    <t>LNG ICE</t>
  </si>
  <si>
    <t>Methanoel ICE</t>
  </si>
  <si>
    <t>LBK</t>
  </si>
  <si>
    <t>Fuel oil ICE</t>
  </si>
  <si>
    <t>DBK</t>
  </si>
  <si>
    <t>Share of total shipping</t>
  </si>
  <si>
    <t>ktkm</t>
  </si>
  <si>
    <t>DWT (t)</t>
  </si>
  <si>
    <t>Cargo average (t)</t>
  </si>
  <si>
    <t>average distance (km)</t>
  </si>
  <si>
    <t>Shipping type</t>
  </si>
  <si>
    <t>Tanker</t>
  </si>
  <si>
    <t>Price development of storage as a result of power unit (USD/GJ)</t>
  </si>
  <si>
    <t>Demand international shipping From Till thesis on international transportation by the shipping industry</t>
  </si>
  <si>
    <t>Based upon above calculations all vessel costs have been adjusted</t>
  </si>
  <si>
    <t>Ro-Ro</t>
  </si>
  <si>
    <t>β</t>
  </si>
  <si>
    <t>α</t>
  </si>
  <si>
    <t>Ship type</t>
  </si>
  <si>
    <t>Table 5: Constants by crago type</t>
  </si>
  <si>
    <t>Where: DWT-dead weight tonnage of the ship</t>
  </si>
  <si>
    <t>Power (kW)=0.746*α* (DWT)β</t>
  </si>
  <si>
    <t>The engine size is estimated using the ccorrelation between DWT and engine power [4]:</t>
  </si>
  <si>
    <t>National size of ships</t>
  </si>
  <si>
    <t xml:space="preserve">From TIMES-DKGAS model documentation and G. P. Piko, Regression Analysis of Ship Characteristics. 1980, The Department of Infrastructure, Regional Development and Cities, Australia. </t>
  </si>
  <si>
    <t>Price development of engine as a result of power unit (USD/kW)</t>
  </si>
  <si>
    <t>Transport Freight Sea Ro-Ro Cargo Domestic</t>
  </si>
  <si>
    <t>Transport Freight Sea Container Cargo Domestic</t>
  </si>
  <si>
    <t>Transport Freight Sea Dry Bulk Cargo Domestic</t>
  </si>
  <si>
    <t>Transport Freight Sea Liquid Bulk Cargo Domestic</t>
  </si>
  <si>
    <t xml:space="preserve">Demand national shipping </t>
  </si>
  <si>
    <t>Calculated from DTU transport Shipping tool</t>
  </si>
  <si>
    <t>Efficiency of Ships</t>
  </si>
  <si>
    <t>https://pubs.acs.org/doi/abs/10.1021/es5018575</t>
  </si>
  <si>
    <t>Costs of shipping engines</t>
  </si>
  <si>
    <t>https://ec.europa.eu/environment/air/pdf/chapter2_ship_emissions.pdf</t>
  </si>
  <si>
    <t>Load factor "at sea"</t>
  </si>
  <si>
    <t>Price development of Vessel as a result of power unit (kUSD/kW)</t>
  </si>
  <si>
    <t>https://orbit.dtu.dk/files/127119694/Psaraftis_Kontovas_SPEED_VRP_2014_v4.0.pdf</t>
  </si>
  <si>
    <t>Speed in nautic miles/h</t>
  </si>
  <si>
    <t>Based upon above calculations all vessel costs have been adjusted, Tank and engine have been asumed similar due to comparison of costs of stationary similar plants.</t>
  </si>
  <si>
    <t>Efficiency of engine types</t>
  </si>
  <si>
    <t>Data for calculation on the shipping distance, most of all data is based opun the TIMES-DKGAS model ducumentation developed by Chalmers (Dejene)</t>
  </si>
  <si>
    <t>USD Engine calculations</t>
  </si>
  <si>
    <t>USD engine</t>
  </si>
  <si>
    <t>Mio USD</t>
  </si>
  <si>
    <t xml:space="preserve">mio USD/MW stationary gas plant (ENS) </t>
  </si>
  <si>
    <t>Tank costs</t>
  </si>
  <si>
    <t>Vessel costs calculated</t>
  </si>
  <si>
    <t>Compared cost to stationary units</t>
  </si>
  <si>
    <t>Factor correction needed</t>
  </si>
  <si>
    <t>Calculated cost of Emma mærsk</t>
  </si>
  <si>
    <t>Price</t>
  </si>
  <si>
    <t>Kw</t>
  </si>
  <si>
    <t>Engine size</t>
  </si>
  <si>
    <t>Mio. kr /engien</t>
  </si>
  <si>
    <t>Adjustment for vessel costs of ships compared to the vessel Emma mærsk</t>
  </si>
  <si>
    <t>Deact~FI_T</t>
  </si>
  <si>
    <t>Deact~FI_Process</t>
  </si>
  <si>
    <t>MKr17</t>
  </si>
  <si>
    <t>ACT_FLO</t>
  </si>
  <si>
    <t>Turbofan, 75 ton passagerfly adjusted according to latest data on Airbus 321- NEO, assuming this indicates average sold airplanes in 2015, using similar projection to future years</t>
  </si>
  <si>
    <t xml:space="preserve">OBS! Adjusted according to new data from airbus 321 neo planes https://ens.dk/sites/ens.dk/files/Analyser/energiforbrug_for_tog_og_fly.pdf </t>
  </si>
  <si>
    <t>Virkningsgrad Adjusted</t>
  </si>
  <si>
    <t>Vehicle energy consumption per Vkm</t>
  </si>
  <si>
    <t>Vkm/GJ</t>
  </si>
  <si>
    <t>Based on Kastrup-Billiund (220 km)</t>
  </si>
  <si>
    <t>Based on Kastrup-Rome (1534 km)</t>
  </si>
  <si>
    <t>TRAKENA2</t>
  </si>
  <si>
    <t>TRAKENA3</t>
  </si>
  <si>
    <t>TRAKENA4</t>
  </si>
  <si>
    <t>TRAKEIN2</t>
  </si>
  <si>
    <t>TRAKEIN3</t>
  </si>
  <si>
    <t>TRAKEIN4</t>
  </si>
  <si>
    <t>TPAIL</t>
  </si>
  <si>
    <t>TPAIS</t>
  </si>
  <si>
    <t>Transport Passengers Air Short International - Biokerosene 2 - New</t>
  </si>
  <si>
    <t>Transport Passengers Air Short International - Biokerosene 3 - New</t>
  </si>
  <si>
    <t>Transport Passengers Air Short International - Biokerosene 4 - New</t>
  </si>
  <si>
    <t>Transport Passengers Air Long International - Biokerosene 2 - New</t>
  </si>
  <si>
    <t>Transport Passengers Air Long International - Biokerosene 3 - New</t>
  </si>
  <si>
    <t>Transport Passengers Air Long International - Biokerosene 4 - New</t>
  </si>
  <si>
    <t>Transport Passengers Air National - Biokerosene 3- New</t>
  </si>
  <si>
    <t>Transport Passengers Air National - Biokerosene 4- New</t>
  </si>
  <si>
    <t>TPAI005</t>
  </si>
  <si>
    <t>Alternate generic plane long dist</t>
  </si>
  <si>
    <t>TRAHH2</t>
  </si>
  <si>
    <t>TPAI</t>
  </si>
  <si>
    <t>TPAN005</t>
  </si>
  <si>
    <t>Alternate generic plane domestic H2</t>
  </si>
  <si>
    <t>TPAN</t>
  </si>
  <si>
    <t>TPAN009</t>
  </si>
  <si>
    <t>Alternate generic plane domestic ELC</t>
  </si>
  <si>
    <t>TTRELC</t>
  </si>
  <si>
    <t>From TIMES-FI data on electric and hydrogen airplanes</t>
  </si>
  <si>
    <t>CF</t>
  </si>
  <si>
    <t>FI_T: EFF</t>
  </si>
  <si>
    <t>FI_T: NCAP_COST~EUR10</t>
  </si>
  <si>
    <t>FI_T: NCAP_FOM~EUR10</t>
  </si>
  <si>
    <t>FI_T: FLO_SHAR</t>
  </si>
  <si>
    <t>Transport Passengers Air Short International - Battery - New</t>
  </si>
  <si>
    <t>Transport Passengers Air National - Battery - New</t>
  </si>
  <si>
    <t>MKR15 to MEUR15</t>
  </si>
  <si>
    <t>EUR10 to EUR15</t>
  </si>
  <si>
    <t>MKr15 to EUR10</t>
  </si>
  <si>
    <t>From SYSsettings</t>
  </si>
  <si>
    <t>NCAP_FOM</t>
  </si>
  <si>
    <t>TPANKEBL_N</t>
  </si>
  <si>
    <t>Airplanes</t>
  </si>
  <si>
    <t>TPANAGSL_N</t>
  </si>
  <si>
    <t>TPAIKEBL_N</t>
  </si>
  <si>
    <t>TFAIKEBL_N</t>
  </si>
  <si>
    <t>MPkm/år</t>
  </si>
  <si>
    <t>MVKM/år</t>
  </si>
  <si>
    <t>PJ kerosene</t>
  </si>
  <si>
    <t>pKM</t>
  </si>
  <si>
    <t>Stock</t>
  </si>
  <si>
    <t>kvehicle/Pja</t>
  </si>
  <si>
    <t>KM per year</t>
  </si>
  <si>
    <t>Transport Passengers Air Short International - Hydrogen - New</t>
  </si>
  <si>
    <t>Transport Passengers Air National - Hydrogen - New</t>
  </si>
  <si>
    <t>Data from base year template</t>
  </si>
  <si>
    <t>Share-O~UP</t>
  </si>
  <si>
    <t>Transport passenger Motorbike Gasoline blend 2 - New</t>
  </si>
  <si>
    <t>Transport passenger Motorbike Gasoline blend 4 - New</t>
  </si>
  <si>
    <t>Transport passenger Motorbike Electric - New</t>
  </si>
  <si>
    <t>Transport passenger Moped Gasoline blend 2 - New</t>
  </si>
  <si>
    <t>Transport passenger Moped Gasoline blend 4 - New</t>
  </si>
  <si>
    <t>Transport passenger Moped Electric - New</t>
  </si>
  <si>
    <t>TRAOILBL4N</t>
  </si>
  <si>
    <t>TRANGBL2N</t>
  </si>
  <si>
    <t>TRANGBL3N</t>
  </si>
  <si>
    <t>TRANGBL4N</t>
  </si>
  <si>
    <t>TRAGSBN</t>
  </si>
  <si>
    <t>TFSNLBL2NN</t>
  </si>
  <si>
    <t>TFSNLBL3NN</t>
  </si>
  <si>
    <t>TFSNLBL4NN</t>
  </si>
  <si>
    <t>TFSIFONX2N</t>
  </si>
  <si>
    <t>TFSIFONX3N</t>
  </si>
  <si>
    <t>TFSIFONX4N</t>
  </si>
  <si>
    <t>TFSISBNX4N</t>
  </si>
  <si>
    <t>TFSIH2GX4N</t>
  </si>
  <si>
    <t>TPSNLBL2NN</t>
  </si>
  <si>
    <t>TPSNLBL3NN</t>
  </si>
  <si>
    <t>TPSNLBL4NN</t>
  </si>
  <si>
    <t>TPSIFONX2N</t>
  </si>
  <si>
    <t>TPSIFONX3N</t>
  </si>
  <si>
    <t>TPSIFONX4N</t>
  </si>
  <si>
    <t>*=LEFT(F5,4)&amp;RIGHT(E5,5)&amp;"N"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</si>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</sst>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1" formatCode="_-* #,##0_-;\-* #,##0_-;_-* &quot;-&quot;_-;_-@_-"/>
    <numFmt numFmtId="43" formatCode="_-* #,##0.00_-;\-* #,##0.00_-;_-* &quot;-&quot;??_-;_-@_-"/>
    <numFmt numFmtId="164" formatCode="_-* #,##0.00\ _k_r_-;\-* #,##0.00\ _k_r_-;_-* &quot;-&quot;??\ _k_r_-;_-@_-"/>
    <numFmt numFmtId="165" formatCode="_ * #,##0_ ;_ * \-#,##0_ ;_ * &quot;-&quot;_ ;_ @_ "/>
    <numFmt numFmtId="166" formatCode="_ * #,##0.00_ ;_ * \-#,##0.00_ ;_ * &quot;-&quot;??_ ;_ @_ "/>
    <numFmt numFmtId="167" formatCode="_-* #,##0.00\ _k_r_._-;\-* #,##0.00\ _k_r_._-;_-* &quot;-&quot;??\ _k_r_._-;_-@_-"/>
    <numFmt numFmtId="168" formatCode="0.000"/>
    <numFmt numFmtId="169" formatCode="0.0"/>
    <numFmt numFmtId="170" formatCode="0.00000"/>
    <numFmt numFmtId="171" formatCode="_-[$€-2]\ * #,##0.00_-;\-[$€-2]\ * #,##0.00_-;_-[$€-2]\ * &quot;-&quot;??_-"/>
    <numFmt numFmtId="172" formatCode="_-&quot;€&quot;\ * #,##0.00_-;\-&quot;€&quot;\ * #,##0.00_-;_-&quot;€&quot;\ * &quot;-&quot;??_-;_-@_-"/>
    <numFmt numFmtId="173" formatCode="_([$€]* #,##0.00_);_([$€]* \(#,##0.00\);_([$€]* &quot;-&quot;??_);_(@_)"/>
    <numFmt numFmtId="174" formatCode="#,##0;\-\ #,##0;_-\ &quot;- &quot;"/>
    <numFmt numFmtId="175" formatCode="#,##0.0000"/>
    <numFmt numFmtId="176" formatCode="#,##0.000"/>
    <numFmt numFmtId="177" formatCode="#,##0.00000"/>
    <numFmt numFmtId="178" formatCode="_(* #,##0.0000_);_(* \(#,##0.0000\);_(* &quot;-&quot;??_);_(@_)"/>
    <numFmt numFmtId="179" formatCode="0_ ;\-0\ "/>
    <numFmt numFmtId="180" formatCode="0.00_ ;\-0.00\ "/>
    <numFmt numFmtId="181" formatCode="_-[$€-2]* #,##0.00_-;\-[$€-2]* #,##0.00_-;_-[$€-2]* &quot;-&quot;??_-"/>
    <numFmt numFmtId="182" formatCode="\Te\x\t"/>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_-;\-* #,##0_-;_-* &quot;-&quot;??_-;_-@_-"/>
    <numFmt numFmtId="199" formatCode="_-* #,##0.00\ _€_-;\-* #,##0.00\ _€_-;_-* &quot;-&quot;??\ _€_-;_-@_-"/>
    <numFmt numFmtId="200" formatCode="#,##0.00\ &quot;F&quot;;[Red]\-#,##0.00\ &quot;F&quot;"/>
    <numFmt numFmtId="201" formatCode="#,##0.0_)"/>
    <numFmt numFmtId="202" formatCode="0.0;\-0.0"/>
    <numFmt numFmtId="203" formatCode="\$#,##0\ ;\(\$#,##0\)"/>
    <numFmt numFmtId="204" formatCode="General_)"/>
    <numFmt numFmtId="205" formatCode="_ * #,##0.000_ ;_ * \-#,##0.000_ ;_ * &quot;-&quot;??_ ;_ @_ "/>
    <numFmt numFmtId="206" formatCode="_(* #,##0.00000_);_(* \(#,##0.00000\);_(* &quot;-&quot;??_);_(@_)"/>
    <numFmt numFmtId="207" formatCode="_-* #,##0\ _k_r_._-;\-* #,##0\ _k_r_._-;_-* &quot;-&quot;??\ _k_r_._-;_-@_-"/>
    <numFmt numFmtId="208" formatCode="_-* #,##0.0000000\ _k_r_._-;\-* #,##0.0000000\ _k_r_._-;_-* &quot;-&quot;??\ _k_r_._-;_-@_-"/>
    <numFmt numFmtId="209" formatCode="_-* #,##0.0000\ _k_r_._-;\-* #,##0.0000\ _k_r_._-;_-* &quot;-&quot;??\ _k_r_._-;_-@_-"/>
    <numFmt numFmtId="210" formatCode="0.000000"/>
  </numFmts>
  <fonts count="191">
    <font>
      <sz val="10"/>
      <name val="Arial"/>
    </font>
    <font>
      <sz val="9"/>
      <color theme="1"/>
      <name val="Verdan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b/>
      <i/>
      <sz val="10"/>
      <name val="Arial"/>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8"/>
      <name val="Calibri"/>
      <family val="2"/>
      <charset val="204"/>
      <scheme val="minor"/>
    </font>
    <font>
      <sz val="10"/>
      <color rgb="FFFF0000"/>
      <name val="Arial"/>
      <family val="2"/>
    </font>
    <font>
      <sz val="10"/>
      <color rgb="FF0000FF"/>
      <name val="Arial"/>
      <family val="2"/>
    </font>
    <font>
      <sz val="10"/>
      <color rgb="FF00B050"/>
      <name val="Arial"/>
      <family val="2"/>
    </font>
    <font>
      <sz val="10"/>
      <color theme="1"/>
      <name val="Arial"/>
      <family val="2"/>
    </font>
    <font>
      <b/>
      <sz val="10"/>
      <color rgb="FFFF0000"/>
      <name val="Arial"/>
      <family val="2"/>
    </font>
    <font>
      <i/>
      <sz val="10"/>
      <color theme="1"/>
      <name val="Arial"/>
      <family val="2"/>
    </font>
    <font>
      <sz val="10"/>
      <color theme="0" tint="-0.34998626667073579"/>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sz val="10"/>
      <color theme="1"/>
      <name val="Arial"/>
      <family val="2"/>
      <charset val="204"/>
    </font>
    <font>
      <sz val="10"/>
      <color rgb="FFFF0000"/>
      <name val="Arial"/>
      <family val="2"/>
      <charset val="204"/>
    </font>
    <font>
      <sz val="11"/>
      <name val="Calibri"/>
      <family val="2"/>
      <scheme val="minor"/>
    </font>
    <font>
      <b/>
      <sz val="14"/>
      <name val="Arial"/>
      <family val="2"/>
    </font>
    <font>
      <sz val="11"/>
      <color theme="1" tint="4.9989318521683403E-2"/>
      <name val="Calibri"/>
      <family val="2"/>
      <scheme val="minor"/>
    </font>
    <font>
      <b/>
      <sz val="14"/>
      <name val="Calibri"/>
      <family val="2"/>
      <scheme val="minor"/>
    </font>
    <font>
      <sz val="12"/>
      <name val="Calibri"/>
      <family val="2"/>
      <scheme val="minor"/>
    </font>
    <font>
      <b/>
      <i/>
      <sz val="11"/>
      <color rgb="FF7F7F7F"/>
      <name val="Calibri"/>
      <family val="2"/>
      <scheme val="minor"/>
    </font>
    <font>
      <sz val="10"/>
      <name val="Arial"/>
      <family val="2"/>
    </font>
    <font>
      <i/>
      <sz val="8"/>
      <name val="Arial"/>
      <family val="2"/>
    </font>
    <font>
      <sz val="10"/>
      <color rgb="FF212121"/>
      <name val="Arial"/>
      <family val="2"/>
    </font>
    <font>
      <b/>
      <sz val="16"/>
      <name val="Calibri"/>
      <family val="2"/>
      <scheme val="minor"/>
    </font>
    <font>
      <sz val="10"/>
      <color rgb="FF000000"/>
      <name val="Arial"/>
      <family val="2"/>
    </font>
    <font>
      <sz val="10"/>
      <color rgb="FF008000"/>
      <name val="Arial"/>
      <family val="2"/>
    </font>
    <font>
      <sz val="10"/>
      <color rgb="FF008080"/>
      <name val="Calibri"/>
      <family val="2"/>
    </font>
    <font>
      <sz val="10"/>
      <color rgb="FF008080"/>
      <name val="Arial"/>
      <family val="2"/>
    </font>
    <font>
      <i/>
      <sz val="10"/>
      <color rgb="FFFF00FF"/>
      <name val="Arial"/>
      <family val="2"/>
    </font>
    <font>
      <b/>
      <sz val="15"/>
      <name val="Calibri"/>
      <family val="2"/>
    </font>
    <font>
      <sz val="11"/>
      <color rgb="FFFFFF00"/>
      <name val="Calibri"/>
      <family val="2"/>
      <scheme val="minor"/>
    </font>
    <font>
      <sz val="9"/>
      <color rgb="FFFF0000"/>
      <name val="Arial"/>
      <family val="2"/>
    </font>
    <font>
      <b/>
      <sz val="10"/>
      <color indexed="8"/>
      <name val="Arial"/>
      <family val="2"/>
    </font>
    <font>
      <b/>
      <sz val="10"/>
      <color rgb="FF0000FF"/>
      <name val="Arial"/>
      <family val="2"/>
    </font>
    <font>
      <b/>
      <sz val="10"/>
      <name val="Calibri"/>
      <family val="2"/>
    </font>
  </fonts>
  <fills count="98">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theme="6" tint="0.39997558519241921"/>
        <bgColor indexed="64"/>
      </patternFill>
    </fill>
    <fill>
      <patternFill patternType="solid">
        <fgColor rgb="FFFFFF66"/>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0C0C0"/>
        <bgColor rgb="FF000000"/>
      </patternFill>
    </fill>
    <fill>
      <patternFill patternType="solid">
        <fgColor rgb="FFFFFFFF"/>
        <bgColor rgb="FF000000"/>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C0C0C0"/>
        <bgColor indexed="64"/>
      </patternFill>
    </fill>
  </fills>
  <borders count="136">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medium">
        <color indexed="64"/>
      </right>
      <top style="medium">
        <color indexed="64"/>
      </top>
      <bottom style="medium">
        <color indexed="64"/>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auto="1"/>
      </bottom>
      <diagonal/>
    </border>
    <border>
      <left style="medium">
        <color auto="1"/>
      </left>
      <right/>
      <top/>
      <bottom style="medium">
        <color auto="1"/>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thin">
        <color auto="1"/>
      </top>
      <bottom/>
      <diagonal/>
    </border>
    <border>
      <left style="thin">
        <color indexed="64"/>
      </left>
      <right style="thin">
        <color indexed="64"/>
      </right>
      <top style="thin">
        <color auto="1"/>
      </top>
      <bottom/>
      <diagonal/>
    </border>
    <border>
      <left/>
      <right/>
      <top style="thin">
        <color indexed="64"/>
      </top>
      <bottom style="thin">
        <color indexed="64"/>
      </bottom>
      <diagonal/>
    </border>
    <border>
      <left style="thin">
        <color auto="1"/>
      </left>
      <right style="medium">
        <color auto="1"/>
      </right>
      <top/>
      <bottom style="medium">
        <color auto="1"/>
      </bottom>
      <diagonal/>
    </border>
    <border>
      <left style="thin">
        <color indexed="64"/>
      </left>
      <right/>
      <top style="thin">
        <color indexed="64"/>
      </top>
      <bottom style="medium">
        <color indexed="64"/>
      </bottom>
      <diagonal/>
    </border>
  </borders>
  <cellStyleXfs count="40428">
    <xf numFmtId="0" fontId="0" fillId="0" borderId="0"/>
    <xf numFmtId="181" fontId="12" fillId="0" borderId="0"/>
    <xf numFmtId="3" fontId="12" fillId="30" borderId="43" applyFont="0" applyFill="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12" borderId="0" applyNumberFormat="0" applyBorder="0" applyAlignment="0" applyProtection="0"/>
    <xf numFmtId="0" fontId="12" fillId="0" borderId="0" applyNumberFormat="0" applyFont="0" applyFill="0" applyBorder="0" applyProtection="0">
      <alignment horizontal="left" vertical="center" indent="5"/>
    </xf>
    <xf numFmtId="49" fontId="39" fillId="0" borderId="2" applyNumberFormat="0" applyFont="0" applyFill="0" applyBorder="0" applyProtection="0">
      <alignment horizontal="left" vertical="center" indent="5"/>
    </xf>
    <xf numFmtId="0" fontId="14" fillId="13"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4" fontId="35" fillId="21" borderId="3">
      <alignment horizontal="right" vertical="center"/>
    </xf>
    <xf numFmtId="4" fontId="35" fillId="21" borderId="3">
      <alignment horizontal="right" vertical="center"/>
    </xf>
    <xf numFmtId="0" fontId="65" fillId="31" borderId="0" applyNumberFormat="0" applyBorder="0" applyAlignment="0" applyProtection="0"/>
    <xf numFmtId="4" fontId="41" fillId="0" borderId="4" applyFill="0" applyBorder="0" applyProtection="0">
      <alignment horizontal="right" vertical="center"/>
    </xf>
    <xf numFmtId="3" fontId="66" fillId="32" borderId="43" applyNumberFormat="0" applyBorder="0" applyAlignment="0" applyProtection="0"/>
    <xf numFmtId="0" fontId="16" fillId="22" borderId="1" applyNumberFormat="0" applyAlignment="0" applyProtection="0"/>
    <xf numFmtId="0" fontId="30" fillId="30" borderId="43" applyNumberFormat="0" applyBorder="0" applyAlignment="0" applyProtection="0"/>
    <xf numFmtId="0" fontId="24" fillId="0" borderId="5" applyNumberFormat="0" applyFill="0" applyAlignment="0" applyProtection="0"/>
    <xf numFmtId="0" fontId="17" fillId="23" borderId="6" applyNumberFormat="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20" borderId="0" applyNumberFormat="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46" fillId="0" borderId="0" applyFont="0" applyFill="0" applyBorder="0" applyAlignment="0" applyProtection="0"/>
    <xf numFmtId="164" fontId="12" fillId="0" borderId="0" applyFont="0" applyFill="0" applyBorder="0" applyAlignment="0" applyProtection="0"/>
    <xf numFmtId="43" fontId="47" fillId="0" borderId="0" applyFont="0" applyFill="0" applyBorder="0" applyAlignment="0" applyProtection="0"/>
    <xf numFmtId="43" fontId="12" fillId="0" borderId="0" applyFont="0" applyFill="0" applyBorder="0" applyAlignment="0" applyProtection="0"/>
    <xf numFmtId="0" fontId="38" fillId="0" borderId="0"/>
    <xf numFmtId="0" fontId="39" fillId="0" borderId="7">
      <alignment horizontal="left" vertical="center" wrapText="1" indent="2"/>
    </xf>
    <xf numFmtId="171" fontId="3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1" fontId="37" fillId="0" borderId="0" applyFont="0" applyFill="0" applyBorder="0" applyAlignment="0" applyProtection="0"/>
    <xf numFmtId="171" fontId="36" fillId="0" borderId="0" applyFont="0" applyFill="0" applyBorder="0" applyAlignment="0" applyProtection="0"/>
    <xf numFmtId="0" fontId="12" fillId="0" borderId="0" applyFont="0" applyFill="0" applyBorder="0" applyAlignment="0" applyProtection="0"/>
    <xf numFmtId="171" fontId="45"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1" fontId="46" fillId="0" borderId="0" applyFont="0" applyFill="0" applyBorder="0" applyAlignment="0" applyProtection="0"/>
    <xf numFmtId="171"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172" fontId="37" fillId="0" borderId="0" applyFont="0" applyFill="0" applyBorder="0" applyAlignment="0" applyProtection="0"/>
    <xf numFmtId="172" fontId="12" fillId="0" borderId="0" applyFont="0" applyFill="0" applyBorder="0" applyAlignment="0" applyProtection="0"/>
    <xf numFmtId="172" fontId="37" fillId="0" borderId="0" applyFont="0" applyFill="0" applyBorder="0" applyAlignment="0" applyProtection="0"/>
    <xf numFmtId="172" fontId="36" fillId="0" borderId="0" applyFont="0" applyFill="0" applyBorder="0" applyAlignment="0" applyProtection="0"/>
    <xf numFmtId="172" fontId="45" fillId="0" borderId="0" applyFont="0" applyFill="0" applyBorder="0" applyAlignment="0" applyProtection="0"/>
    <xf numFmtId="172" fontId="46" fillId="0" borderId="0" applyFont="0" applyFill="0" applyBorder="0" applyAlignment="0" applyProtection="0"/>
    <xf numFmtId="172" fontId="47" fillId="0" borderId="0" applyFont="0" applyFill="0" applyBorder="0" applyAlignment="0" applyProtection="0"/>
    <xf numFmtId="0" fontId="38" fillId="0" borderId="0"/>
    <xf numFmtId="0" fontId="67" fillId="34" borderId="0" applyNumberFormat="0" applyAlignment="0" applyProtection="0"/>
    <xf numFmtId="0" fontId="51" fillId="0" borderId="0" applyNumberFormat="0" applyFill="0" applyBorder="0" applyAlignment="0" applyProtection="0"/>
    <xf numFmtId="181" fontId="44" fillId="0" borderId="0" applyNumberFormat="0" applyFill="0" applyBorder="0" applyAlignment="0" applyProtection="0">
      <alignment vertical="top"/>
      <protection locked="0"/>
    </xf>
    <xf numFmtId="179" fontId="68" fillId="35" borderId="0" applyNumberFormat="0" applyBorder="0" applyAlignment="0" applyProtection="0">
      <alignment horizontal="center" vertical="top" wrapText="1"/>
    </xf>
    <xf numFmtId="0" fontId="23" fillId="8" borderId="1" applyNumberFormat="0" applyAlignment="0" applyProtection="0"/>
    <xf numFmtId="4" fontId="39" fillId="0" borderId="0" applyBorder="0">
      <alignment horizontal="right" vertical="center"/>
    </xf>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43" fontId="37" fillId="0" borderId="0" applyFont="0" applyFill="0" applyBorder="0" applyAlignment="0" applyProtection="0"/>
    <xf numFmtId="43" fontId="12"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47" fillId="0" borderId="0" applyFont="0" applyFill="0" applyBorder="0" applyAlignment="0" applyProtection="0"/>
    <xf numFmtId="0" fontId="25" fillId="24" borderId="0" applyNumberFormat="0" applyBorder="0" applyAlignment="0" applyProtection="0"/>
    <xf numFmtId="0" fontId="12" fillId="0" borderId="0"/>
    <xf numFmtId="0" fontId="12" fillId="0" borderId="0"/>
    <xf numFmtId="0" fontId="38" fillId="0" borderId="0"/>
    <xf numFmtId="181" fontId="12" fillId="0" borderId="0"/>
    <xf numFmtId="181" fontId="12" fillId="0" borderId="0"/>
    <xf numFmtId="181" fontId="12" fillId="0" borderId="0"/>
    <xf numFmtId="179" fontId="12" fillId="0" borderId="0"/>
    <xf numFmtId="0" fontId="64" fillId="0" borderId="0"/>
    <xf numFmtId="0" fontId="64" fillId="0" borderId="0"/>
    <xf numFmtId="0" fontId="64" fillId="0" borderId="0"/>
    <xf numFmtId="0" fontId="43" fillId="0" borderId="0"/>
    <xf numFmtId="0" fontId="69" fillId="0" borderId="0"/>
    <xf numFmtId="0" fontId="64" fillId="0" borderId="0"/>
    <xf numFmtId="0" fontId="70" fillId="0" borderId="0"/>
    <xf numFmtId="183" fontId="48" fillId="0" borderId="0" applyNumberFormat="0" applyProtection="0">
      <alignment horizontal="center" vertical="center"/>
    </xf>
    <xf numFmtId="0" fontId="64" fillId="0" borderId="0"/>
    <xf numFmtId="0" fontId="50" fillId="0" borderId="0"/>
    <xf numFmtId="0" fontId="70" fillId="0" borderId="0"/>
    <xf numFmtId="0" fontId="53" fillId="0" borderId="0"/>
    <xf numFmtId="0" fontId="36" fillId="0" borderId="0"/>
    <xf numFmtId="0" fontId="43" fillId="0" borderId="0"/>
    <xf numFmtId="179" fontId="30" fillId="30" borderId="0" applyNumberFormat="0" applyBorder="0" applyAlignment="0"/>
    <xf numFmtId="4" fontId="39" fillId="0" borderId="3" applyFill="0" applyBorder="0" applyProtection="0">
      <alignment horizontal="right" vertical="center"/>
    </xf>
    <xf numFmtId="0" fontId="41" fillId="0" borderId="0" applyNumberFormat="0" applyFill="0" applyBorder="0" applyProtection="0">
      <alignment horizontal="left" vertical="center"/>
    </xf>
    <xf numFmtId="0" fontId="39" fillId="0" borderId="3" applyNumberFormat="0" applyFill="0" applyAlignment="0" applyProtection="0"/>
    <xf numFmtId="0" fontId="12" fillId="25" borderId="0" applyNumberFormat="0" applyFont="0" applyBorder="0" applyAlignment="0" applyProtection="0"/>
    <xf numFmtId="0" fontId="52" fillId="26" borderId="0" applyNumberFormat="0" applyFont="0" applyBorder="0" applyAlignment="0" applyProtection="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3" fillId="0" borderId="0"/>
    <xf numFmtId="0" fontId="13"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40" fillId="0" borderId="0"/>
    <xf numFmtId="0" fontId="10" fillId="0" borderId="0"/>
    <xf numFmtId="0" fontId="37" fillId="27" borderId="11" applyNumberFormat="0" applyFont="0" applyAlignment="0" applyProtection="0"/>
    <xf numFmtId="0" fontId="12" fillId="27" borderId="11" applyNumberFormat="0" applyFont="0" applyAlignment="0" applyProtection="0"/>
    <xf numFmtId="0" fontId="37" fillId="27" borderId="11" applyNumberFormat="0" applyFont="0" applyAlignment="0" applyProtection="0"/>
    <xf numFmtId="0" fontId="36" fillId="27" borderId="11" applyNumberFormat="0" applyFont="0" applyAlignment="0" applyProtection="0"/>
    <xf numFmtId="0" fontId="45" fillId="27" borderId="11" applyNumberFormat="0" applyFont="0" applyAlignment="0" applyProtection="0"/>
    <xf numFmtId="0" fontId="46" fillId="27" borderId="11" applyNumberFormat="0" applyFont="0" applyAlignment="0" applyProtection="0"/>
    <xf numFmtId="0" fontId="47" fillId="27" borderId="11" applyNumberFormat="0" applyFont="0" applyAlignment="0" applyProtection="0"/>
    <xf numFmtId="174" fontId="3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174" fontId="37" fillId="0" borderId="0" applyFont="0" applyFill="0" applyBorder="0" applyAlignment="0" applyProtection="0"/>
    <xf numFmtId="174" fontId="12" fillId="0" borderId="0" applyFont="0" applyFill="0" applyBorder="0" applyAlignment="0" applyProtection="0"/>
    <xf numFmtId="174" fontId="37" fillId="0" borderId="0" applyFont="0" applyFill="0" applyBorder="0" applyAlignment="0" applyProtection="0"/>
    <xf numFmtId="174" fontId="36" fillId="0" borderId="0" applyFont="0" applyFill="0" applyBorder="0" applyAlignment="0" applyProtection="0"/>
    <xf numFmtId="174" fontId="45" fillId="0" borderId="0" applyFont="0" applyFill="0" applyBorder="0" applyAlignment="0" applyProtection="0"/>
    <xf numFmtId="174" fontId="46" fillId="0" borderId="0" applyFont="0" applyFill="0" applyBorder="0" applyAlignment="0" applyProtection="0"/>
    <xf numFmtId="174" fontId="47" fillId="0" borderId="0" applyFont="0" applyFill="0" applyBorder="0" applyAlignment="0" applyProtection="0"/>
    <xf numFmtId="0" fontId="26" fillId="22" borderId="12" applyNumberFormat="0" applyAlignment="0" applyProtection="0"/>
    <xf numFmtId="175" fontId="39" fillId="28" borderId="3" applyNumberFormat="0" applyFont="0" applyBorder="0" applyAlignment="0" applyProtection="0">
      <alignment horizontal="right" vertical="center"/>
    </xf>
    <xf numFmtId="0" fontId="38" fillId="0" borderId="0"/>
    <xf numFmtId="9" fontId="12"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12" fillId="0" borderId="0" applyFont="0" applyFill="0" applyBorder="0" applyAlignment="0" applyProtection="0"/>
    <xf numFmtId="9" fontId="64" fillId="0" borderId="0" applyFont="0" applyFill="0" applyBorder="0" applyAlignment="0" applyProtection="0"/>
    <xf numFmtId="9" fontId="46" fillId="0" borderId="0" applyFont="0" applyFill="0" applyBorder="0" applyAlignment="0" applyProtection="0"/>
    <xf numFmtId="9" fontId="43"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37" fillId="0" borderId="0" applyFont="0" applyFill="0" applyBorder="0" applyAlignment="0" applyProtection="0"/>
    <xf numFmtId="9" fontId="12" fillId="0" borderId="0" applyFont="0" applyFill="0" applyBorder="0" applyAlignment="0" applyProtection="0"/>
    <xf numFmtId="9" fontId="37" fillId="0" borderId="0" applyFont="0" applyFill="0" applyBorder="0" applyAlignment="0" applyProtection="0"/>
    <xf numFmtId="9" fontId="36"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47" fillId="0" borderId="0" applyFont="0" applyFill="0" applyBorder="0" applyAlignment="0" applyProtection="0"/>
    <xf numFmtId="9" fontId="12" fillId="0" borderId="0" applyFont="0" applyFill="0" applyBorder="0" applyAlignment="0" applyProtection="0"/>
    <xf numFmtId="0" fontId="29" fillId="0" borderId="0" applyNumberFormat="0" applyFill="0" applyBorder="0" applyAlignment="0" applyProtection="0"/>
    <xf numFmtId="0" fontId="18" fillId="0" borderId="0" applyNumberFormat="0" applyFill="0" applyBorder="0" applyAlignment="0" applyProtection="0"/>
    <xf numFmtId="0" fontId="27" fillId="0" borderId="0" applyNumberFormat="0" applyFill="0" applyBorder="0" applyAlignment="0" applyProtection="0"/>
    <xf numFmtId="0" fontId="20" fillId="0" borderId="8" applyNumberFormat="0" applyFill="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28" fillId="0" borderId="13" applyNumberFormat="0" applyFill="0" applyAlignment="0" applyProtection="0"/>
    <xf numFmtId="0" fontId="71" fillId="33" borderId="43" applyNumberFormat="0" applyFill="0" applyBorder="0" applyAlignment="0" applyProtection="0"/>
    <xf numFmtId="0" fontId="15" fillId="4" borderId="0" applyNumberFormat="0" applyBorder="0" applyAlignment="0" applyProtection="0"/>
    <xf numFmtId="0" fontId="19" fillId="5" borderId="0" applyNumberFormat="0" applyBorder="0" applyAlignment="0" applyProtection="0"/>
    <xf numFmtId="0" fontId="49" fillId="0" borderId="14">
      <alignment horizontal="center"/>
      <protection hidden="1"/>
    </xf>
    <xf numFmtId="0" fontId="62" fillId="33" borderId="43" applyFill="0" applyBorder="0" applyAlignment="0" applyProtection="0"/>
    <xf numFmtId="4" fontId="39" fillId="0" borderId="0"/>
    <xf numFmtId="0" fontId="67" fillId="34" borderId="0" applyNumberFormat="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5"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49"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48"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2"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9" fillId="56"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12" borderId="0" applyNumberFormat="0" applyBorder="0" applyAlignment="0" applyProtection="0"/>
    <xf numFmtId="0" fontId="14" fillId="13"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20" borderId="0" applyNumberFormat="0" applyBorder="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12"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12" fillId="44" borderId="46" applyNumberFormat="0" applyFont="0" applyAlignment="0" applyProtection="0"/>
    <xf numFmtId="0" fontId="9" fillId="44" borderId="46" applyNumberFormat="0" applyFont="0" applyAlignment="0" applyProtection="0"/>
    <xf numFmtId="0" fontId="9" fillId="44" borderId="46" applyNumberFormat="0" applyFont="0" applyAlignment="0" applyProtection="0"/>
    <xf numFmtId="0" fontId="83" fillId="0" borderId="0"/>
    <xf numFmtId="0" fontId="84" fillId="0" borderId="0">
      <alignment horizontal="right"/>
    </xf>
    <xf numFmtId="0" fontId="85" fillId="0" borderId="0"/>
    <xf numFmtId="0" fontId="86" fillId="0" borderId="0"/>
    <xf numFmtId="0" fontId="87" fillId="0" borderId="0"/>
    <xf numFmtId="0" fontId="88" fillId="0" borderId="47" applyNumberFormat="0" applyAlignment="0"/>
    <xf numFmtId="0" fontId="89" fillId="0" borderId="0" applyAlignment="0">
      <alignment horizontal="left"/>
    </xf>
    <xf numFmtId="0" fontId="89" fillId="0" borderId="0">
      <alignment horizontal="right"/>
    </xf>
    <xf numFmtId="184" fontId="89" fillId="0" borderId="0">
      <alignment horizontal="right"/>
    </xf>
    <xf numFmtId="169" fontId="90" fillId="0" borderId="0">
      <alignment horizontal="right"/>
    </xf>
    <xf numFmtId="0" fontId="91" fillId="0" borderId="0"/>
    <xf numFmtId="0" fontId="16" fillId="22" borderId="1" applyNumberFormat="0" applyAlignment="0" applyProtection="0"/>
    <xf numFmtId="0" fontId="16" fillId="22" borderId="1" applyNumberFormat="0" applyAlignment="0" applyProtection="0"/>
    <xf numFmtId="0" fontId="17" fillId="23" borderId="6" applyNumberFormat="0" applyAlignment="0" applyProtection="0"/>
    <xf numFmtId="166" fontId="12" fillId="0" borderId="0" applyFont="0" applyFill="0" applyBorder="0" applyAlignment="0" applyProtection="0"/>
    <xf numFmtId="166" fontId="92" fillId="0" borderId="0" applyFont="0" applyFill="0" applyBorder="0" applyAlignment="0" applyProtection="0"/>
    <xf numFmtId="43" fontId="13" fillId="0" borderId="0" applyFont="0" applyFill="0" applyBorder="0" applyAlignment="0" applyProtection="0"/>
    <xf numFmtId="166" fontId="92" fillId="0" borderId="0" applyFont="0" applyFill="0" applyBorder="0" applyAlignment="0" applyProtection="0"/>
    <xf numFmtId="166" fontId="92" fillId="0" borderId="0" applyFont="0" applyFill="0" applyBorder="0" applyAlignment="0" applyProtection="0"/>
    <xf numFmtId="166" fontId="92"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0" fontId="18" fillId="0" borderId="0" applyNumberFormat="0" applyFill="0" applyBorder="0" applyAlignment="0" applyProtection="0"/>
    <xf numFmtId="0" fontId="19" fillId="5" borderId="0" applyNumberFormat="0" applyBorder="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44" fillId="0" borderId="0" applyNumberFormat="0" applyFill="0" applyBorder="0" applyAlignment="0" applyProtection="0">
      <alignment vertical="top"/>
      <protection locked="0"/>
    </xf>
    <xf numFmtId="0" fontId="23" fillId="8" borderId="1" applyNumberFormat="0" applyAlignment="0" applyProtection="0"/>
    <xf numFmtId="166" fontId="9" fillId="0" borderId="0" applyFont="0" applyFill="0" applyBorder="0" applyAlignment="0" applyProtection="0"/>
    <xf numFmtId="166"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0" fontId="44" fillId="0" borderId="0" applyNumberFormat="0" applyFill="0" applyBorder="0" applyAlignment="0" applyProtection="0">
      <alignment vertical="top"/>
      <protection locked="0"/>
    </xf>
    <xf numFmtId="0" fontId="93"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alignment vertical="top"/>
      <protection locked="0"/>
    </xf>
    <xf numFmtId="0" fontId="24" fillId="0" borderId="5" applyNumberFormat="0" applyFill="0" applyAlignment="0" applyProtection="0"/>
    <xf numFmtId="0" fontId="25" fillId="24"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7" fillId="0" borderId="0"/>
    <xf numFmtId="0" fontId="77" fillId="0" borderId="0"/>
    <xf numFmtId="0" fontId="77" fillId="0" borderId="0"/>
    <xf numFmtId="0" fontId="77" fillId="0" borderId="0"/>
    <xf numFmtId="0" fontId="77" fillId="0" borderId="0"/>
    <xf numFmtId="0" fontId="7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81" fontId="9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7" fillId="0" borderId="0"/>
    <xf numFmtId="0" fontId="77" fillId="0" borderId="0"/>
    <xf numFmtId="0" fontId="77" fillId="0" borderId="0"/>
    <xf numFmtId="0" fontId="12" fillId="0" borderId="0"/>
    <xf numFmtId="0" fontId="9" fillId="0" borderId="0"/>
    <xf numFmtId="0" fontId="9" fillId="0" borderId="0"/>
    <xf numFmtId="0" fontId="9" fillId="0" borderId="0"/>
    <xf numFmtId="0" fontId="9" fillId="0" borderId="0"/>
    <xf numFmtId="0" fontId="9" fillId="0" borderId="0"/>
    <xf numFmtId="0" fontId="43" fillId="0" borderId="0" applyFill="0" applyBorder="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30" fillId="30" borderId="0" applyNumberFormat="0" applyBorder="0" applyAlignment="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27" borderId="11" applyNumberFormat="0" applyFont="0" applyAlignment="0" applyProtection="0"/>
    <xf numFmtId="0" fontId="12" fillId="27" borderId="11" applyNumberFormat="0" applyFont="0" applyAlignment="0" applyProtection="0"/>
    <xf numFmtId="0" fontId="26" fillId="22" borderId="12" applyNumberFormat="0" applyAlignment="0" applyProtection="0"/>
    <xf numFmtId="0" fontId="81" fillId="0" borderId="44" applyNumberFormat="0" applyFill="0" applyAlignment="0" applyProtection="0"/>
    <xf numFmtId="0" fontId="82" fillId="0" borderId="45" applyNumberFormat="0" applyFill="0" applyAlignment="0" applyProtection="0"/>
    <xf numFmtId="0" fontId="82" fillId="0" borderId="0" applyNumberFormat="0" applyFill="0" applyBorder="0" applyAlignment="0" applyProtection="0"/>
    <xf numFmtId="184" fontId="9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77"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6" fillId="0" borderId="0" applyNumberFormat="0" applyFill="0" applyBorder="0" applyAlignment="0" applyProtection="0"/>
    <xf numFmtId="0" fontId="27" fillId="0" borderId="0" applyNumberFormat="0" applyFill="0" applyBorder="0" applyAlignment="0" applyProtection="0"/>
    <xf numFmtId="0" fontId="28" fillId="0" borderId="13"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97" fillId="0" borderId="48" applyNumberFormat="0">
      <alignment vertical="center"/>
    </xf>
    <xf numFmtId="196" fontId="98" fillId="0" borderId="48">
      <alignment horizontal="right" vertical="center"/>
    </xf>
    <xf numFmtId="179" fontId="68" fillId="35" borderId="0" applyNumberFormat="0" applyBorder="0" applyAlignment="0" applyProtection="0">
      <alignment horizontal="center" vertical="top" wrapText="1"/>
    </xf>
    <xf numFmtId="0" fontId="111" fillId="0" borderId="53" applyNumberFormat="0" applyFill="0" applyAlignment="0" applyProtection="0"/>
    <xf numFmtId="0" fontId="81" fillId="0" borderId="44" applyNumberFormat="0" applyFill="0" applyAlignment="0" applyProtection="0"/>
    <xf numFmtId="0" fontId="82" fillId="0" borderId="45" applyNumberFormat="0" applyFill="0" applyAlignment="0" applyProtection="0"/>
    <xf numFmtId="0" fontId="82" fillId="0" borderId="0" applyNumberFormat="0" applyFill="0" applyBorder="0" applyAlignment="0" applyProtection="0"/>
    <xf numFmtId="0" fontId="112" fillId="58" borderId="0" applyNumberFormat="0" applyBorder="0" applyAlignment="0" applyProtection="0"/>
    <xf numFmtId="0" fontId="113" fillId="31" borderId="0" applyNumberFormat="0" applyBorder="0" applyAlignment="0" applyProtection="0"/>
    <xf numFmtId="0" fontId="114" fillId="59" borderId="0" applyNumberFormat="0" applyBorder="0" applyAlignment="0" applyProtection="0"/>
    <xf numFmtId="0" fontId="117" fillId="33" borderId="43" applyNumberFormat="0" applyAlignment="0" applyProtection="0"/>
    <xf numFmtId="0" fontId="118" fillId="0" borderId="55" applyNumberFormat="0" applyFill="0" applyAlignment="0" applyProtection="0"/>
    <xf numFmtId="0" fontId="119" fillId="61" borderId="56" applyNumberFormat="0" applyAlignment="0" applyProtection="0"/>
    <xf numFmtId="0" fontId="120" fillId="0" borderId="0" applyNumberFormat="0" applyFill="0" applyBorder="0" applyAlignment="0" applyProtection="0"/>
    <xf numFmtId="0" fontId="121" fillId="0" borderId="0" applyNumberFormat="0" applyFill="0" applyBorder="0" applyAlignment="0" applyProtection="0"/>
    <xf numFmtId="0" fontId="122" fillId="0" borderId="57" applyNumberFormat="0" applyFill="0" applyAlignment="0" applyProtection="0"/>
    <xf numFmtId="0" fontId="123" fillId="6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123" fillId="63" borderId="0" applyNumberFormat="0" applyBorder="0" applyAlignment="0" applyProtection="0"/>
    <xf numFmtId="0" fontId="123" fillId="6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123" fillId="65" borderId="0" applyNumberFormat="0" applyBorder="0" applyAlignment="0" applyProtection="0"/>
    <xf numFmtId="0" fontId="123" fillId="66"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123" fillId="67" borderId="0" applyNumberFormat="0" applyBorder="0" applyAlignment="0" applyProtection="0"/>
    <xf numFmtId="0" fontId="123" fillId="68"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123" fillId="69" borderId="0" applyNumberFormat="0" applyBorder="0" applyAlignment="0" applyProtection="0"/>
    <xf numFmtId="0" fontId="123" fillId="70"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123" fillId="71" borderId="0" applyNumberFormat="0" applyBorder="0" applyAlignment="0" applyProtection="0"/>
    <xf numFmtId="0" fontId="123" fillId="72"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123" fillId="73" borderId="0" applyNumberFormat="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124" fillId="0" borderId="0" applyNumberFormat="0" applyBorder="0" applyAlignment="0"/>
    <xf numFmtId="0" fontId="125" fillId="0" borderId="0" applyNumberFormat="0" applyFill="0" applyBorder="0" applyAlignment="0" applyProtection="0"/>
    <xf numFmtId="3" fontId="127" fillId="76" borderId="0" applyBorder="0" applyAlignment="0">
      <protection locked="0"/>
    </xf>
    <xf numFmtId="181" fontId="12" fillId="0" borderId="0" applyFont="0" applyFill="0" applyBorder="0" applyAlignment="0" applyProtection="0"/>
    <xf numFmtId="4" fontId="57" fillId="29" borderId="36" applyNumberFormat="0" applyFont="0" applyBorder="0" applyAlignment="0" applyProtection="0">
      <alignment horizontal="right"/>
    </xf>
    <xf numFmtId="0" fontId="12" fillId="0" borderId="0"/>
    <xf numFmtId="0" fontId="104" fillId="0" borderId="0"/>
    <xf numFmtId="181" fontId="12" fillId="0" borderId="0" applyFont="0" applyFill="0" applyBorder="0" applyAlignment="0" applyProtection="0"/>
    <xf numFmtId="0" fontId="115" fillId="60" borderId="43" applyNumberFormat="0" applyAlignment="0" applyProtection="0"/>
    <xf numFmtId="0" fontId="116" fillId="33" borderId="54" applyNumberFormat="0" applyAlignment="0" applyProtection="0"/>
    <xf numFmtId="166" fontId="12" fillId="0" borderId="0" applyFont="0" applyFill="0" applyBorder="0" applyAlignment="0" applyProtection="0"/>
    <xf numFmtId="0" fontId="8" fillId="0" borderId="0"/>
    <xf numFmtId="0" fontId="8" fillId="44" borderId="46"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 fontId="57" fillId="77" borderId="0" applyNumberFormat="0" applyFont="0" applyBorder="0" applyAlignment="0" applyProtection="0">
      <alignment horizontal="right"/>
    </xf>
    <xf numFmtId="0" fontId="126" fillId="22" borderId="1" applyNumberFormat="0" applyFill="0" applyBorder="0" applyAlignment="0" applyProtection="0"/>
    <xf numFmtId="0" fontId="77" fillId="0" borderId="0"/>
    <xf numFmtId="166" fontId="77" fillId="0" borderId="0" applyFont="0" applyFill="0" applyBorder="0" applyAlignment="0" applyProtection="0"/>
    <xf numFmtId="9" fontId="77" fillId="0" borderId="0" applyFont="0" applyFill="0" applyBorder="0" applyAlignment="0" applyProtection="0"/>
    <xf numFmtId="0" fontId="128" fillId="0" borderId="0" applyNumberFormat="0" applyFill="0" applyBorder="0" applyAlignment="0" applyProtection="0">
      <alignment vertical="top"/>
      <protection locked="0"/>
    </xf>
    <xf numFmtId="166" fontId="12" fillId="0" borderId="0" applyFont="0" applyFill="0" applyBorder="0" applyAlignment="0" applyProtection="0"/>
    <xf numFmtId="0" fontId="77" fillId="0" borderId="0"/>
    <xf numFmtId="0" fontId="129" fillId="58" borderId="0" applyNumberFormat="0" applyBorder="0" applyAlignment="0" applyProtection="0"/>
    <xf numFmtId="0" fontId="77" fillId="44" borderId="46" applyNumberFormat="0" applyFont="0" applyAlignment="0" applyProtection="0"/>
    <xf numFmtId="0" fontId="12" fillId="0" borderId="0"/>
    <xf numFmtId="166" fontId="12" fillId="0" borderId="0" applyFill="0" applyBorder="0" applyAlignment="0" applyProtection="0"/>
    <xf numFmtId="166" fontId="8" fillId="0" borderId="0" applyFont="0" applyFill="0" applyBorder="0" applyAlignment="0" applyProtection="0"/>
    <xf numFmtId="9" fontId="8" fillId="0" borderId="0" applyFont="0" applyFill="0" applyBorder="0" applyAlignment="0" applyProtection="0"/>
    <xf numFmtId="0" fontId="124" fillId="0" borderId="0" applyNumberFormat="0" applyBorder="0" applyAlignment="0"/>
    <xf numFmtId="0" fontId="12" fillId="0" borderId="0" applyNumberFormat="0" applyFont="0" applyFill="0" applyBorder="0" applyProtection="0">
      <alignment horizontal="left" vertical="center" indent="5"/>
    </xf>
    <xf numFmtId="43" fontId="8"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0"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8" fillId="0" borderId="0"/>
    <xf numFmtId="0" fontId="8" fillId="0" borderId="0"/>
    <xf numFmtId="0" fontId="8" fillId="0" borderId="0"/>
    <xf numFmtId="0" fontId="8" fillId="0" borderId="0"/>
    <xf numFmtId="0" fontId="8" fillId="0" borderId="0"/>
    <xf numFmtId="0" fontId="12" fillId="25"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7" borderId="11" applyNumberFormat="0" applyFont="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44" borderId="46" applyNumberFormat="0" applyFont="0" applyAlignment="0" applyProtection="0"/>
    <xf numFmtId="0" fontId="8" fillId="0" borderId="0"/>
    <xf numFmtId="0" fontId="8" fillId="48" borderId="0" applyNumberFormat="0" applyBorder="0" applyAlignment="0" applyProtection="0"/>
    <xf numFmtId="0" fontId="8" fillId="53" borderId="0" applyNumberFormat="0" applyBorder="0" applyAlignment="0" applyProtection="0"/>
    <xf numFmtId="0" fontId="12" fillId="0" borderId="0"/>
    <xf numFmtId="43" fontId="12" fillId="0" borderId="0" applyFont="0" applyFill="0" applyBorder="0" applyAlignment="0" applyProtection="0"/>
    <xf numFmtId="9" fontId="12"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40" fillId="0" borderId="0"/>
    <xf numFmtId="0" fontId="8" fillId="0" borderId="0"/>
    <xf numFmtId="0" fontId="12" fillId="0" borderId="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49" fontId="39" fillId="0" borderId="3" applyNumberFormat="0" applyFont="0" applyFill="0" applyBorder="0" applyProtection="0">
      <alignment horizontal="left" vertical="center" indent="2"/>
    </xf>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4"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7"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0" fontId="123" fillId="10" borderId="0" applyNumberFormat="0" applyBorder="0" applyAlignment="0" applyProtection="0"/>
    <xf numFmtId="201" fontId="89" fillId="0" borderId="0" applyAlignment="0" applyProtection="0"/>
    <xf numFmtId="201" fontId="89" fillId="0" borderId="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3" fillId="44" borderId="46" applyNumberFormat="0" applyFont="0" applyAlignment="0" applyProtection="0"/>
    <xf numFmtId="0" fontId="161" fillId="79" borderId="43" applyNumberFormat="0" applyAlignment="0" applyProtection="0"/>
    <xf numFmtId="0" fontId="161" fillId="79" borderId="43" applyNumberFormat="0" applyAlignment="0" applyProtection="0"/>
    <xf numFmtId="0" fontId="161" fillId="79" borderId="43" applyNumberFormat="0" applyAlignment="0" applyProtection="0"/>
    <xf numFmtId="0" fontId="161" fillId="79" borderId="43" applyNumberFormat="0" applyAlignment="0" applyProtection="0"/>
    <xf numFmtId="0" fontId="161" fillId="79" borderId="43" applyNumberFormat="0" applyAlignment="0" applyProtection="0"/>
    <xf numFmtId="3" fontId="158" fillId="0" borderId="0" applyFont="0" applyFill="0" applyBorder="0" applyAlignment="0" applyProtection="0"/>
    <xf numFmtId="202" fontId="12" fillId="0" borderId="0"/>
    <xf numFmtId="202" fontId="12" fillId="0" borderId="0"/>
    <xf numFmtId="202" fontId="12" fillId="0" borderId="0"/>
    <xf numFmtId="202" fontId="12" fillId="0" borderId="0"/>
    <xf numFmtId="202" fontId="12" fillId="0" borderId="0"/>
    <xf numFmtId="0" fontId="38" fillId="0" borderId="0"/>
    <xf numFmtId="203" fontId="158" fillId="0" borderId="0" applyFont="0" applyFill="0" applyBorder="0" applyAlignment="0" applyProtection="0"/>
    <xf numFmtId="0" fontId="158" fillId="0" borderId="0" applyFont="0" applyFill="0" applyBorder="0" applyAlignment="0" applyProtection="0"/>
    <xf numFmtId="0" fontId="38" fillId="0" borderId="0"/>
    <xf numFmtId="2" fontId="158" fillId="0" borderId="0" applyFont="0" applyFill="0" applyBorder="0" applyAlignment="0" applyProtection="0"/>
    <xf numFmtId="0" fontId="112" fillId="7" borderId="0" applyNumberFormat="0" applyBorder="0" applyAlignment="0" applyProtection="0"/>
    <xf numFmtId="0" fontId="112" fillId="7" borderId="0" applyNumberFormat="0" applyBorder="0" applyAlignment="0" applyProtection="0"/>
    <xf numFmtId="0" fontId="112" fillId="7" borderId="0" applyNumberFormat="0" applyBorder="0" applyAlignment="0" applyProtection="0"/>
    <xf numFmtId="0" fontId="112" fillId="7" borderId="0" applyNumberFormat="0" applyBorder="0" applyAlignment="0" applyProtection="0"/>
    <xf numFmtId="0" fontId="112" fillId="7" borderId="0" applyNumberFormat="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15" fillId="24" borderId="43" applyNumberFormat="0" applyAlignment="0" applyProtection="0"/>
    <xf numFmtId="0" fontId="115" fillId="24" borderId="43" applyNumberFormat="0" applyAlignment="0" applyProtection="0"/>
    <xf numFmtId="0" fontId="115" fillId="24" borderId="43" applyNumberFormat="0" applyAlignment="0" applyProtection="0"/>
    <xf numFmtId="0" fontId="115" fillId="24" borderId="43" applyNumberFormat="0" applyAlignment="0" applyProtection="0"/>
    <xf numFmtId="0" fontId="115" fillId="24" borderId="43" applyNumberFormat="0" applyAlignment="0" applyProtection="0"/>
    <xf numFmtId="199" fontId="12"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0"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0" fillId="0" borderId="0" applyFont="0" applyFill="0" applyBorder="0" applyAlignment="0" applyProtection="0"/>
    <xf numFmtId="43" fontId="12"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0" fillId="0" borderId="0" applyFont="0" applyFill="0" applyBorder="0" applyAlignment="0" applyProtection="0"/>
    <xf numFmtId="199" fontId="12" fillId="0" borderId="0" applyFont="0" applyFill="0" applyBorder="0" applyAlignment="0" applyProtection="0"/>
    <xf numFmtId="0" fontId="132"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162" fillId="0" borderId="0" applyNumberFormat="0" applyFill="0" applyBorder="0" applyAlignment="0" applyProtection="0">
      <alignment vertical="top"/>
    </xf>
    <xf numFmtId="0" fontId="128" fillId="0" borderId="0" applyNumberFormat="0" applyFill="0" applyBorder="0" applyAlignment="0" applyProtection="0">
      <alignment vertical="top"/>
      <protection locked="0"/>
    </xf>
    <xf numFmtId="0" fontId="132" fillId="0" borderId="0" applyNumberFormat="0" applyFill="0" applyBorder="0" applyAlignment="0" applyProtection="0">
      <alignment vertical="top"/>
      <protection locked="0"/>
    </xf>
    <xf numFmtId="0" fontId="123" fillId="80" borderId="0" applyNumberFormat="0" applyBorder="0" applyAlignment="0" applyProtection="0"/>
    <xf numFmtId="0" fontId="123" fillId="80" borderId="0" applyNumberFormat="0" applyBorder="0" applyAlignment="0" applyProtection="0"/>
    <xf numFmtId="0" fontId="123" fillId="80" borderId="0" applyNumberFormat="0" applyBorder="0" applyAlignment="0" applyProtection="0"/>
    <xf numFmtId="0" fontId="123" fillId="80" borderId="0" applyNumberFormat="0" applyBorder="0" applyAlignment="0" applyProtection="0"/>
    <xf numFmtId="0" fontId="123" fillId="8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20"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12" borderId="0" applyNumberFormat="0" applyBorder="0" applyAlignment="0" applyProtection="0"/>
    <xf numFmtId="0" fontId="123" fillId="81" borderId="0" applyNumberFormat="0" applyBorder="0" applyAlignment="0" applyProtection="0"/>
    <xf numFmtId="0" fontId="123" fillId="81" borderId="0" applyNumberFormat="0" applyBorder="0" applyAlignment="0" applyProtection="0"/>
    <xf numFmtId="0" fontId="123" fillId="81" borderId="0" applyNumberFormat="0" applyBorder="0" applyAlignment="0" applyProtection="0"/>
    <xf numFmtId="0" fontId="123" fillId="81" borderId="0" applyNumberFormat="0" applyBorder="0" applyAlignment="0" applyProtection="0"/>
    <xf numFmtId="0" fontId="123" fillId="81" borderId="0" applyNumberFormat="0" applyBorder="0" applyAlignment="0" applyProtection="0"/>
    <xf numFmtId="0" fontId="123" fillId="18" borderId="0" applyNumberFormat="0" applyBorder="0" applyAlignment="0" applyProtection="0"/>
    <xf numFmtId="0" fontId="123" fillId="18" borderId="0" applyNumberFormat="0" applyBorder="0" applyAlignment="0" applyProtection="0"/>
    <xf numFmtId="0" fontId="123" fillId="18" borderId="0" applyNumberFormat="0" applyBorder="0" applyAlignment="0" applyProtection="0"/>
    <xf numFmtId="0" fontId="123" fillId="18" borderId="0" applyNumberFormat="0" applyBorder="0" applyAlignment="0" applyProtection="0"/>
    <xf numFmtId="0" fontId="123" fillId="18" borderId="0" applyNumberFormat="0" applyBorder="0" applyAlignment="0" applyProtection="0"/>
    <xf numFmtId="0" fontId="163" fillId="59" borderId="0" applyNumberFormat="0" applyBorder="0" applyAlignment="0" applyProtection="0"/>
    <xf numFmtId="0" fontId="163" fillId="59" borderId="0" applyNumberFormat="0" applyBorder="0" applyAlignment="0" applyProtection="0"/>
    <xf numFmtId="0" fontId="163" fillId="59" borderId="0" applyNumberFormat="0" applyBorder="0" applyAlignment="0" applyProtection="0"/>
    <xf numFmtId="0" fontId="163" fillId="59" borderId="0" applyNumberFormat="0" applyBorder="0" applyAlignment="0" applyProtection="0"/>
    <xf numFmtId="0" fontId="163" fillId="59" borderId="0" applyNumberFormat="0" applyBorder="0" applyAlignment="0" applyProtection="0"/>
    <xf numFmtId="0" fontId="8" fillId="0" borderId="0"/>
    <xf numFmtId="0" fontId="12" fillId="0" borderId="0"/>
    <xf numFmtId="0" fontId="8" fillId="0" borderId="0"/>
    <xf numFmtId="0" fontId="124" fillId="0" borderId="0" applyNumberFormat="0" applyBorder="0" applyAlignment="0"/>
    <xf numFmtId="0" fontId="12" fillId="0" borderId="0"/>
    <xf numFmtId="0" fontId="8"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10" fillId="0" borderId="0">
      <alignment vertical="top"/>
    </xf>
    <xf numFmtId="0" fontId="8" fillId="0" borderId="0"/>
    <xf numFmtId="0" fontId="8" fillId="0" borderId="0"/>
    <xf numFmtId="0" fontId="8" fillId="0" borderId="0"/>
    <xf numFmtId="0" fontId="158" fillId="0" borderId="0"/>
    <xf numFmtId="0" fontId="158" fillId="0" borderId="0"/>
    <xf numFmtId="0" fontId="158" fillId="0" borderId="0"/>
    <xf numFmtId="0" fontId="12" fillId="0" borderId="0"/>
    <xf numFmtId="0" fontId="10" fillId="0" borderId="0">
      <alignment vertical="top"/>
    </xf>
    <xf numFmtId="0" fontId="12" fillId="0" borderId="0"/>
    <xf numFmtId="0" fontId="8" fillId="0" borderId="0"/>
    <xf numFmtId="0" fontId="12" fillId="0" borderId="0"/>
    <xf numFmtId="0" fontId="10" fillId="0" borderId="0">
      <alignment vertical="top"/>
    </xf>
    <xf numFmtId="0" fontId="10" fillId="0" borderId="0">
      <alignment vertical="top"/>
    </xf>
    <xf numFmtId="0" fontId="8" fillId="0" borderId="0"/>
    <xf numFmtId="0" fontId="12" fillId="0" borderId="0"/>
    <xf numFmtId="0" fontId="12" fillId="0" borderId="0"/>
    <xf numFmtId="0" fontId="12"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54" fillId="0" borderId="0"/>
    <xf numFmtId="0" fontId="12" fillId="0" borderId="0"/>
    <xf numFmtId="0" fontId="12" fillId="0" borderId="0"/>
    <xf numFmtId="0" fontId="8" fillId="0" borderId="0"/>
    <xf numFmtId="0" fontId="12" fillId="0" borderId="0"/>
    <xf numFmtId="0" fontId="8" fillId="0" borderId="0"/>
    <xf numFmtId="0" fontId="12" fillId="0" borderId="0"/>
    <xf numFmtId="0" fontId="12" fillId="0" borderId="0"/>
    <xf numFmtId="0" fontId="8" fillId="0" borderId="0"/>
    <xf numFmtId="0" fontId="10" fillId="0" borderId="0">
      <alignment vertical="top"/>
    </xf>
    <xf numFmtId="0" fontId="8" fillId="0" borderId="0"/>
    <xf numFmtId="0" fontId="10" fillId="0" borderId="0">
      <alignment vertical="top"/>
    </xf>
    <xf numFmtId="0" fontId="12" fillId="0" borderId="0"/>
    <xf numFmtId="0" fontId="8" fillId="0" borderId="0"/>
    <xf numFmtId="0" fontId="12" fillId="0" borderId="0"/>
    <xf numFmtId="0" fontId="8" fillId="0" borderId="0"/>
    <xf numFmtId="0" fontId="12" fillId="0" borderId="0"/>
    <xf numFmtId="0" fontId="12" fillId="0" borderId="0"/>
    <xf numFmtId="0" fontId="8" fillId="0" borderId="0"/>
    <xf numFmtId="0" fontId="8" fillId="0" borderId="0"/>
    <xf numFmtId="0" fontId="8" fillId="0" borderId="0"/>
    <xf numFmtId="0" fontId="12" fillId="0" borderId="0"/>
    <xf numFmtId="0" fontId="10" fillId="0" borderId="0">
      <alignment vertical="top"/>
    </xf>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12" fillId="0" borderId="0"/>
    <xf numFmtId="0" fontId="12" fillId="0" borderId="0"/>
    <xf numFmtId="0" fontId="40" fillId="0" borderId="0"/>
    <xf numFmtId="0" fontId="8" fillId="0" borderId="0"/>
    <xf numFmtId="0" fontId="8" fillId="0" borderId="0"/>
    <xf numFmtId="0" fontId="10" fillId="0" borderId="0">
      <alignment vertical="top"/>
    </xf>
    <xf numFmtId="0" fontId="8" fillId="0" borderId="0"/>
    <xf numFmtId="49" fontId="41" fillId="0" borderId="3" applyNumberFormat="0" applyFill="0" applyBorder="0" applyProtection="0">
      <alignment horizontal="left" vertical="center"/>
    </xf>
    <xf numFmtId="0" fontId="13" fillId="44" borderId="46" applyNumberFormat="0" applyFont="0" applyAlignment="0" applyProtection="0"/>
    <xf numFmtId="0" fontId="13" fillId="44" borderId="46" applyNumberFormat="0" applyFont="0" applyAlignment="0" applyProtection="0"/>
    <xf numFmtId="0" fontId="116" fillId="79" borderId="54" applyNumberFormat="0" applyAlignment="0" applyProtection="0"/>
    <xf numFmtId="0" fontId="116" fillId="79" borderId="54" applyNumberFormat="0" applyAlignment="0" applyProtection="0"/>
    <xf numFmtId="0" fontId="116" fillId="79" borderId="54" applyNumberFormat="0" applyAlignment="0" applyProtection="0"/>
    <xf numFmtId="0" fontId="116" fillId="79" borderId="54" applyNumberFormat="0" applyAlignment="0" applyProtection="0"/>
    <xf numFmtId="0" fontId="116" fillId="79" borderId="54" applyNumberFormat="0" applyAlignment="0" applyProtection="0"/>
    <xf numFmtId="0" fontId="154" fillId="0" borderId="58" applyNumberFormat="0" applyFill="0" applyAlignment="0" applyProtection="0"/>
    <xf numFmtId="0" fontId="154" fillId="0" borderId="58" applyNumberFormat="0" applyFill="0" applyAlignment="0" applyProtection="0"/>
    <xf numFmtId="0" fontId="154" fillId="0" borderId="58" applyNumberFormat="0" applyFill="0" applyAlignment="0" applyProtection="0"/>
    <xf numFmtId="0" fontId="154" fillId="0" borderId="58" applyNumberFormat="0" applyFill="0" applyAlignment="0" applyProtection="0"/>
    <xf numFmtId="0" fontId="154" fillId="0" borderId="58" applyNumberFormat="0" applyFill="0" applyAlignment="0" applyProtection="0"/>
    <xf numFmtId="0" fontId="155" fillId="0" borderId="59" applyNumberFormat="0" applyFill="0" applyAlignment="0" applyProtection="0"/>
    <xf numFmtId="0" fontId="155" fillId="0" borderId="59" applyNumberFormat="0" applyFill="0" applyAlignment="0" applyProtection="0"/>
    <xf numFmtId="0" fontId="155" fillId="0" borderId="59" applyNumberFormat="0" applyFill="0" applyAlignment="0" applyProtection="0"/>
    <xf numFmtId="0" fontId="155" fillId="0" borderId="59" applyNumberFormat="0" applyFill="0" applyAlignment="0" applyProtection="0"/>
    <xf numFmtId="0" fontId="155" fillId="0" borderId="59" applyNumberFormat="0" applyFill="0" applyAlignment="0" applyProtection="0"/>
    <xf numFmtId="0" fontId="156" fillId="0" borderId="60" applyNumberFormat="0" applyFill="0" applyAlignment="0" applyProtection="0"/>
    <xf numFmtId="0" fontId="156" fillId="0" borderId="60" applyNumberFormat="0" applyFill="0" applyAlignment="0" applyProtection="0"/>
    <xf numFmtId="0" fontId="156" fillId="0" borderId="60" applyNumberFormat="0" applyFill="0" applyAlignment="0" applyProtection="0"/>
    <xf numFmtId="0" fontId="156" fillId="0" borderId="60" applyNumberFormat="0" applyFill="0" applyAlignment="0" applyProtection="0"/>
    <xf numFmtId="0" fontId="156" fillId="0" borderId="60" applyNumberFormat="0" applyFill="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38" fillId="0" borderId="0"/>
    <xf numFmtId="9" fontId="131" fillId="0" borderId="0" applyFont="0" applyFill="0" applyBorder="0" applyAlignment="0" applyProtection="0"/>
    <xf numFmtId="9" fontId="131" fillId="0" borderId="0" applyFont="0" applyFill="0" applyBorder="0" applyAlignment="0" applyProtection="0"/>
    <xf numFmtId="9" fontId="13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1" fillId="0" borderId="0" applyFont="0" applyFill="0" applyBorder="0" applyAlignment="0" applyProtection="0"/>
    <xf numFmtId="9" fontId="13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10" fontId="158"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0" fontId="29" fillId="0" borderId="61" applyNumberFormat="0" applyFill="0" applyAlignment="0" applyProtection="0"/>
    <xf numFmtId="0" fontId="29" fillId="0" borderId="61" applyNumberFormat="0" applyFill="0" applyAlignment="0" applyProtection="0"/>
    <xf numFmtId="0" fontId="29" fillId="0" borderId="61" applyNumberFormat="0" applyFill="0" applyAlignment="0" applyProtection="0"/>
    <xf numFmtId="0" fontId="29" fillId="0" borderId="61" applyNumberFormat="0" applyFill="0" applyAlignment="0" applyProtection="0"/>
    <xf numFmtId="0" fontId="29" fillId="0" borderId="61" applyNumberFormat="0" applyFill="0" applyAlignment="0" applyProtection="0"/>
    <xf numFmtId="0" fontId="29" fillId="0" borderId="61" applyNumberFormat="0" applyFill="0" applyAlignment="0" applyProtection="0"/>
    <xf numFmtId="0" fontId="29" fillId="0" borderId="61" applyNumberFormat="0" applyFill="0" applyAlignment="0" applyProtection="0"/>
    <xf numFmtId="4" fontId="136" fillId="74" borderId="62" applyNumberFormat="0" applyProtection="0">
      <alignment vertical="center"/>
    </xf>
    <xf numFmtId="4" fontId="137" fillId="74" borderId="62" applyNumberFormat="0" applyProtection="0">
      <alignment vertical="center"/>
    </xf>
    <xf numFmtId="4" fontId="138" fillId="24" borderId="62" applyNumberFormat="0" applyProtection="0">
      <alignment horizontal="left" vertical="center" indent="1"/>
    </xf>
    <xf numFmtId="0" fontId="12" fillId="0" borderId="0"/>
    <xf numFmtId="4" fontId="139" fillId="79" borderId="62" applyNumberFormat="0" applyProtection="0">
      <alignment horizontal="left" vertical="center" indent="1"/>
    </xf>
    <xf numFmtId="4" fontId="140" fillId="82" borderId="62" applyNumberFormat="0" applyProtection="0">
      <alignment vertical="center"/>
    </xf>
    <xf numFmtId="0" fontId="12" fillId="0" borderId="0"/>
    <xf numFmtId="0" fontId="12" fillId="0" borderId="0"/>
    <xf numFmtId="0" fontId="12" fillId="0" borderId="0"/>
    <xf numFmtId="4" fontId="130" fillId="21" borderId="62" applyNumberFormat="0" applyProtection="0">
      <alignment vertical="center"/>
    </xf>
    <xf numFmtId="0" fontId="12" fillId="0" borderId="0"/>
    <xf numFmtId="0" fontId="12" fillId="0" borderId="0"/>
    <xf numFmtId="0" fontId="12" fillId="0" borderId="0"/>
    <xf numFmtId="4" fontId="140" fillId="83" borderId="62" applyNumberFormat="0" applyProtection="0">
      <alignment vertical="center"/>
    </xf>
    <xf numFmtId="0" fontId="12" fillId="0" borderId="0"/>
    <xf numFmtId="0" fontId="12" fillId="0" borderId="0"/>
    <xf numFmtId="0" fontId="12" fillId="0" borderId="0"/>
    <xf numFmtId="4" fontId="141" fillId="82" borderId="62" applyNumberFormat="0" applyProtection="0">
      <alignment vertical="center"/>
    </xf>
    <xf numFmtId="4" fontId="142" fillId="84" borderId="62" applyNumberFormat="0" applyProtection="0">
      <alignment horizontal="left" vertical="center" indent="1"/>
    </xf>
    <xf numFmtId="4" fontId="142" fillId="79" borderId="62" applyNumberFormat="0" applyProtection="0">
      <alignment horizontal="left" vertical="center" indent="1"/>
    </xf>
    <xf numFmtId="4" fontId="142" fillId="79" borderId="62" applyNumberFormat="0" applyProtection="0">
      <alignment horizontal="left" vertical="center" indent="1"/>
    </xf>
    <xf numFmtId="4" fontId="143" fillId="78" borderId="62" applyNumberFormat="0" applyProtection="0">
      <alignment vertical="center"/>
    </xf>
    <xf numFmtId="4" fontId="134" fillId="2" borderId="62" applyNumberFormat="0" applyProtection="0">
      <alignment horizontal="left" vertical="center" indent="1"/>
    </xf>
    <xf numFmtId="4" fontId="144" fillId="79" borderId="0" applyNumberFormat="0" applyProtection="0">
      <alignment horizontal="left" vertical="center" indent="1"/>
    </xf>
    <xf numFmtId="4" fontId="145" fillId="79" borderId="0" applyNumberFormat="0" applyProtection="0">
      <alignment horizontal="left" vertical="center" inden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 fontId="146" fillId="2" borderId="62" applyNumberFormat="0" applyProtection="0">
      <alignment vertical="center"/>
    </xf>
    <xf numFmtId="4" fontId="147" fillId="2" borderId="62" applyNumberFormat="0" applyProtection="0">
      <alignment vertical="center"/>
    </xf>
    <xf numFmtId="4" fontId="148" fillId="75" borderId="62" applyNumberFormat="0" applyProtection="0">
      <alignment horizontal="left" vertical="center" indent="1"/>
    </xf>
    <xf numFmtId="0" fontId="12" fillId="0" borderId="0"/>
    <xf numFmtId="4" fontId="149" fillId="2" borderId="62" applyNumberFormat="0" applyProtection="0">
      <alignment horizontal="right" vertical="center"/>
    </xf>
    <xf numFmtId="4" fontId="150" fillId="2" borderId="62" applyNumberFormat="0" applyProtection="0">
      <alignment vertical="center"/>
    </xf>
    <xf numFmtId="4" fontId="149" fillId="27" borderId="62" applyNumberFormat="0" applyProtection="0">
      <alignment horizontal="left" vertical="center"/>
    </xf>
    <xf numFmtId="0" fontId="12" fillId="0" borderId="0"/>
    <xf numFmtId="4" fontId="151" fillId="2" borderId="62" applyNumberFormat="0" applyProtection="0">
      <alignment vertical="center"/>
    </xf>
    <xf numFmtId="4" fontId="152" fillId="2" borderId="62" applyNumberFormat="0" applyProtection="0">
      <alignment vertical="center"/>
    </xf>
    <xf numFmtId="4" fontId="148" fillId="85" borderId="62" applyNumberFormat="0" applyProtection="0">
      <alignment horizontal="left" vertical="center" indent="1"/>
    </xf>
    <xf numFmtId="4" fontId="153" fillId="86" borderId="0" applyNumberFormat="0" applyProtection="0">
      <alignment horizontal="left" indent="1"/>
    </xf>
    <xf numFmtId="4" fontId="135" fillId="2" borderId="62" applyNumberFormat="0" applyProtection="0">
      <alignment vertical="center"/>
    </xf>
    <xf numFmtId="0" fontId="133" fillId="0" borderId="0"/>
    <xf numFmtId="0" fontId="157" fillId="0" borderId="0" applyNumberFormat="0" applyFill="0" applyBorder="0" applyAlignment="0" applyProtection="0"/>
    <xf numFmtId="0" fontId="157" fillId="0" borderId="0" applyNumberFormat="0" applyFill="0" applyBorder="0" applyAlignment="0" applyProtection="0"/>
    <xf numFmtId="0" fontId="157" fillId="0" borderId="0" applyNumberFormat="0" applyFill="0" applyBorder="0" applyAlignment="0" applyProtection="0"/>
    <xf numFmtId="0" fontId="157" fillId="0" borderId="0" applyNumberFormat="0" applyFill="0" applyBorder="0" applyAlignment="0" applyProtection="0"/>
    <xf numFmtId="0" fontId="157" fillId="0" borderId="0" applyNumberFormat="0" applyFill="0" applyBorder="0" applyAlignment="0" applyProtection="0"/>
    <xf numFmtId="0" fontId="122" fillId="0" borderId="63" applyNumberFormat="0" applyFill="0" applyAlignment="0" applyProtection="0"/>
    <xf numFmtId="0" fontId="122" fillId="0" borderId="63" applyNumberFormat="0" applyFill="0" applyAlignment="0" applyProtection="0"/>
    <xf numFmtId="0" fontId="158" fillId="0" borderId="64" applyNumberFormat="0" applyFont="0" applyFill="0" applyAlignment="0" applyProtection="0"/>
    <xf numFmtId="0" fontId="122" fillId="0" borderId="63" applyNumberFormat="0" applyFill="0" applyAlignment="0" applyProtection="0"/>
    <xf numFmtId="0" fontId="122" fillId="0" borderId="63" applyNumberFormat="0" applyFill="0" applyAlignment="0" applyProtection="0"/>
    <xf numFmtId="0" fontId="122" fillId="0" borderId="63" applyNumberFormat="0" applyFill="0" applyAlignment="0" applyProtection="0"/>
    <xf numFmtId="0" fontId="113" fillId="6" borderId="0" applyNumberFormat="0" applyBorder="0" applyAlignment="0" applyProtection="0"/>
    <xf numFmtId="0" fontId="113" fillId="6" borderId="0" applyNumberFormat="0" applyBorder="0" applyAlignment="0" applyProtection="0"/>
    <xf numFmtId="0" fontId="113" fillId="6" borderId="0" applyNumberFormat="0" applyBorder="0" applyAlignment="0" applyProtection="0"/>
    <xf numFmtId="0" fontId="113" fillId="6" borderId="0" applyNumberFormat="0" applyBorder="0" applyAlignment="0" applyProtection="0"/>
    <xf numFmtId="0" fontId="113" fillId="6" borderId="0" applyNumberFormat="0" applyBorder="0" applyAlignment="0" applyProtection="0"/>
    <xf numFmtId="200" fontId="131" fillId="0" borderId="0" applyFont="0" applyFill="0" applyBorder="0" applyAlignment="0" applyProtection="0"/>
    <xf numFmtId="200" fontId="131" fillId="0" borderId="0" applyFont="0" applyFill="0" applyBorder="0" applyAlignment="0" applyProtection="0"/>
    <xf numFmtId="200" fontId="131" fillId="0" borderId="0" applyFont="0" applyFill="0" applyBorder="0" applyAlignment="0" applyProtection="0"/>
    <xf numFmtId="200" fontId="131" fillId="0" borderId="0" applyFont="0" applyFill="0" applyBorder="0" applyAlignment="0" applyProtection="0"/>
    <xf numFmtId="200" fontId="131" fillId="0" borderId="0" applyFont="0" applyFill="0" applyBorder="0" applyAlignment="0" applyProtection="0"/>
    <xf numFmtId="0" fontId="131" fillId="0" borderId="0"/>
    <xf numFmtId="0" fontId="125" fillId="0" borderId="0" applyNumberFormat="0" applyFill="0" applyBorder="0" applyAlignment="0" applyProtection="0"/>
    <xf numFmtId="0" fontId="111" fillId="0" borderId="53" applyNumberFormat="0" applyFill="0" applyAlignment="0" applyProtection="0"/>
    <xf numFmtId="0" fontId="81" fillId="0" borderId="44" applyNumberFormat="0" applyFill="0" applyAlignment="0" applyProtection="0"/>
    <xf numFmtId="0" fontId="82" fillId="0" borderId="45" applyNumberFormat="0" applyFill="0" applyAlignment="0" applyProtection="0"/>
    <xf numFmtId="0" fontId="82" fillId="0" borderId="0" applyNumberFormat="0" applyFill="0" applyBorder="0" applyAlignment="0" applyProtection="0"/>
    <xf numFmtId="0" fontId="112" fillId="58" borderId="0" applyNumberFormat="0" applyBorder="0" applyAlignment="0" applyProtection="0"/>
    <xf numFmtId="0" fontId="113" fillId="31" borderId="0" applyNumberFormat="0" applyBorder="0" applyAlignment="0" applyProtection="0"/>
    <xf numFmtId="0" fontId="114" fillId="59" borderId="0" applyNumberFormat="0" applyBorder="0" applyAlignment="0" applyProtection="0"/>
    <xf numFmtId="0" fontId="115" fillId="60" borderId="43" applyNumberFormat="0" applyAlignment="0" applyProtection="0"/>
    <xf numFmtId="0" fontId="116" fillId="33" borderId="54" applyNumberFormat="0" applyAlignment="0" applyProtection="0"/>
    <xf numFmtId="0" fontId="117" fillId="33" borderId="43" applyNumberFormat="0" applyAlignment="0" applyProtection="0"/>
    <xf numFmtId="0" fontId="118" fillId="0" borderId="55" applyNumberFormat="0" applyFill="0" applyAlignment="0" applyProtection="0"/>
    <xf numFmtId="0" fontId="122" fillId="0" borderId="57" applyNumberFormat="0" applyFill="0" applyAlignment="0" applyProtection="0"/>
    <xf numFmtId="0" fontId="123" fillId="6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123" fillId="63" borderId="0" applyNumberFormat="0" applyBorder="0" applyAlignment="0" applyProtection="0"/>
    <xf numFmtId="0" fontId="123" fillId="6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123" fillId="65" borderId="0" applyNumberFormat="0" applyBorder="0" applyAlignment="0" applyProtection="0"/>
    <xf numFmtId="0" fontId="123" fillId="66"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123" fillId="67" borderId="0" applyNumberFormat="0" applyBorder="0" applyAlignment="0" applyProtection="0"/>
    <xf numFmtId="0" fontId="123" fillId="68"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123" fillId="69"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123" fillId="71" borderId="0" applyNumberFormat="0" applyBorder="0" applyAlignment="0" applyProtection="0"/>
    <xf numFmtId="0" fontId="123" fillId="72"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123" fillId="73"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3" fontId="15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123" fillId="67" borderId="0" applyNumberFormat="0" applyBorder="0" applyAlignment="0" applyProtection="0"/>
    <xf numFmtId="0" fontId="123" fillId="69" borderId="0" applyNumberFormat="0" applyBorder="0" applyAlignment="0" applyProtection="0"/>
    <xf numFmtId="0" fontId="123" fillId="73"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166" fontId="8" fillId="0" borderId="0" applyFont="0" applyFill="0" applyBorder="0" applyAlignment="0" applyProtection="0"/>
    <xf numFmtId="0" fontId="8" fillId="0" borderId="0"/>
    <xf numFmtId="0" fontId="10" fillId="0" borderId="0">
      <alignment vertical="top"/>
    </xf>
    <xf numFmtId="0" fontId="8" fillId="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27"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10"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7"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1" fillId="0" borderId="44" applyNumberFormat="0" applyFill="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2" fillId="0" borderId="45" applyNumberFormat="0" applyFill="0" applyAlignment="0" applyProtection="0"/>
    <xf numFmtId="0" fontId="8" fillId="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0" borderId="0"/>
    <xf numFmtId="0" fontId="8" fillId="27" borderId="0" applyNumberFormat="0" applyBorder="0" applyAlignment="0" applyProtection="0"/>
    <xf numFmtId="0" fontId="8" fillId="10" borderId="0" applyNumberFormat="0" applyBorder="0" applyAlignment="0" applyProtection="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24"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0" borderId="0"/>
    <xf numFmtId="0" fontId="8" fillId="0" borderId="0"/>
    <xf numFmtId="0" fontId="8" fillId="10"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8" borderId="0" applyNumberFormat="0" applyBorder="0" applyAlignment="0" applyProtection="0"/>
    <xf numFmtId="9" fontId="8" fillId="0" borderId="0" applyFont="0" applyFill="0" applyBorder="0" applyAlignment="0" applyProtection="0"/>
    <xf numFmtId="0" fontId="114" fillId="59" borderId="0" applyNumberFormat="0" applyBorder="0" applyAlignment="0" applyProtection="0"/>
    <xf numFmtId="0" fontId="8" fillId="27"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166" fontId="8" fillId="0" borderId="0" applyFont="0" applyFill="0" applyBorder="0" applyAlignment="0" applyProtection="0"/>
    <xf numFmtId="0" fontId="8" fillId="0" borderId="0"/>
    <xf numFmtId="0" fontId="8" fillId="0" borderId="0"/>
    <xf numFmtId="0" fontId="158" fillId="0" borderId="0"/>
    <xf numFmtId="3" fontId="158" fillId="0" borderId="0" applyFont="0" applyFill="0" applyBorder="0" applyAlignment="0" applyProtection="0"/>
    <xf numFmtId="203" fontId="158" fillId="0" borderId="0" applyFont="0" applyFill="0" applyBorder="0" applyAlignment="0" applyProtection="0"/>
    <xf numFmtId="0" fontId="158" fillId="0" borderId="0" applyFont="0" applyFill="0" applyBorder="0" applyAlignment="0" applyProtection="0"/>
    <xf numFmtId="2" fontId="158" fillId="0" borderId="0" applyFont="0" applyFill="0" applyBorder="0" applyAlignment="0" applyProtection="0"/>
    <xf numFmtId="0" fontId="159" fillId="0" borderId="0" applyNumberFormat="0" applyFill="0" applyBorder="0" applyAlignment="0" applyProtection="0"/>
    <xf numFmtId="0" fontId="160" fillId="0" borderId="0" applyNumberFormat="0" applyFill="0" applyBorder="0" applyAlignment="0" applyProtection="0"/>
    <xf numFmtId="10" fontId="158" fillId="0" borderId="0" applyFont="0" applyFill="0" applyBorder="0" applyAlignment="0" applyProtection="0"/>
    <xf numFmtId="0" fontId="158" fillId="0" borderId="64" applyNumberFormat="0" applyFont="0" applyFill="0" applyAlignment="0" applyProtection="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0" borderId="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10"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0" fontId="8" fillId="0" borderId="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166" fontId="8" fillId="0" borderId="0" applyFont="0" applyFill="0" applyBorder="0" applyAlignment="0" applyProtection="0"/>
    <xf numFmtId="0" fontId="8" fillId="0" borderId="0"/>
    <xf numFmtId="0" fontId="8" fillId="0" borderId="0"/>
    <xf numFmtId="0" fontId="158" fillId="0" borderId="0"/>
    <xf numFmtId="0" fontId="159" fillId="0" borderId="0" applyNumberFormat="0" applyFill="0" applyBorder="0" applyAlignment="0" applyProtection="0"/>
    <xf numFmtId="0" fontId="160" fillId="0" borderId="0" applyNumberFormat="0" applyFill="0" applyBorder="0" applyAlignment="0" applyProtection="0"/>
    <xf numFmtId="0" fontId="8" fillId="27" borderId="0" applyNumberFormat="0" applyBorder="0" applyAlignment="0" applyProtection="0"/>
    <xf numFmtId="0" fontId="8" fillId="4" borderId="0" applyNumberFormat="0" applyBorder="0" applyAlignment="0" applyProtection="0"/>
    <xf numFmtId="0" fontId="123" fillId="69"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46"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0" borderId="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111" fillId="0" borderId="53" applyNumberFormat="0" applyFill="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2"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23" fillId="62" borderId="0" applyNumberFormat="0" applyBorder="0" applyAlignment="0" applyProtection="0"/>
    <xf numFmtId="0" fontId="8" fillId="27" borderId="0" applyNumberFormat="0" applyBorder="0" applyAlignment="0" applyProtection="0"/>
    <xf numFmtId="0" fontId="123" fillId="68" borderId="0" applyNumberFormat="0" applyBorder="0" applyAlignment="0" applyProtection="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118" fillId="0" borderId="55" applyNumberFormat="0" applyFill="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50"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116" fillId="33" borderId="54" applyNumberFormat="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123" fillId="66"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7" borderId="0" applyNumberFormat="0" applyBorder="0" applyAlignment="0" applyProtection="0"/>
    <xf numFmtId="0" fontId="123" fillId="72" borderId="0" applyNumberFormat="0" applyBorder="0" applyAlignment="0" applyProtection="0"/>
    <xf numFmtId="0" fontId="8" fillId="47" borderId="0" applyNumberFormat="0" applyBorder="0" applyAlignment="0" applyProtection="0"/>
    <xf numFmtId="0" fontId="113" fillId="31"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2" fillId="0" borderId="0" applyNumberFormat="0" applyFill="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123" fillId="63"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45"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125" fillId="0" borderId="0" applyNumberFormat="0" applyFill="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51"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0" borderId="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122" fillId="0" borderId="57" applyNumberFormat="0" applyFill="0" applyAlignment="0" applyProtection="0"/>
    <xf numFmtId="0" fontId="8" fillId="10" borderId="0" applyNumberFormat="0" applyBorder="0" applyAlignment="0" applyProtection="0"/>
    <xf numFmtId="0" fontId="123" fillId="67" borderId="0" applyNumberFormat="0" applyBorder="0" applyAlignment="0" applyProtection="0"/>
    <xf numFmtId="0" fontId="12"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117" fillId="33" borderId="43" applyNumberFormat="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123" fillId="73"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49"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115" fillId="60" borderId="43" applyNumberFormat="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5"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123" fillId="65"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0" borderId="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9" fontId="8" fillId="0" borderId="0" applyFont="0" applyFill="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 borderId="0" applyNumberFormat="0" applyBorder="0" applyAlignment="0" applyProtection="0"/>
    <xf numFmtId="0" fontId="123" fillId="71" borderId="0" applyNumberFormat="0" applyBorder="0" applyAlignment="0" applyProtection="0"/>
    <xf numFmtId="0" fontId="123" fillId="64" borderId="0" applyNumberFormat="0" applyBorder="0" applyAlignment="0" applyProtection="0"/>
    <xf numFmtId="0" fontId="112" fillId="58"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166" fontId="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0" fontId="158" fillId="0" borderId="0" applyFont="0" applyFill="0" applyBorder="0" applyAlignment="0" applyProtection="0"/>
    <xf numFmtId="3" fontId="158" fillId="0" borderId="0" applyFont="0" applyFill="0" applyBorder="0" applyAlignment="0" applyProtection="0"/>
    <xf numFmtId="0" fontId="15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166" fontId="8" fillId="0" borderId="0" applyFont="0" applyFill="0" applyBorder="0" applyAlignment="0" applyProtection="0"/>
    <xf numFmtId="0" fontId="12" fillId="0" borderId="0"/>
    <xf numFmtId="43" fontId="12" fillId="0" borderId="0" applyFont="0" applyFill="0" applyBorder="0" applyAlignment="0" applyProtection="0"/>
    <xf numFmtId="9" fontId="12" fillId="0" borderId="0" applyFont="0" applyFill="0" applyBorder="0" applyAlignment="0" applyProtection="0"/>
    <xf numFmtId="0" fontId="12" fillId="0" borderId="0"/>
    <xf numFmtId="202" fontId="12" fillId="0" borderId="0"/>
    <xf numFmtId="202" fontId="12" fillId="0" borderId="0"/>
    <xf numFmtId="202" fontId="12" fillId="0" borderId="0"/>
    <xf numFmtId="202" fontId="12" fillId="0" borderId="0"/>
    <xf numFmtId="202" fontId="12" fillId="0" borderId="0"/>
    <xf numFmtId="181" fontId="12" fillId="0" borderId="0" applyFont="0" applyFill="0" applyBorder="0" applyAlignment="0" applyProtection="0"/>
    <xf numFmtId="199" fontId="12"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9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0" fontId="12"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181" fontId="12" fillId="0" borderId="0" applyFont="0" applyFill="0" applyBorder="0" applyAlignment="0" applyProtection="0"/>
    <xf numFmtId="0" fontId="8" fillId="0" borderId="0"/>
    <xf numFmtId="0" fontId="8" fillId="44" borderId="46"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6"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12" fillId="44" borderId="46" applyNumberFormat="0" applyFont="0" applyAlignment="0" applyProtection="0"/>
    <xf numFmtId="0" fontId="8" fillId="0" borderId="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1"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1"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0" fontId="12" fillId="0" borderId="0"/>
    <xf numFmtId="0" fontId="8" fillId="0" borderId="0"/>
    <xf numFmtId="0" fontId="8" fillId="0" borderId="0"/>
    <xf numFmtId="0" fontId="8" fillId="0" borderId="0"/>
    <xf numFmtId="0" fontId="36" fillId="0" borderId="0"/>
    <xf numFmtId="0" fontId="36" fillId="27" borderId="11" applyNumberFormat="0" applyFont="0" applyAlignment="0" applyProtection="0"/>
    <xf numFmtId="0" fontId="36" fillId="27" borderId="11" applyNumberFormat="0" applyFont="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174" fontId="36" fillId="0" borderId="0" applyFont="0" applyFill="0" applyBorder="0" applyAlignment="0" applyProtection="0"/>
    <xf numFmtId="9" fontId="8" fillId="0" borderId="0" applyFont="0" applyFill="0" applyBorder="0" applyAlignment="0" applyProtection="0"/>
    <xf numFmtId="9" fontId="12" fillId="0" borderId="0" applyFont="0" applyFill="0" applyBorder="0" applyAlignment="0" applyProtection="0"/>
    <xf numFmtId="9" fontId="36" fillId="0" borderId="0" applyFont="0" applyFill="0" applyBorder="0" applyAlignment="0" applyProtection="0"/>
    <xf numFmtId="9" fontId="12"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0" fontId="8" fillId="0" borderId="0"/>
    <xf numFmtId="49" fontId="39" fillId="0" borderId="2" applyNumberFormat="0" applyFont="0" applyFill="0" applyBorder="0" applyProtection="0">
      <alignment horizontal="left" vertical="center" indent="5"/>
    </xf>
    <xf numFmtId="0" fontId="8" fillId="0" borderId="0"/>
    <xf numFmtId="0" fontId="8" fillId="0" borderId="0"/>
    <xf numFmtId="0" fontId="8" fillId="0" borderId="0"/>
    <xf numFmtId="0" fontId="26" fillId="22" borderId="68" applyNumberFormat="0" applyAlignment="0" applyProtection="0"/>
    <xf numFmtId="0" fontId="36" fillId="27" borderId="67" applyNumberFormat="0" applyFont="0" applyAlignment="0" applyProtection="0"/>
    <xf numFmtId="0" fontId="36" fillId="27" borderId="67" applyNumberFormat="0" applyFont="0" applyAlignment="0" applyProtection="0"/>
    <xf numFmtId="0" fontId="36" fillId="27" borderId="67" applyNumberFormat="0" applyFont="0" applyAlignment="0" applyProtection="0"/>
    <xf numFmtId="0" fontId="36" fillId="27" borderId="67" applyNumberFormat="0" applyFont="0" applyAlignment="0" applyProtection="0"/>
    <xf numFmtId="0" fontId="12" fillId="27" borderId="67" applyNumberFormat="0" applyFont="0" applyAlignment="0" applyProtection="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110" fillId="0" borderId="0"/>
    <xf numFmtId="49" fontId="39" fillId="0" borderId="2" applyNumberFormat="0" applyFont="0" applyFill="0" applyBorder="0" applyProtection="0">
      <alignment horizontal="left" vertical="center" indent="5"/>
    </xf>
    <xf numFmtId="0" fontId="16" fillId="22" borderId="66" applyNumberFormat="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164" fontId="12" fillId="0" borderId="0" applyFont="0" applyFill="0" applyBorder="0" applyAlignment="0" applyProtection="0"/>
    <xf numFmtId="0" fontId="39" fillId="0" borderId="65">
      <alignment horizontal="left" vertical="center" wrapText="1" indent="2"/>
    </xf>
    <xf numFmtId="0" fontId="23" fillId="8" borderId="66" applyNumberFormat="0" applyAlignment="0" applyProtection="0"/>
    <xf numFmtId="0" fontId="23" fillId="8" borderId="66" applyNumberFormat="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8" fillId="0" borderId="0"/>
    <xf numFmtId="0" fontId="8" fillId="0" borderId="0"/>
    <xf numFmtId="0" fontId="43" fillId="0" borderId="0"/>
    <xf numFmtId="4" fontId="39" fillId="0" borderId="3" applyFill="0" applyBorder="0" applyProtection="0">
      <alignment horizontal="right" vertical="center"/>
    </xf>
    <xf numFmtId="0" fontId="39" fillId="0" borderId="3" applyNumberFormat="0" applyFill="0" applyAlignment="0" applyProtection="0"/>
    <xf numFmtId="0" fontId="12" fillId="27" borderId="67" applyNumberFormat="0" applyFont="0" applyAlignment="0" applyProtection="0"/>
    <xf numFmtId="0" fontId="12" fillId="27" borderId="67" applyNumberFormat="0" applyFont="0" applyAlignment="0" applyProtection="0"/>
    <xf numFmtId="0" fontId="36" fillId="27" borderId="67" applyNumberFormat="0" applyFont="0" applyAlignment="0" applyProtection="0"/>
    <xf numFmtId="0" fontId="36" fillId="27" borderId="67" applyNumberFormat="0" applyFont="0" applyAlignment="0" applyProtection="0"/>
    <xf numFmtId="0" fontId="26" fillId="22" borderId="68" applyNumberFormat="0" applyAlignment="0" applyProtection="0"/>
    <xf numFmtId="0" fontId="26" fillId="22" borderId="68" applyNumberFormat="0" applyAlignment="0" applyProtection="0"/>
    <xf numFmtId="175" fontId="39" fillId="28" borderId="3" applyNumberFormat="0" applyFont="0" applyBorder="0" applyAlignment="0" applyProtection="0">
      <alignment horizontal="right" vertical="center"/>
    </xf>
    <xf numFmtId="9" fontId="8" fillId="0" borderId="0" applyFont="0" applyFill="0" applyBorder="0" applyAlignment="0" applyProtection="0"/>
    <xf numFmtId="9" fontId="43" fillId="0" borderId="0" applyFont="0" applyFill="0" applyBorder="0" applyAlignment="0" applyProtection="0"/>
    <xf numFmtId="0" fontId="28" fillId="0" borderId="69" applyNumberFormat="0" applyFill="0" applyAlignment="0" applyProtection="0"/>
    <xf numFmtId="181" fontId="12" fillId="0" borderId="0" applyFont="0" applyFill="0" applyBorder="0" applyAlignment="0" applyProtection="0"/>
    <xf numFmtId="181" fontId="12" fillId="0" borderId="0" applyFont="0" applyFill="0" applyBorder="0" applyAlignment="0" applyProtection="0"/>
    <xf numFmtId="0" fontId="8" fillId="0" borderId="0"/>
    <xf numFmtId="0" fontId="8" fillId="44" borderId="46"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6" fillId="22" borderId="66" applyNumberFormat="0" applyFill="0" applyBorder="0" applyAlignment="0" applyProtection="0"/>
    <xf numFmtId="166"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12" fillId="27" borderId="67" applyNumberFormat="0" applyFont="0" applyAlignment="0" applyProtection="0"/>
    <xf numFmtId="0" fontId="12" fillId="27" borderId="67" applyNumberFormat="0" applyFont="0" applyAlignment="0" applyProtection="0"/>
    <xf numFmtId="9" fontId="8" fillId="0" borderId="0" applyFont="0" applyFill="0" applyBorder="0" applyAlignment="0" applyProtection="0"/>
    <xf numFmtId="0" fontId="12" fillId="44" borderId="46" applyNumberFormat="0" applyFont="0" applyAlignment="0" applyProtection="0"/>
    <xf numFmtId="0" fontId="8" fillId="0" borderId="0"/>
    <xf numFmtId="0" fontId="8" fillId="48" borderId="0" applyNumberFormat="0" applyBorder="0" applyAlignment="0" applyProtection="0"/>
    <xf numFmtId="0" fontId="8" fillId="53" borderId="0" applyNumberFormat="0" applyBorder="0" applyAlignment="0" applyProtection="0"/>
    <xf numFmtId="43" fontId="12"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49" fontId="39" fillId="0" borderId="3" applyNumberFormat="0" applyFont="0" applyFill="0" applyBorder="0" applyProtection="0">
      <alignment horizontal="left" vertical="center" indent="2"/>
    </xf>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9" fontId="41" fillId="0" borderId="3" applyNumberFormat="0" applyFill="0" applyBorder="0" applyProtection="0">
      <alignment horizontal="left" vertical="center"/>
    </xf>
    <xf numFmtId="0" fontId="122" fillId="0" borderId="70" applyNumberFormat="0" applyFill="0" applyAlignment="0" applyProtection="0"/>
    <xf numFmtId="0" fontId="122" fillId="0" borderId="70" applyNumberFormat="0" applyFill="0" applyAlignment="0" applyProtection="0"/>
    <xf numFmtId="0" fontId="122" fillId="0" borderId="70" applyNumberFormat="0" applyFill="0" applyAlignment="0" applyProtection="0"/>
    <xf numFmtId="0" fontId="122" fillId="0" borderId="70" applyNumberFormat="0" applyFill="0" applyAlignment="0" applyProtection="0"/>
    <xf numFmtId="0" fontId="122" fillId="0" borderId="70" applyNumberFormat="0" applyFill="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166" fontId="8" fillId="0" borderId="0" applyFont="0" applyFill="0" applyBorder="0" applyAlignment="0" applyProtection="0"/>
    <xf numFmtId="0" fontId="8" fillId="0" borderId="0"/>
    <xf numFmtId="0" fontId="8" fillId="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27"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10"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7"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0" borderId="0"/>
    <xf numFmtId="0" fontId="8" fillId="27" borderId="0" applyNumberFormat="0" applyBorder="0" applyAlignment="0" applyProtection="0"/>
    <xf numFmtId="0" fontId="8" fillId="10" borderId="0" applyNumberFormat="0" applyBorder="0" applyAlignment="0" applyProtection="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24"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0" borderId="0"/>
    <xf numFmtId="0" fontId="8" fillId="0" borderId="0"/>
    <xf numFmtId="0" fontId="8" fillId="10"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8" borderId="0" applyNumberFormat="0" applyBorder="0" applyAlignment="0" applyProtection="0"/>
    <xf numFmtId="9" fontId="8" fillId="0" borderId="0" applyFont="0" applyFill="0" applyBorder="0" applyAlignment="0" applyProtection="0"/>
    <xf numFmtId="0" fontId="8" fillId="27"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166" fontId="8" fillId="0" borderId="0" applyFont="0" applyFill="0" applyBorder="0" applyAlignment="0" applyProtection="0"/>
    <xf numFmtId="0" fontId="8" fillId="0" borderId="0"/>
    <xf numFmtId="0" fontId="8" fillId="0" borderId="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0" borderId="0"/>
    <xf numFmtId="0" fontId="8" fillId="0" borderId="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10"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0" fontId="8" fillId="0" borderId="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0" borderId="0"/>
    <xf numFmtId="166" fontId="8" fillId="0" borderId="0" applyFont="0" applyFill="0" applyBorder="0" applyAlignment="0" applyProtection="0"/>
    <xf numFmtId="0" fontId="8" fillId="0" borderId="0"/>
    <xf numFmtId="0" fontId="8" fillId="0" borderId="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46"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0" borderId="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2"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27" borderId="0" applyNumberFormat="0" applyBorder="0" applyAlignment="0" applyProtection="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50"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56"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7" borderId="0" applyNumberFormat="0" applyBorder="0" applyAlignment="0" applyProtection="0"/>
    <xf numFmtId="0" fontId="8" fillId="4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44" borderId="46" applyNumberFormat="0" applyFont="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45"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51"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0" borderId="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10" borderId="0" applyNumberFormat="0" applyBorder="0" applyAlignment="0" applyProtection="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44" borderId="46" applyNumberFormat="0" applyFont="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49"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 borderId="0" applyNumberFormat="0" applyBorder="0" applyAlignment="0" applyProtection="0"/>
    <xf numFmtId="0" fontId="8" fillId="55"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 borderId="0" applyNumberFormat="0" applyBorder="0" applyAlignment="0" applyProtection="0"/>
    <xf numFmtId="0" fontId="8" fillId="7" borderId="0" applyNumberFormat="0" applyBorder="0" applyAlignment="0" applyProtection="0"/>
    <xf numFmtId="0" fontId="8" fillId="0" borderId="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0" borderId="0"/>
    <xf numFmtId="0" fontId="8" fillId="27" borderId="0" applyNumberFormat="0" applyBorder="0" applyAlignment="0" applyProtection="0"/>
    <xf numFmtId="0" fontId="8" fillId="4"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9" fontId="8" fillId="0" borderId="0" applyFont="0" applyFill="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166"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166" fontId="8" fillId="0" borderId="0" applyFont="0" applyFill="0" applyBorder="0" applyAlignment="0" applyProtection="0"/>
    <xf numFmtId="43" fontId="12" fillId="0" borderId="0" applyFont="0" applyFill="0" applyBorder="0" applyAlignment="0" applyProtection="0"/>
    <xf numFmtId="18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8" fillId="55" borderId="0" applyNumberFormat="0" applyBorder="0" applyAlignment="0" applyProtection="0"/>
    <xf numFmtId="0" fontId="8" fillId="56" borderId="0" applyNumberFormat="0" applyBorder="0" applyAlignment="0" applyProtection="0"/>
    <xf numFmtId="0" fontId="8" fillId="0" borderId="0"/>
    <xf numFmtId="0" fontId="8" fillId="44" borderId="46"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6"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28" fillId="0" borderId="69" applyNumberFormat="0" applyFill="0" applyAlignment="0" applyProtection="0"/>
    <xf numFmtId="0" fontId="8" fillId="0" borderId="0"/>
    <xf numFmtId="0" fontId="8" fillId="0" borderId="0"/>
    <xf numFmtId="0" fontId="8" fillId="0" borderId="0"/>
    <xf numFmtId="0" fontId="36" fillId="27" borderId="67" applyNumberFormat="0" applyFont="0" applyAlignment="0" applyProtection="0"/>
    <xf numFmtId="0" fontId="36" fillId="27" borderId="67" applyNumberFormat="0" applyFont="0" applyAlignment="0" applyProtection="0"/>
    <xf numFmtId="9"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64"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4" fontId="39" fillId="0" borderId="3" applyFill="0" applyBorder="0" applyProtection="0">
      <alignment horizontal="right" vertical="center"/>
    </xf>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66"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6" fontId="8" fillId="0" borderId="0" applyFont="0" applyFill="0" applyBorder="0" applyAlignment="0" applyProtection="0"/>
    <xf numFmtId="179" fontId="68" fillId="35" borderId="0" applyNumberFormat="0" applyBorder="0" applyAlignment="0" applyProtection="0">
      <alignment horizontal="center" vertical="top" wrapText="1"/>
    </xf>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0" fontId="38" fillId="0" borderId="0"/>
    <xf numFmtId="0" fontId="43" fillId="0" borderId="0" applyFill="0" applyBorder="0"/>
    <xf numFmtId="0" fontId="38" fillId="0" borderId="0"/>
    <xf numFmtId="0" fontId="8" fillId="0" borderId="0"/>
    <xf numFmtId="0" fontId="8" fillId="0" borderId="0"/>
    <xf numFmtId="0" fontId="12" fillId="0" borderId="0"/>
    <xf numFmtId="0" fontId="8" fillId="0" borderId="0"/>
    <xf numFmtId="0" fontId="12" fillId="0" borderId="0"/>
    <xf numFmtId="0" fontId="36" fillId="0" borderId="0"/>
    <xf numFmtId="0" fontId="8" fillId="0" borderId="0"/>
    <xf numFmtId="179" fontId="30" fillId="30" borderId="0" applyNumberFormat="0" applyBorder="0" applyAlignment="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36"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36" fillId="27" borderId="67" applyNumberFormat="0" applyFont="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26" fillId="22" borderId="68" applyNumberFormat="0" applyAlignment="0" applyProtection="0"/>
    <xf numFmtId="0" fontId="26" fillId="22" borderId="68" applyNumberFormat="0" applyAlignment="0" applyProtection="0"/>
    <xf numFmtId="0" fontId="67" fillId="34" borderId="0" applyNumberFormat="0" applyAlignment="0" applyProtection="0"/>
    <xf numFmtId="0" fontId="166" fillId="39" borderId="0" applyNumberFormat="0" applyAlignment="0" applyProtection="0"/>
    <xf numFmtId="0" fontId="167" fillId="87" borderId="0" applyNumberFormat="0" applyAlignment="0" applyProtection="0"/>
    <xf numFmtId="179" fontId="165" fillId="2" borderId="0" applyNumberFormat="0" applyFill="0" applyBorder="0" applyAlignment="0">
      <alignment horizontal="center"/>
    </xf>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39" fillId="0" borderId="7">
      <alignment horizontal="left" vertical="center" wrapText="1" indent="2"/>
    </xf>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8" fillId="0" borderId="0" applyFont="0" applyFill="0" applyBorder="0" applyAlignment="0" applyProtection="0"/>
    <xf numFmtId="0" fontId="28" fillId="0" borderId="69" applyNumberFormat="0" applyFill="0" applyAlignment="0" applyProtection="0"/>
    <xf numFmtId="0" fontId="8" fillId="0" borderId="0"/>
    <xf numFmtId="166" fontId="8" fillId="0" borderId="0" applyFont="0" applyFill="0" applyBorder="0" applyAlignment="0" applyProtection="0"/>
    <xf numFmtId="0" fontId="65" fillId="31" borderId="0" applyNumberFormat="0" applyBorder="0" applyAlignment="0" applyProtection="0"/>
    <xf numFmtId="0" fontId="117" fillId="33" borderId="43" applyNumberFormat="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0" fillId="0" borderId="0"/>
    <xf numFmtId="0" fontId="70" fillId="0" borderId="0"/>
    <xf numFmtId="0" fontId="70" fillId="0" borderId="0"/>
    <xf numFmtId="181" fontId="12" fillId="0" borderId="0"/>
    <xf numFmtId="3" fontId="12" fillId="30" borderId="43" applyFont="0" applyFill="0" applyBorder="0" applyAlignment="0" applyProtection="0"/>
    <xf numFmtId="0" fontId="12" fillId="0" borderId="0" applyNumberFormat="0" applyFont="0" applyFill="0" applyBorder="0" applyProtection="0">
      <alignment horizontal="left" vertical="center" indent="5"/>
    </xf>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66"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8" fillId="0" borderId="0"/>
    <xf numFmtId="0" fontId="8" fillId="0" borderId="0"/>
    <xf numFmtId="0" fontId="12" fillId="0" borderId="0"/>
    <xf numFmtId="0" fontId="8" fillId="0" borderId="0"/>
    <xf numFmtId="0" fontId="12" fillId="0" borderId="0"/>
    <xf numFmtId="0" fontId="8" fillId="0" borderId="0"/>
    <xf numFmtId="0" fontId="12" fillId="25" borderId="0" applyNumberFormat="0" applyFont="0" applyBorder="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0" fontId="8" fillId="0" borderId="0"/>
    <xf numFmtId="166" fontId="8" fillId="0" borderId="0" applyFont="0" applyFill="0" applyBorder="0" applyAlignment="0" applyProtection="0"/>
    <xf numFmtId="166" fontId="36" fillId="0" borderId="0" applyFont="0" applyFill="0" applyBorder="0" applyAlignment="0" applyProtection="0"/>
    <xf numFmtId="166" fontId="36"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36" fillId="0" borderId="0" applyFont="0" applyFill="0" applyBorder="0" applyAlignment="0" applyProtection="0"/>
    <xf numFmtId="166" fontId="9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6"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8" fillId="0" borderId="0" applyFont="0" applyFill="0" applyBorder="0" applyAlignment="0" applyProtection="0"/>
    <xf numFmtId="166" fontId="12"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6"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70" fillId="0" borderId="0"/>
    <xf numFmtId="0" fontId="65" fillId="31" borderId="0" applyNumberFormat="0" applyBorder="0" applyAlignment="0" applyProtection="0"/>
    <xf numFmtId="0" fontId="8" fillId="0" borderId="0"/>
    <xf numFmtId="0" fontId="8" fillId="0" borderId="0"/>
    <xf numFmtId="0" fontId="8" fillId="0" borderId="0"/>
    <xf numFmtId="0" fontId="8" fillId="0" borderId="0"/>
    <xf numFmtId="0" fontId="70" fillId="0" borderId="0"/>
    <xf numFmtId="0" fontId="70" fillId="0" borderId="0"/>
    <xf numFmtId="0" fontId="8" fillId="0" borderId="0"/>
    <xf numFmtId="0" fontId="8" fillId="0" borderId="0"/>
    <xf numFmtId="0" fontId="8" fillId="0" borderId="0"/>
    <xf numFmtId="0" fontId="8" fillId="0" borderId="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0" fontId="12" fillId="27" borderId="67" applyNumberFormat="0" applyFont="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16" fillId="22" borderId="66" applyNumberFormat="0" applyAlignment="0" applyProtection="0"/>
    <xf numFmtId="0" fontId="16" fillId="22" borderId="66" applyNumberFormat="0" applyAlignment="0" applyProtection="0"/>
    <xf numFmtId="43" fontId="13"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23" fillId="8" borderId="66"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 fillId="27" borderId="67" applyNumberFormat="0" applyFont="0" applyAlignment="0" applyProtection="0"/>
    <xf numFmtId="0" fontId="12" fillId="27" borderId="67" applyNumberFormat="0" applyFont="0" applyAlignment="0" applyProtection="0"/>
    <xf numFmtId="0" fontId="26" fillId="22" borderId="68"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8" fillId="0" borderId="69" applyNumberFormat="0" applyFill="0" applyAlignment="0" applyProtection="0"/>
    <xf numFmtId="0" fontId="28" fillId="0" borderId="69"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2"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2" fillId="0" borderId="70"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36" fillId="27" borderId="67" applyNumberFormat="0" applyFont="0" applyAlignment="0" applyProtection="0"/>
    <xf numFmtId="0" fontId="36" fillId="27" borderId="67" applyNumberFormat="0" applyFont="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2"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6" fontId="7"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13" fillId="0" borderId="0" applyFont="0" applyFill="0" applyBorder="0" applyAlignment="0" applyProtection="0"/>
    <xf numFmtId="43" fontId="13"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6" fontId="6"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8"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0" borderId="0"/>
    <xf numFmtId="0" fontId="4" fillId="44" borderId="46"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43" fontId="3" fillId="0" borderId="0" applyFont="0" applyFill="0" applyBorder="0" applyAlignment="0" applyProtection="0"/>
    <xf numFmtId="0" fontId="128" fillId="0" borderId="0" applyNumberFormat="0" applyFill="0" applyBorder="0" applyAlignment="0" applyProtection="0">
      <alignment vertical="top"/>
      <protection locked="0"/>
    </xf>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43" fontId="2"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1" fontId="40"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7" fontId="176" fillId="0" borderId="0" applyFont="0" applyFill="0" applyBorder="0" applyAlignment="0" applyProtection="0"/>
    <xf numFmtId="0" fontId="176" fillId="0" borderId="0"/>
    <xf numFmtId="204" fontId="10" fillId="0" borderId="0"/>
    <xf numFmtId="0" fontId="1" fillId="0" borderId="0"/>
    <xf numFmtId="0" fontId="93" fillId="0" borderId="0" applyNumberFormat="0" applyFill="0" applyBorder="0" applyAlignment="0" applyProtection="0"/>
  </cellStyleXfs>
  <cellXfs count="1601">
    <xf numFmtId="0" fontId="0" fillId="0" borderId="0" xfId="0"/>
    <xf numFmtId="0" fontId="0" fillId="0" borderId="0" xfId="0" applyAlignment="1">
      <alignment horizontal="left"/>
    </xf>
    <xf numFmtId="2" fontId="11" fillId="0" borderId="0" xfId="0" applyNumberFormat="1" applyFont="1" applyAlignment="1">
      <alignment horizontal="left"/>
    </xf>
    <xf numFmtId="0" fontId="0" fillId="0" borderId="0" xfId="0" applyFill="1"/>
    <xf numFmtId="0" fontId="31" fillId="29" borderId="15" xfId="0" applyFont="1" applyFill="1" applyBorder="1" applyAlignment="1">
      <alignment horizontal="left" vertical="top" wrapText="1"/>
    </xf>
    <xf numFmtId="0" fontId="0" fillId="0" borderId="16" xfId="0" applyBorder="1"/>
    <xf numFmtId="0" fontId="30" fillId="36" borderId="17" xfId="0" applyFont="1" applyFill="1" applyBorder="1" applyAlignment="1">
      <alignment horizontal="left" vertical="center" wrapText="1"/>
    </xf>
    <xf numFmtId="0" fontId="30" fillId="36" borderId="16" xfId="0" applyFont="1" applyFill="1" applyBorder="1" applyAlignment="1">
      <alignment horizontal="left" vertical="center" wrapText="1"/>
    </xf>
    <xf numFmtId="0" fontId="72" fillId="36" borderId="17" xfId="0" applyFont="1" applyFill="1" applyBorder="1" applyAlignment="1">
      <alignment horizontal="center" vertical="center" wrapText="1"/>
    </xf>
    <xf numFmtId="0" fontId="12" fillId="0" borderId="0" xfId="0" applyFont="1"/>
    <xf numFmtId="169" fontId="0" fillId="0" borderId="0" xfId="0" applyNumberFormat="1"/>
    <xf numFmtId="0" fontId="12" fillId="2" borderId="0" xfId="850" applyFill="1"/>
    <xf numFmtId="0" fontId="42" fillId="2" borderId="22" xfId="0" applyFont="1" applyFill="1" applyBorder="1"/>
    <xf numFmtId="0" fontId="42" fillId="2" borderId="23" xfId="0" applyFont="1" applyFill="1" applyBorder="1"/>
    <xf numFmtId="177" fontId="0" fillId="0" borderId="0" xfId="0" applyNumberFormat="1"/>
    <xf numFmtId="0" fontId="72" fillId="36" borderId="24" xfId="0" applyFont="1" applyFill="1" applyBorder="1" applyAlignment="1">
      <alignment horizontal="center" vertical="center" wrapText="1"/>
    </xf>
    <xf numFmtId="0" fontId="0" fillId="0" borderId="0" xfId="0" applyBorder="1"/>
    <xf numFmtId="182" fontId="30" fillId="36" borderId="17" xfId="0" applyNumberFormat="1" applyFont="1" applyFill="1" applyBorder="1" applyAlignment="1">
      <alignment horizontal="left" vertical="center" wrapText="1"/>
    </xf>
    <xf numFmtId="182" fontId="11" fillId="0" borderId="0" xfId="0" applyNumberFormat="1" applyFont="1"/>
    <xf numFmtId="182" fontId="0" fillId="0" borderId="0" xfId="0" applyNumberFormat="1"/>
    <xf numFmtId="182" fontId="31" fillId="29" borderId="15" xfId="0" quotePrefix="1" applyNumberFormat="1" applyFont="1" applyFill="1" applyBorder="1" applyAlignment="1">
      <alignment horizontal="left" vertical="top" wrapText="1"/>
    </xf>
    <xf numFmtId="182" fontId="0" fillId="0" borderId="0" xfId="0" applyNumberFormat="1" applyFill="1" applyBorder="1"/>
    <xf numFmtId="182" fontId="12" fillId="0" borderId="0" xfId="0" applyNumberFormat="1" applyFont="1"/>
    <xf numFmtId="182" fontId="12" fillId="0" borderId="0" xfId="0" applyNumberFormat="1" applyFont="1" applyFill="1" applyBorder="1"/>
    <xf numFmtId="182" fontId="0" fillId="0" borderId="0" xfId="0" applyNumberFormat="1" applyFont="1" applyFill="1" applyBorder="1"/>
    <xf numFmtId="0" fontId="36" fillId="0" borderId="0" xfId="0" applyFont="1"/>
    <xf numFmtId="0" fontId="73" fillId="0" borderId="0" xfId="0" applyFont="1" applyAlignment="1">
      <alignment wrapText="1"/>
    </xf>
    <xf numFmtId="2" fontId="0" fillId="0" borderId="0" xfId="0" applyNumberFormat="1"/>
    <xf numFmtId="0" fontId="31" fillId="0" borderId="0" xfId="0" applyFont="1" applyFill="1" applyBorder="1" applyAlignment="1">
      <alignment horizontal="left" vertical="top" wrapText="1"/>
    </xf>
    <xf numFmtId="0" fontId="36" fillId="37" borderId="25" xfId="0" applyFont="1" applyFill="1" applyBorder="1" applyAlignment="1">
      <alignment horizontal="right"/>
    </xf>
    <xf numFmtId="182" fontId="36" fillId="0" borderId="0" xfId="0" applyNumberFormat="1" applyFont="1"/>
    <xf numFmtId="0" fontId="42" fillId="0" borderId="0" xfId="868" applyFont="1"/>
    <xf numFmtId="182" fontId="42" fillId="0" borderId="0" xfId="868" applyNumberFormat="1" applyFont="1" applyFill="1" applyBorder="1"/>
    <xf numFmtId="0" fontId="36" fillId="0" borderId="0" xfId="868"/>
    <xf numFmtId="14" fontId="36" fillId="0" borderId="0" xfId="868" applyNumberFormat="1" applyFont="1" applyAlignment="1">
      <alignment horizontal="left"/>
    </xf>
    <xf numFmtId="182" fontId="36" fillId="0" borderId="0" xfId="868" applyNumberFormat="1" applyFont="1" applyFill="1" applyBorder="1" applyAlignment="1">
      <alignment horizontal="left"/>
    </xf>
    <xf numFmtId="0" fontId="36" fillId="0" borderId="0" xfId="868" applyFont="1" applyAlignment="1">
      <alignment horizontal="left"/>
    </xf>
    <xf numFmtId="14" fontId="36" fillId="0" borderId="0" xfId="868" applyNumberFormat="1" applyFill="1" applyAlignment="1">
      <alignment horizontal="left"/>
    </xf>
    <xf numFmtId="182" fontId="36" fillId="0" borderId="0" xfId="868" applyNumberFormat="1" applyFill="1" applyBorder="1" applyAlignment="1">
      <alignment horizontal="left"/>
    </xf>
    <xf numFmtId="0" fontId="12" fillId="0" borderId="0" xfId="868" applyFont="1" applyFill="1" applyBorder="1" applyAlignment="1">
      <alignment horizontal="left"/>
    </xf>
    <xf numFmtId="0" fontId="12" fillId="0" borderId="0" xfId="868" applyFont="1"/>
    <xf numFmtId="2" fontId="0" fillId="0" borderId="0" xfId="0" applyNumberFormat="1" applyBorder="1"/>
    <xf numFmtId="0" fontId="74" fillId="0" borderId="0" xfId="0" applyFont="1" applyBorder="1"/>
    <xf numFmtId="0" fontId="30" fillId="36" borderId="0" xfId="0" applyFont="1" applyFill="1" applyBorder="1" applyAlignment="1">
      <alignment horizontal="left" vertical="center" wrapText="1"/>
    </xf>
    <xf numFmtId="0" fontId="12" fillId="0" borderId="0" xfId="868" applyFont="1" applyAlignment="1">
      <alignment horizontal="left"/>
    </xf>
    <xf numFmtId="182" fontId="12" fillId="0" borderId="0" xfId="868" applyNumberFormat="1" applyFont="1" applyFill="1" applyBorder="1" applyAlignment="1">
      <alignment horizontal="left"/>
    </xf>
    <xf numFmtId="14" fontId="12" fillId="0" borderId="0" xfId="868" applyNumberFormat="1" applyFont="1" applyAlignment="1">
      <alignment horizontal="left"/>
    </xf>
    <xf numFmtId="170" fontId="0" fillId="0" borderId="17" xfId="0" applyNumberFormat="1" applyBorder="1"/>
    <xf numFmtId="2" fontId="12" fillId="0" borderId="0" xfId="0" applyNumberFormat="1" applyFont="1" applyBorder="1"/>
    <xf numFmtId="0" fontId="0" fillId="0" borderId="0" xfId="0" applyNumberFormat="1" applyBorder="1"/>
    <xf numFmtId="0" fontId="36" fillId="37" borderId="41" xfId="0" applyFont="1" applyFill="1" applyBorder="1" applyAlignment="1">
      <alignment horizontal="right"/>
    </xf>
    <xf numFmtId="0" fontId="0" fillId="37" borderId="24" xfId="0" applyFill="1" applyBorder="1"/>
    <xf numFmtId="0" fontId="0" fillId="37" borderId="42" xfId="0" applyFill="1" applyBorder="1"/>
    <xf numFmtId="0" fontId="0" fillId="37" borderId="16" xfId="0" applyFill="1" applyBorder="1"/>
    <xf numFmtId="0" fontId="0" fillId="37" borderId="33" xfId="0" applyFill="1" applyBorder="1"/>
    <xf numFmtId="182" fontId="12" fillId="0" borderId="0" xfId="0" applyNumberFormat="1" applyFont="1" applyBorder="1"/>
    <xf numFmtId="1" fontId="0" fillId="0" borderId="0" xfId="0" applyNumberFormat="1" applyAlignment="1" applyProtection="1"/>
    <xf numFmtId="0" fontId="30" fillId="36" borderId="24" xfId="0" applyFont="1" applyFill="1" applyBorder="1" applyAlignment="1">
      <alignment horizontal="left" vertical="center" wrapText="1"/>
    </xf>
    <xf numFmtId="182" fontId="0" fillId="0" borderId="0" xfId="0" applyNumberFormat="1" applyFill="1"/>
    <xf numFmtId="0" fontId="0" fillId="36" borderId="0" xfId="0" applyFill="1"/>
    <xf numFmtId="0" fontId="12" fillId="0" borderId="0" xfId="0" applyFont="1" applyFill="1"/>
    <xf numFmtId="3" fontId="66" fillId="32" borderId="3" xfId="27" applyBorder="1"/>
    <xf numFmtId="179" fontId="67" fillId="38" borderId="0" xfId="1766" applyNumberFormat="1" applyFill="1"/>
    <xf numFmtId="1" fontId="67" fillId="38" borderId="0" xfId="1766" applyNumberFormat="1" applyFill="1"/>
    <xf numFmtId="2" fontId="67" fillId="38" borderId="0" xfId="1766" applyNumberFormat="1" applyFill="1"/>
    <xf numFmtId="179" fontId="30" fillId="26" borderId="0" xfId="2572" applyFill="1"/>
    <xf numFmtId="168" fontId="30" fillId="26" borderId="0" xfId="2572" applyNumberFormat="1" applyFill="1"/>
    <xf numFmtId="190" fontId="30" fillId="26" borderId="0" xfId="2572" applyNumberFormat="1" applyFill="1"/>
    <xf numFmtId="185" fontId="30" fillId="26" borderId="0" xfId="2572" applyNumberFormat="1" applyFill="1"/>
    <xf numFmtId="179" fontId="30" fillId="26" borderId="0" xfId="2572" applyFont="1" applyFill="1"/>
    <xf numFmtId="179" fontId="12" fillId="2" borderId="20" xfId="2572" applyFont="1" applyFill="1" applyBorder="1"/>
    <xf numFmtId="179" fontId="30" fillId="30" borderId="29" xfId="2572" applyFont="1" applyFill="1" applyBorder="1"/>
    <xf numFmtId="179" fontId="30" fillId="30" borderId="29" xfId="2572" applyFill="1" applyBorder="1"/>
    <xf numFmtId="179" fontId="30" fillId="2" borderId="19" xfId="2572" applyFill="1" applyBorder="1"/>
    <xf numFmtId="179" fontId="30" fillId="2" borderId="18" xfId="2572" applyFill="1" applyBorder="1"/>
    <xf numFmtId="179" fontId="12" fillId="2" borderId="0" xfId="2572" applyFont="1" applyFill="1" applyBorder="1" applyAlignment="1">
      <alignment horizontal="left"/>
    </xf>
    <xf numFmtId="178" fontId="57" fillId="2" borderId="0" xfId="2572" applyNumberFormat="1" applyFont="1" applyFill="1" applyBorder="1"/>
    <xf numFmtId="179" fontId="30" fillId="30" borderId="0" xfId="2572" applyFill="1" applyBorder="1"/>
    <xf numFmtId="179" fontId="30" fillId="2" borderId="21" xfId="2572" applyFill="1" applyBorder="1"/>
    <xf numFmtId="179" fontId="30" fillId="30" borderId="0" xfId="2572" applyFont="1" applyFill="1" applyBorder="1"/>
    <xf numFmtId="188" fontId="54" fillId="2" borderId="0" xfId="2572" applyNumberFormat="1" applyFont="1" applyFill="1" applyBorder="1" applyAlignment="1">
      <alignment horizontal="left" indent="1"/>
    </xf>
    <xf numFmtId="188" fontId="54" fillId="30" borderId="0" xfId="2572" applyNumberFormat="1" applyFont="1" applyFill="1" applyBorder="1" applyAlignment="1">
      <alignment horizontal="left" indent="1"/>
    </xf>
    <xf numFmtId="188" fontId="54" fillId="30" borderId="0" xfId="2572" applyNumberFormat="1" applyFont="1" applyFill="1" applyBorder="1"/>
    <xf numFmtId="179" fontId="30" fillId="30" borderId="28" xfId="2572" applyFill="1" applyBorder="1"/>
    <xf numFmtId="179" fontId="30" fillId="30" borderId="27" xfId="2572" applyFont="1" applyFill="1" applyBorder="1"/>
    <xf numFmtId="179" fontId="30" fillId="30" borderId="27" xfId="2572" applyFill="1" applyBorder="1"/>
    <xf numFmtId="180" fontId="12" fillId="2" borderId="27" xfId="2572" applyNumberFormat="1" applyFont="1" applyFill="1" applyBorder="1" applyAlignment="1" applyProtection="1">
      <alignment horizontal="left" indent="1"/>
      <protection locked="0"/>
    </xf>
    <xf numFmtId="190" fontId="12" fillId="2" borderId="27" xfId="2572" applyNumberFormat="1" applyFont="1" applyFill="1" applyBorder="1" applyAlignment="1" applyProtection="1">
      <alignment horizontal="left" indent="1"/>
      <protection locked="0"/>
    </xf>
    <xf numFmtId="179" fontId="30" fillId="30" borderId="26" xfId="2572" applyFill="1" applyBorder="1"/>
    <xf numFmtId="179" fontId="61" fillId="26" borderId="0" xfId="2572" applyFont="1" applyFill="1"/>
    <xf numFmtId="179" fontId="30" fillId="2" borderId="20" xfId="2572" applyFill="1" applyBorder="1"/>
    <xf numFmtId="179" fontId="30" fillId="30" borderId="37" xfId="2572" applyFill="1" applyBorder="1"/>
    <xf numFmtId="180" fontId="75" fillId="30" borderId="0" xfId="2572" applyNumberFormat="1" applyFont="1" applyFill="1" applyBorder="1"/>
    <xf numFmtId="184" fontId="75" fillId="30" borderId="0" xfId="1751" applyNumberFormat="1" applyFont="1" applyFill="1" applyBorder="1"/>
    <xf numFmtId="179" fontId="30" fillId="30" borderId="36" xfId="2572" applyFill="1" applyBorder="1"/>
    <xf numFmtId="179" fontId="30" fillId="30" borderId="35" xfId="2572" applyFill="1" applyBorder="1"/>
    <xf numFmtId="180" fontId="75" fillId="30" borderId="36" xfId="2572" applyNumberFormat="1" applyFont="1" applyFill="1" applyBorder="1"/>
    <xf numFmtId="2" fontId="30" fillId="30" borderId="0" xfId="2572" applyNumberFormat="1" applyFill="1" applyBorder="1"/>
    <xf numFmtId="179" fontId="57" fillId="30" borderId="0" xfId="2572" applyFont="1" applyFill="1" applyBorder="1"/>
    <xf numFmtId="179" fontId="12" fillId="2" borderId="0" xfId="2572" applyFont="1" applyFill="1" applyBorder="1"/>
    <xf numFmtId="178" fontId="30" fillId="30" borderId="0" xfId="2572" applyNumberFormat="1" applyFont="1" applyFill="1" applyBorder="1"/>
    <xf numFmtId="188" fontId="68" fillId="30" borderId="0" xfId="2572" applyNumberFormat="1" applyFont="1" applyFill="1" applyBorder="1"/>
    <xf numFmtId="188" fontId="66" fillId="30" borderId="0" xfId="2572" applyNumberFormat="1" applyFont="1" applyFill="1" applyBorder="1"/>
    <xf numFmtId="43" fontId="68" fillId="30" borderId="0" xfId="2572" applyNumberFormat="1" applyFont="1" applyFill="1" applyBorder="1"/>
    <xf numFmtId="179" fontId="30" fillId="30" borderId="34" xfId="2572" applyFill="1" applyBorder="1"/>
    <xf numFmtId="179" fontId="30" fillId="30" borderId="16" xfId="2572" applyFont="1" applyFill="1" applyBorder="1"/>
    <xf numFmtId="179" fontId="56" fillId="30" borderId="16" xfId="2572" applyFont="1" applyFill="1" applyBorder="1"/>
    <xf numFmtId="179" fontId="56" fillId="30" borderId="25" xfId="2572" applyFont="1" applyFill="1" applyBorder="1"/>
    <xf numFmtId="179" fontId="56" fillId="30" borderId="33" xfId="2572" applyFont="1" applyFill="1" applyBorder="1"/>
    <xf numFmtId="179" fontId="30" fillId="30" borderId="32" xfId="2572" applyFill="1" applyBorder="1"/>
    <xf numFmtId="179" fontId="30" fillId="30" borderId="30" xfId="2572" applyFill="1" applyBorder="1"/>
    <xf numFmtId="179" fontId="12" fillId="2" borderId="29" xfId="2572" applyFont="1" applyFill="1" applyBorder="1"/>
    <xf numFmtId="179" fontId="12" fillId="30" borderId="29" xfId="2572" applyFont="1" applyFill="1" applyBorder="1"/>
    <xf numFmtId="179" fontId="57" fillId="2" borderId="29" xfId="2572" applyFont="1" applyFill="1" applyBorder="1"/>
    <xf numFmtId="179" fontId="58" fillId="30" borderId="37" xfId="2572" applyFont="1" applyFill="1" applyBorder="1"/>
    <xf numFmtId="179" fontId="60" fillId="2" borderId="19" xfId="2572" applyFont="1" applyFill="1" applyBorder="1"/>
    <xf numFmtId="170" fontId="12" fillId="30" borderId="0" xfId="2572" applyNumberFormat="1" applyFont="1" applyFill="1" applyBorder="1" applyProtection="1">
      <protection locked="0"/>
    </xf>
    <xf numFmtId="170" fontId="30" fillId="2" borderId="0" xfId="2572" applyNumberFormat="1" applyFill="1" applyBorder="1" applyProtection="1">
      <protection locked="0"/>
    </xf>
    <xf numFmtId="179" fontId="56" fillId="30" borderId="35" xfId="2572" applyFont="1" applyFill="1" applyBorder="1"/>
    <xf numFmtId="179" fontId="12" fillId="2" borderId="18" xfId="2572" applyFont="1" applyFill="1" applyBorder="1"/>
    <xf numFmtId="2" fontId="54" fillId="30" borderId="0" xfId="2572" applyNumberFormat="1" applyFont="1" applyFill="1" applyBorder="1" applyProtection="1">
      <protection locked="0"/>
    </xf>
    <xf numFmtId="169" fontId="54" fillId="39" borderId="0" xfId="2572" applyNumberFormat="1" applyFont="1" applyFill="1" applyBorder="1" applyProtection="1">
      <protection locked="0"/>
    </xf>
    <xf numFmtId="179" fontId="60" fillId="30" borderId="0" xfId="2572" applyFont="1" applyFill="1" applyBorder="1"/>
    <xf numFmtId="179" fontId="56" fillId="30" borderId="21" xfId="2572" applyFont="1" applyFill="1" applyBorder="1"/>
    <xf numFmtId="170" fontId="54" fillId="2" borderId="0" xfId="2572" applyNumberFormat="1" applyFont="1" applyFill="1" applyBorder="1" applyProtection="1">
      <protection locked="0"/>
    </xf>
    <xf numFmtId="179" fontId="57" fillId="30" borderId="0" xfId="2572" applyFont="1" applyFill="1" applyBorder="1" applyProtection="1">
      <protection locked="0"/>
    </xf>
    <xf numFmtId="169" fontId="54" fillId="30" borderId="0" xfId="2572" applyNumberFormat="1" applyFont="1" applyFill="1" applyBorder="1"/>
    <xf numFmtId="188" fontId="57" fillId="30" borderId="0" xfId="2572" applyNumberFormat="1" applyFont="1" applyFill="1" applyBorder="1" applyProtection="1">
      <protection locked="0"/>
    </xf>
    <xf numFmtId="179" fontId="42" fillId="30" borderId="21" xfId="2572" applyFont="1" applyFill="1" applyBorder="1"/>
    <xf numFmtId="179" fontId="30" fillId="30" borderId="21" xfId="2572" applyFill="1" applyBorder="1" applyAlignment="1">
      <alignment horizontal="left" indent="1"/>
    </xf>
    <xf numFmtId="1" fontId="75" fillId="30" borderId="0" xfId="2572" applyNumberFormat="1" applyFont="1" applyFill="1" applyBorder="1" applyProtection="1">
      <protection locked="0"/>
    </xf>
    <xf numFmtId="2" fontId="54" fillId="2" borderId="0" xfId="2572" applyNumberFormat="1" applyFont="1" applyFill="1" applyBorder="1" applyProtection="1">
      <protection locked="0"/>
    </xf>
    <xf numFmtId="188" fontId="57" fillId="2" borderId="0" xfId="2572" applyNumberFormat="1" applyFont="1" applyFill="1" applyBorder="1" applyProtection="1">
      <protection locked="0"/>
    </xf>
    <xf numFmtId="179" fontId="12" fillId="30" borderId="21" xfId="2572" applyFont="1" applyFill="1" applyBorder="1"/>
    <xf numFmtId="179" fontId="57" fillId="30" borderId="36" xfId="2572" applyFont="1" applyFill="1" applyBorder="1"/>
    <xf numFmtId="179" fontId="12" fillId="30" borderId="0" xfId="2572" applyFont="1" applyFill="1" applyBorder="1"/>
    <xf numFmtId="3" fontId="30" fillId="30" borderId="0" xfId="2572" applyNumberFormat="1" applyFont="1" applyFill="1" applyBorder="1"/>
    <xf numFmtId="179" fontId="58" fillId="30" borderId="35" xfId="2572" applyFont="1" applyFill="1" applyBorder="1"/>
    <xf numFmtId="179" fontId="54" fillId="30" borderId="0" xfId="2572" applyFont="1" applyFill="1" applyBorder="1" applyProtection="1">
      <protection locked="0"/>
    </xf>
    <xf numFmtId="179" fontId="54" fillId="2" borderId="0" xfId="2572" applyFont="1" applyFill="1" applyBorder="1" applyProtection="1">
      <protection locked="0"/>
    </xf>
    <xf numFmtId="179" fontId="57" fillId="30" borderId="36" xfId="2572" applyFont="1" applyFill="1" applyBorder="1" applyProtection="1">
      <protection locked="0"/>
    </xf>
    <xf numFmtId="179" fontId="30" fillId="2" borderId="18" xfId="2572" quotePrefix="1" applyFill="1" applyBorder="1"/>
    <xf numFmtId="187" fontId="76" fillId="30" borderId="0" xfId="2572" applyNumberFormat="1" applyFont="1" applyFill="1" applyBorder="1" applyProtection="1">
      <protection locked="0"/>
    </xf>
    <xf numFmtId="189" fontId="30" fillId="2" borderId="0" xfId="2572" applyNumberFormat="1" applyFill="1" applyBorder="1" applyProtection="1">
      <protection locked="0"/>
    </xf>
    <xf numFmtId="43" fontId="30" fillId="2" borderId="36" xfId="2572" applyNumberFormat="1" applyFill="1" applyBorder="1" applyProtection="1">
      <protection locked="0"/>
    </xf>
    <xf numFmtId="179" fontId="54" fillId="2" borderId="21" xfId="2572" applyFont="1" applyFill="1" applyBorder="1"/>
    <xf numFmtId="43" fontId="66" fillId="2" borderId="36" xfId="2572" applyNumberFormat="1" applyFont="1" applyFill="1" applyBorder="1" applyProtection="1">
      <protection locked="0"/>
    </xf>
    <xf numFmtId="180" fontId="12" fillId="30" borderId="0" xfId="2572" applyNumberFormat="1" applyFont="1" applyFill="1" applyBorder="1" applyProtection="1">
      <protection locked="0"/>
    </xf>
    <xf numFmtId="180" fontId="30" fillId="30" borderId="0" xfId="2572" applyNumberFormat="1" applyFill="1" applyBorder="1" applyProtection="1">
      <protection locked="0"/>
    </xf>
    <xf numFmtId="180" fontId="30" fillId="30" borderId="36" xfId="2572" applyNumberFormat="1" applyFill="1" applyBorder="1" applyProtection="1">
      <protection locked="0"/>
    </xf>
    <xf numFmtId="190" fontId="57" fillId="30" borderId="0" xfId="2572" applyNumberFormat="1" applyFont="1" applyFill="1" applyBorder="1" applyProtection="1">
      <protection locked="0"/>
    </xf>
    <xf numFmtId="179" fontId="56" fillId="30" borderId="0" xfId="2572" applyFont="1" applyFill="1" applyBorder="1"/>
    <xf numFmtId="179" fontId="30" fillId="30" borderId="16" xfId="2572" applyFill="1" applyBorder="1"/>
    <xf numFmtId="9" fontId="30" fillId="26" borderId="0" xfId="2572" applyNumberFormat="1" applyFill="1"/>
    <xf numFmtId="179" fontId="42" fillId="26" borderId="0" xfId="2572" applyFont="1" applyFill="1"/>
    <xf numFmtId="179" fontId="55" fillId="30" borderId="21" xfId="2572" applyFont="1" applyFill="1" applyBorder="1"/>
    <xf numFmtId="179" fontId="30" fillId="30" borderId="21" xfId="2572" applyFont="1" applyFill="1" applyBorder="1"/>
    <xf numFmtId="179" fontId="55" fillId="30" borderId="26" xfId="2572" applyFont="1" applyFill="1" applyBorder="1"/>
    <xf numFmtId="186" fontId="31" fillId="26" borderId="0" xfId="2572" applyNumberFormat="1" applyFont="1" applyFill="1"/>
    <xf numFmtId="178" fontId="68" fillId="35" borderId="0" xfId="3103" applyNumberFormat="1" applyBorder="1" applyAlignment="1"/>
    <xf numFmtId="189" fontId="68" fillId="30" borderId="0" xfId="2572" applyNumberFormat="1" applyFont="1" applyFill="1" applyBorder="1"/>
    <xf numFmtId="178" fontId="30" fillId="30" borderId="36" xfId="2572" applyNumberFormat="1" applyFont="1" applyFill="1" applyBorder="1"/>
    <xf numFmtId="1" fontId="54" fillId="39" borderId="0" xfId="2572" applyNumberFormat="1" applyFont="1" applyFill="1" applyBorder="1" applyProtection="1">
      <protection locked="0"/>
    </xf>
    <xf numFmtId="189" fontId="30" fillId="30" borderId="0" xfId="2572" applyNumberFormat="1" applyFill="1" applyBorder="1" applyProtection="1">
      <protection locked="0"/>
    </xf>
    <xf numFmtId="43" fontId="30" fillId="30" borderId="36" xfId="2572" applyNumberFormat="1" applyFill="1" applyBorder="1" applyProtection="1">
      <protection locked="0"/>
    </xf>
    <xf numFmtId="179" fontId="12" fillId="2" borderId="21" xfId="2572" applyFont="1" applyFill="1" applyBorder="1"/>
    <xf numFmtId="2" fontId="54" fillId="2" borderId="27" xfId="2572" applyNumberFormat="1" applyFont="1" applyFill="1" applyBorder="1" applyProtection="1">
      <protection locked="0"/>
    </xf>
    <xf numFmtId="179" fontId="57" fillId="2" borderId="27" xfId="2572" applyFont="1" applyFill="1" applyBorder="1" applyProtection="1">
      <protection locked="0"/>
    </xf>
    <xf numFmtId="179" fontId="30" fillId="30" borderId="31" xfId="2572" applyFill="1" applyBorder="1"/>
    <xf numFmtId="179" fontId="57" fillId="2" borderId="38" xfId="2572" applyFont="1" applyFill="1" applyBorder="1"/>
    <xf numFmtId="170" fontId="30" fillId="2" borderId="36" xfId="2572" applyNumberFormat="1" applyFill="1" applyBorder="1" applyProtection="1">
      <protection locked="0"/>
    </xf>
    <xf numFmtId="1" fontId="54" fillId="39" borderId="36" xfId="2572" applyNumberFormat="1" applyFont="1" applyFill="1" applyBorder="1" applyProtection="1">
      <protection locked="0"/>
    </xf>
    <xf numFmtId="179" fontId="57" fillId="2" borderId="36" xfId="2572" applyFont="1" applyFill="1" applyBorder="1"/>
    <xf numFmtId="170" fontId="54" fillId="2" borderId="36" xfId="2572" applyNumberFormat="1" applyFont="1" applyFill="1" applyBorder="1" applyProtection="1">
      <protection locked="0"/>
    </xf>
    <xf numFmtId="2" fontId="54" fillId="2" borderId="36" xfId="2572" applyNumberFormat="1" applyFont="1" applyFill="1" applyBorder="1" applyProtection="1">
      <protection locked="0"/>
    </xf>
    <xf numFmtId="169" fontId="54" fillId="30" borderId="36" xfId="2572" applyNumberFormat="1" applyFont="1" applyFill="1" applyBorder="1"/>
    <xf numFmtId="188" fontId="57" fillId="2" borderId="36" xfId="2572" applyNumberFormat="1" applyFont="1" applyFill="1" applyBorder="1" applyProtection="1">
      <protection locked="0"/>
    </xf>
    <xf numFmtId="179" fontId="54" fillId="2" borderId="36" xfId="2572" applyFont="1" applyFill="1" applyBorder="1" applyProtection="1">
      <protection locked="0"/>
    </xf>
    <xf numFmtId="190" fontId="12" fillId="2" borderId="0" xfId="2572" applyNumberFormat="1" applyFont="1" applyFill="1" applyBorder="1" applyProtection="1">
      <protection locked="0"/>
    </xf>
    <xf numFmtId="190" fontId="12" fillId="2" borderId="36" xfId="2572" applyNumberFormat="1" applyFont="1" applyFill="1" applyBorder="1" applyProtection="1">
      <protection locked="0"/>
    </xf>
    <xf numFmtId="179" fontId="56" fillId="30" borderId="36" xfId="2572" applyFont="1" applyFill="1" applyBorder="1"/>
    <xf numFmtId="188" fontId="57" fillId="2" borderId="0" xfId="2572" applyNumberFormat="1" applyFont="1" applyFill="1" applyBorder="1"/>
    <xf numFmtId="180" fontId="77" fillId="2" borderId="27" xfId="2572" applyNumberFormat="1" applyFont="1" applyFill="1" applyBorder="1" applyProtection="1">
      <protection locked="0"/>
    </xf>
    <xf numFmtId="192" fontId="12" fillId="30" borderId="0" xfId="2572" applyNumberFormat="1" applyFont="1" applyFill="1" applyBorder="1"/>
    <xf numFmtId="180" fontId="30" fillId="30" borderId="0" xfId="2572" applyNumberFormat="1" applyFill="1" applyBorder="1"/>
    <xf numFmtId="191" fontId="30" fillId="26" borderId="0" xfId="2572" applyNumberFormat="1" applyFill="1"/>
    <xf numFmtId="43" fontId="68" fillId="2" borderId="0" xfId="2572" applyNumberFormat="1" applyFont="1" applyFill="1" applyBorder="1" applyProtection="1">
      <protection locked="0"/>
    </xf>
    <xf numFmtId="179" fontId="59" fillId="2" borderId="0" xfId="2572" applyFont="1" applyFill="1" applyBorder="1"/>
    <xf numFmtId="180" fontId="30" fillId="26" borderId="0" xfId="2572" applyNumberFormat="1" applyFill="1"/>
    <xf numFmtId="179" fontId="59" fillId="2" borderId="27" xfId="2572" applyFont="1" applyFill="1" applyBorder="1"/>
    <xf numFmtId="190" fontId="57" fillId="30" borderId="27" xfId="2572" applyNumberFormat="1" applyFont="1" applyFill="1" applyBorder="1" applyProtection="1">
      <protection locked="0"/>
    </xf>
    <xf numFmtId="9" fontId="0" fillId="26" borderId="0" xfId="1751" applyFont="1" applyFill="1"/>
    <xf numFmtId="193" fontId="30" fillId="26" borderId="0" xfId="2572" applyNumberFormat="1" applyFill="1"/>
    <xf numFmtId="179" fontId="59" fillId="2" borderId="29" xfId="2572" applyFont="1" applyFill="1" applyBorder="1"/>
    <xf numFmtId="192" fontId="75" fillId="30" borderId="29" xfId="2572" applyNumberFormat="1" applyFont="1" applyFill="1" applyBorder="1"/>
    <xf numFmtId="179" fontId="30" fillId="30" borderId="18" xfId="2572" applyFill="1" applyBorder="1"/>
    <xf numFmtId="190" fontId="99" fillId="32" borderId="0" xfId="2572" applyNumberFormat="1" applyFont="1" applyFill="1" applyAlignment="1">
      <alignment vertical="center"/>
    </xf>
    <xf numFmtId="170" fontId="54" fillId="30" borderId="0" xfId="2572" applyNumberFormat="1" applyFont="1" applyFill="1" applyBorder="1" applyProtection="1">
      <protection locked="0"/>
    </xf>
    <xf numFmtId="179" fontId="12" fillId="26" borderId="0" xfId="2572" applyFont="1" applyFill="1"/>
    <xf numFmtId="179" fontId="75" fillId="26" borderId="0" xfId="2572" applyFont="1" applyFill="1"/>
    <xf numFmtId="43" fontId="66" fillId="2" borderId="0" xfId="2572" applyNumberFormat="1" applyFont="1" applyFill="1" applyBorder="1" applyProtection="1">
      <protection locked="0"/>
    </xf>
    <xf numFmtId="179" fontId="57" fillId="2" borderId="0" xfId="2572" applyFont="1" applyFill="1" applyBorder="1"/>
    <xf numFmtId="179" fontId="12" fillId="30" borderId="35" xfId="2572" applyFont="1" applyFill="1" applyBorder="1"/>
    <xf numFmtId="179" fontId="66" fillId="30" borderId="0" xfId="2572" applyFont="1"/>
    <xf numFmtId="43" fontId="68" fillId="2" borderId="36" xfId="2572" applyNumberFormat="1" applyFont="1" applyFill="1" applyBorder="1" applyProtection="1">
      <protection locked="0"/>
    </xf>
    <xf numFmtId="43" fontId="30" fillId="2" borderId="0" xfId="2572" applyNumberFormat="1" applyFill="1" applyBorder="1" applyProtection="1">
      <protection locked="0"/>
    </xf>
    <xf numFmtId="43" fontId="12" fillId="2" borderId="36" xfId="2572" applyNumberFormat="1" applyFont="1" applyFill="1" applyBorder="1" applyProtection="1">
      <protection locked="0"/>
    </xf>
    <xf numFmtId="9" fontId="75" fillId="30" borderId="0" xfId="1751" applyFont="1" applyFill="1" applyBorder="1"/>
    <xf numFmtId="180" fontId="66" fillId="30" borderId="36" xfId="27" applyNumberFormat="1" applyFill="1" applyBorder="1"/>
    <xf numFmtId="190" fontId="30" fillId="30" borderId="0" xfId="2572" applyNumberFormat="1" applyFill="1" applyBorder="1"/>
    <xf numFmtId="188" fontId="66" fillId="32" borderId="0" xfId="27" applyNumberFormat="1" applyBorder="1" applyProtection="1">
      <protection locked="0"/>
    </xf>
    <xf numFmtId="188" fontId="66" fillId="32" borderId="36" xfId="27" applyNumberFormat="1" applyBorder="1" applyProtection="1">
      <protection locked="0"/>
    </xf>
    <xf numFmtId="180" fontId="30" fillId="30" borderId="36" xfId="29" applyNumberFormat="1" applyBorder="1" applyProtection="1">
      <protection locked="0"/>
    </xf>
    <xf numFmtId="194" fontId="66" fillId="32" borderId="0" xfId="27" applyNumberFormat="1" applyBorder="1" applyProtection="1">
      <protection locked="0"/>
    </xf>
    <xf numFmtId="194" fontId="66" fillId="32" borderId="36" xfId="27" applyNumberFormat="1" applyBorder="1" applyProtection="1">
      <protection locked="0"/>
    </xf>
    <xf numFmtId="191" fontId="30" fillId="2" borderId="18" xfId="2572" applyNumberFormat="1" applyFill="1" applyBorder="1"/>
    <xf numFmtId="190" fontId="54" fillId="30" borderId="0" xfId="2572" applyNumberFormat="1" applyFont="1" applyFill="1" applyBorder="1" applyProtection="1">
      <protection locked="0"/>
    </xf>
    <xf numFmtId="190" fontId="57" fillId="30" borderId="36" xfId="2572" applyNumberFormat="1" applyFont="1" applyFill="1" applyBorder="1" applyProtection="1">
      <protection locked="0"/>
    </xf>
    <xf numFmtId="189" fontId="68" fillId="30" borderId="0" xfId="2572" applyNumberFormat="1" applyFont="1" applyFill="1" applyBorder="1" applyProtection="1">
      <protection locked="0"/>
    </xf>
    <xf numFmtId="189" fontId="66" fillId="30" borderId="0" xfId="2572" applyNumberFormat="1" applyFont="1" applyFill="1" applyBorder="1" applyProtection="1">
      <protection locked="0"/>
    </xf>
    <xf numFmtId="43" fontId="66" fillId="30" borderId="36" xfId="2572" applyNumberFormat="1" applyFont="1" applyFill="1" applyBorder="1" applyProtection="1">
      <protection locked="0"/>
    </xf>
    <xf numFmtId="179" fontId="100" fillId="41" borderId="0" xfId="2572" applyFont="1" applyFill="1"/>
    <xf numFmtId="176" fontId="100" fillId="30" borderId="16" xfId="2572" applyNumberFormat="1" applyFont="1" applyFill="1" applyBorder="1"/>
    <xf numFmtId="179" fontId="100" fillId="30" borderId="16" xfId="2572" applyFont="1" applyFill="1" applyBorder="1"/>
    <xf numFmtId="195" fontId="100" fillId="30" borderId="0" xfId="2572" applyNumberFormat="1" applyFont="1" applyFill="1" applyBorder="1"/>
    <xf numFmtId="179" fontId="100" fillId="30" borderId="0" xfId="2572" applyFont="1" applyFill="1" applyBorder="1"/>
    <xf numFmtId="176" fontId="100" fillId="30" borderId="0" xfId="2572" applyNumberFormat="1" applyFont="1" applyFill="1" applyBorder="1"/>
    <xf numFmtId="3" fontId="100" fillId="30" borderId="0" xfId="2572" applyNumberFormat="1" applyFont="1" applyFill="1" applyBorder="1"/>
    <xf numFmtId="186" fontId="101" fillId="30" borderId="16" xfId="2572" applyNumberFormat="1" applyFont="1" applyFill="1" applyBorder="1"/>
    <xf numFmtId="186" fontId="101" fillId="30" borderId="0" xfId="2572" applyNumberFormat="1" applyFont="1" applyFill="1" applyBorder="1"/>
    <xf numFmtId="194" fontId="101" fillId="30" borderId="0" xfId="2572" applyNumberFormat="1" applyFont="1" applyFill="1" applyBorder="1"/>
    <xf numFmtId="180" fontId="101" fillId="30" borderId="17" xfId="2572" applyNumberFormat="1" applyFont="1" applyFill="1" applyBorder="1"/>
    <xf numFmtId="179" fontId="100" fillId="30" borderId="17" xfId="2572" applyFont="1" applyFill="1" applyBorder="1"/>
    <xf numFmtId="179" fontId="102" fillId="30" borderId="16" xfId="2572" applyFont="1" applyFill="1" applyBorder="1" applyAlignment="1">
      <alignment horizontal="right"/>
    </xf>
    <xf numFmtId="179" fontId="103" fillId="30" borderId="17" xfId="2572" applyFont="1" applyFill="1" applyBorder="1"/>
    <xf numFmtId="179" fontId="102" fillId="41" borderId="0" xfId="2572" applyFont="1" applyFill="1"/>
    <xf numFmtId="43" fontId="76" fillId="30" borderId="29" xfId="2572" applyNumberFormat="1" applyFont="1" applyFill="1" applyBorder="1"/>
    <xf numFmtId="179" fontId="30" fillId="30" borderId="19" xfId="2572" applyFill="1" applyBorder="1"/>
    <xf numFmtId="188" fontId="76" fillId="30" borderId="0" xfId="2572" applyNumberFormat="1" applyFont="1" applyFill="1" applyBorder="1"/>
    <xf numFmtId="43" fontId="76" fillId="30" borderId="0" xfId="2572" applyNumberFormat="1" applyFont="1" applyFill="1" applyBorder="1"/>
    <xf numFmtId="179" fontId="30" fillId="30" borderId="21" xfId="2572" applyFill="1" applyBorder="1"/>
    <xf numFmtId="1" fontId="79" fillId="30" borderId="27" xfId="2572" applyNumberFormat="1" applyFont="1" applyFill="1" applyBorder="1" applyAlignment="1">
      <alignment horizontal="right"/>
    </xf>
    <xf numFmtId="179" fontId="77" fillId="30" borderId="29" xfId="2572" applyFont="1" applyFill="1" applyBorder="1"/>
    <xf numFmtId="176" fontId="77" fillId="2" borderId="0" xfId="2572" applyNumberFormat="1" applyFont="1" applyFill="1" applyBorder="1"/>
    <xf numFmtId="166" fontId="30" fillId="26" borderId="0" xfId="2572" applyNumberFormat="1" applyFill="1"/>
    <xf numFmtId="179" fontId="77" fillId="30" borderId="0" xfId="2572" applyFont="1" applyFill="1" applyBorder="1"/>
    <xf numFmtId="195" fontId="57" fillId="2" borderId="29" xfId="2572" applyNumberFormat="1" applyFont="1" applyFill="1" applyBorder="1"/>
    <xf numFmtId="179" fontId="12" fillId="30" borderId="37" xfId="2572" applyFont="1" applyFill="1" applyBorder="1"/>
    <xf numFmtId="179" fontId="12" fillId="2" borderId="19" xfId="2572" applyFont="1" applyFill="1" applyBorder="1"/>
    <xf numFmtId="9" fontId="57" fillId="2" borderId="0" xfId="1751" applyFont="1" applyFill="1" applyBorder="1"/>
    <xf numFmtId="4" fontId="12" fillId="2" borderId="0" xfId="2572" applyNumberFormat="1" applyFont="1" applyFill="1" applyBorder="1"/>
    <xf numFmtId="4" fontId="57" fillId="2" borderId="0" xfId="2572" applyNumberFormat="1" applyFont="1" applyFill="1" applyBorder="1"/>
    <xf numFmtId="175" fontId="57" fillId="2" borderId="0" xfId="2572" applyNumberFormat="1" applyFont="1" applyFill="1" applyBorder="1"/>
    <xf numFmtId="3" fontId="57" fillId="2" borderId="0" xfId="2572" applyNumberFormat="1" applyFont="1" applyFill="1" applyBorder="1"/>
    <xf numFmtId="4" fontId="30" fillId="2" borderId="0" xfId="2572" applyNumberFormat="1" applyFont="1" applyFill="1" applyBorder="1"/>
    <xf numFmtId="169" fontId="54" fillId="39" borderId="36" xfId="2572" applyNumberFormat="1" applyFont="1" applyFill="1" applyBorder="1" applyProtection="1">
      <protection locked="0"/>
    </xf>
    <xf numFmtId="179" fontId="12" fillId="30" borderId="0" xfId="2572" applyFont="1" applyFill="1" applyBorder="1" applyProtection="1">
      <protection locked="0"/>
    </xf>
    <xf numFmtId="3" fontId="54" fillId="30" borderId="36" xfId="2572" applyNumberFormat="1" applyFont="1" applyFill="1" applyBorder="1"/>
    <xf numFmtId="3" fontId="54" fillId="30" borderId="0" xfId="2572" applyNumberFormat="1" applyFont="1" applyFill="1" applyBorder="1"/>
    <xf numFmtId="189" fontId="12" fillId="2" borderId="0" xfId="2572" applyNumberFormat="1" applyFont="1" applyFill="1" applyBorder="1" applyProtection="1">
      <protection locked="0"/>
    </xf>
    <xf numFmtId="189" fontId="12" fillId="2" borderId="36" xfId="2572" applyNumberFormat="1" applyFont="1" applyFill="1" applyBorder="1" applyProtection="1">
      <protection locked="0"/>
    </xf>
    <xf numFmtId="43" fontId="76" fillId="30" borderId="20" xfId="2572" applyNumberFormat="1" applyFont="1" applyFill="1" applyBorder="1"/>
    <xf numFmtId="188" fontId="76" fillId="30" borderId="18" xfId="2572" applyNumberFormat="1" applyFont="1" applyFill="1" applyBorder="1"/>
    <xf numFmtId="43" fontId="76" fillId="30" borderId="18" xfId="2572" applyNumberFormat="1" applyFont="1" applyFill="1" applyBorder="1"/>
    <xf numFmtId="1" fontId="79" fillId="30" borderId="28" xfId="2572" applyNumberFormat="1" applyFont="1" applyFill="1" applyBorder="1" applyAlignment="1">
      <alignment horizontal="right"/>
    </xf>
    <xf numFmtId="188" fontId="77" fillId="2" borderId="0" xfId="2572" applyNumberFormat="1" applyFont="1" applyFill="1" applyBorder="1"/>
    <xf numFmtId="195" fontId="57" fillId="2" borderId="0" xfId="2572" applyNumberFormat="1" applyFont="1" applyFill="1" applyBorder="1"/>
    <xf numFmtId="179" fontId="30" fillId="39" borderId="0" xfId="2572" applyFill="1"/>
    <xf numFmtId="179" fontId="12" fillId="39" borderId="0" xfId="2572" applyFont="1" applyFill="1"/>
    <xf numFmtId="166" fontId="12" fillId="26" borderId="0" xfId="2572" applyNumberFormat="1" applyFont="1" applyFill="1"/>
    <xf numFmtId="175" fontId="12" fillId="2" borderId="0" xfId="2572" applyNumberFormat="1" applyFont="1" applyFill="1" applyBorder="1"/>
    <xf numFmtId="175" fontId="75" fillId="2" borderId="0" xfId="2572" applyNumberFormat="1" applyFont="1" applyFill="1" applyBorder="1"/>
    <xf numFmtId="190" fontId="77" fillId="30" borderId="0" xfId="2572" applyNumberFormat="1" applyFont="1" applyFill="1" applyBorder="1"/>
    <xf numFmtId="180" fontId="54" fillId="2" borderId="0" xfId="2572" applyNumberFormat="1" applyFont="1" applyFill="1" applyBorder="1" applyProtection="1">
      <protection locked="0"/>
    </xf>
    <xf numFmtId="180" fontId="54" fillId="2" borderId="36" xfId="2572" applyNumberFormat="1" applyFont="1" applyFill="1" applyBorder="1" applyProtection="1">
      <protection locked="0"/>
    </xf>
    <xf numFmtId="186" fontId="31" fillId="39" borderId="0" xfId="2572" applyNumberFormat="1" applyFont="1" applyFill="1"/>
    <xf numFmtId="195" fontId="104" fillId="30" borderId="16" xfId="2572" applyNumberFormat="1" applyFont="1" applyFill="1" applyBorder="1"/>
    <xf numFmtId="3" fontId="104" fillId="30" borderId="16" xfId="2572" applyNumberFormat="1" applyFont="1" applyFill="1" applyBorder="1"/>
    <xf numFmtId="3" fontId="104" fillId="42" borderId="16" xfId="2572" applyNumberFormat="1" applyFont="1" applyFill="1" applyBorder="1"/>
    <xf numFmtId="179" fontId="104" fillId="30" borderId="16" xfId="2572" applyFont="1" applyFill="1" applyBorder="1"/>
    <xf numFmtId="3" fontId="104" fillId="30" borderId="0" xfId="2572" applyNumberFormat="1" applyFont="1" applyFill="1" applyBorder="1"/>
    <xf numFmtId="3" fontId="104" fillId="42" borderId="0" xfId="2572" applyNumberFormat="1" applyFont="1" applyFill="1" applyBorder="1"/>
    <xf numFmtId="179" fontId="104" fillId="30" borderId="0" xfId="2572" applyFont="1" applyFill="1" applyBorder="1"/>
    <xf numFmtId="3" fontId="104" fillId="30" borderId="17" xfId="2572" applyNumberFormat="1" applyFont="1" applyFill="1" applyBorder="1"/>
    <xf numFmtId="3" fontId="104" fillId="42" borderId="17" xfId="2572" applyNumberFormat="1" applyFont="1" applyFill="1" applyBorder="1"/>
    <xf numFmtId="179" fontId="104" fillId="30" borderId="17" xfId="2572" applyFont="1" applyFill="1" applyBorder="1"/>
    <xf numFmtId="180" fontId="105" fillId="30" borderId="16" xfId="2572" applyNumberFormat="1" applyFont="1" applyFill="1" applyBorder="1"/>
    <xf numFmtId="180" fontId="105" fillId="42" borderId="16" xfId="2572" applyNumberFormat="1" applyFont="1" applyFill="1" applyBorder="1"/>
    <xf numFmtId="180" fontId="105" fillId="30" borderId="0" xfId="2572" applyNumberFormat="1" applyFont="1" applyFill="1" applyBorder="1"/>
    <xf numFmtId="180" fontId="106" fillId="30" borderId="0" xfId="2572" applyNumberFormat="1" applyFont="1" applyFill="1" applyBorder="1"/>
    <xf numFmtId="194" fontId="105" fillId="30" borderId="0" xfId="2572" applyNumberFormat="1" applyFont="1" applyFill="1" applyBorder="1"/>
    <xf numFmtId="194" fontId="105" fillId="42" borderId="0" xfId="2572" applyNumberFormat="1" applyFont="1" applyFill="1" applyBorder="1"/>
    <xf numFmtId="194" fontId="105" fillId="30" borderId="17" xfId="2572" applyNumberFormat="1" applyFont="1" applyFill="1" applyBorder="1"/>
    <xf numFmtId="194" fontId="105" fillId="42" borderId="17" xfId="2572" applyNumberFormat="1" applyFont="1" applyFill="1" applyBorder="1"/>
    <xf numFmtId="179" fontId="107" fillId="30" borderId="24" xfId="2572" applyFont="1" applyFill="1" applyBorder="1" applyAlignment="1">
      <alignment horizontal="right"/>
    </xf>
    <xf numFmtId="179" fontId="104" fillId="30" borderId="24" xfId="2572" applyFont="1" applyFill="1" applyBorder="1"/>
    <xf numFmtId="179" fontId="104" fillId="41" borderId="0" xfId="2572" applyFont="1" applyFill="1"/>
    <xf numFmtId="179" fontId="107" fillId="41" borderId="0" xfId="2572" applyFont="1" applyFill="1"/>
    <xf numFmtId="43" fontId="76" fillId="40" borderId="0" xfId="2572" applyNumberFormat="1" applyFont="1" applyFill="1" applyBorder="1"/>
    <xf numFmtId="188" fontId="76" fillId="39" borderId="0" xfId="2572" applyNumberFormat="1" applyFont="1" applyFill="1" applyBorder="1"/>
    <xf numFmtId="189" fontId="77" fillId="40" borderId="0" xfId="2572" applyNumberFormat="1" applyFont="1" applyFill="1" applyBorder="1"/>
    <xf numFmtId="188" fontId="77" fillId="39" borderId="0" xfId="2572" applyNumberFormat="1" applyFont="1" applyFill="1" applyBorder="1"/>
    <xf numFmtId="9" fontId="12" fillId="2" borderId="0" xfId="1751" applyFont="1" applyFill="1" applyBorder="1"/>
    <xf numFmtId="197" fontId="57" fillId="2" borderId="0" xfId="1751" applyNumberFormat="1" applyFont="1" applyFill="1" applyBorder="1"/>
    <xf numFmtId="43" fontId="0" fillId="2" borderId="0" xfId="2042" applyFont="1" applyFill="1" applyBorder="1"/>
    <xf numFmtId="169" fontId="54" fillId="30" borderId="0" xfId="2572" applyNumberFormat="1" applyFont="1" applyFill="1" applyBorder="1" applyProtection="1">
      <protection locked="0"/>
    </xf>
    <xf numFmtId="179" fontId="100" fillId="2" borderId="0" xfId="2572" applyFont="1" applyFill="1"/>
    <xf numFmtId="179" fontId="100" fillId="38" borderId="0" xfId="2572" applyFont="1" applyFill="1"/>
    <xf numFmtId="176" fontId="100" fillId="2" borderId="16" xfId="2572" applyNumberFormat="1" applyFont="1" applyFill="1" applyBorder="1"/>
    <xf numFmtId="179" fontId="100" fillId="2" borderId="16" xfId="2572" applyFont="1" applyFill="1" applyBorder="1"/>
    <xf numFmtId="195" fontId="100" fillId="2" borderId="0" xfId="2572" applyNumberFormat="1" applyFont="1" applyFill="1" applyBorder="1"/>
    <xf numFmtId="179" fontId="100" fillId="2" borderId="0" xfId="2572" applyFont="1" applyFill="1" applyBorder="1"/>
    <xf numFmtId="176" fontId="100" fillId="2" borderId="0" xfId="2572" applyNumberFormat="1" applyFont="1" applyFill="1" applyBorder="1"/>
    <xf numFmtId="3" fontId="100" fillId="2" borderId="0" xfId="2572" applyNumberFormat="1" applyFont="1" applyFill="1" applyBorder="1"/>
    <xf numFmtId="186" fontId="101" fillId="2" borderId="16" xfId="2572" applyNumberFormat="1" applyFont="1" applyFill="1" applyBorder="1"/>
    <xf numFmtId="186" fontId="101" fillId="2" borderId="0" xfId="2572" applyNumberFormat="1" applyFont="1" applyFill="1" applyBorder="1"/>
    <xf numFmtId="194" fontId="101" fillId="2" borderId="0" xfId="2572" applyNumberFormat="1" applyFont="1" applyFill="1" applyBorder="1"/>
    <xf numFmtId="180" fontId="101" fillId="2" borderId="17" xfId="2572" applyNumberFormat="1" applyFont="1" applyFill="1" applyBorder="1"/>
    <xf numFmtId="179" fontId="100" fillId="2" borderId="17" xfId="2572" applyFont="1" applyFill="1" applyBorder="1"/>
    <xf numFmtId="179" fontId="102" fillId="2" borderId="16" xfId="2572" applyFont="1" applyFill="1" applyBorder="1" applyAlignment="1">
      <alignment horizontal="right"/>
    </xf>
    <xf numFmtId="179" fontId="103" fillId="2" borderId="17" xfId="2572" applyFont="1" applyFill="1" applyBorder="1"/>
    <xf numFmtId="179" fontId="102" fillId="2" borderId="0" xfId="2572" applyFont="1" applyFill="1"/>
    <xf numFmtId="179" fontId="42" fillId="39" borderId="0" xfId="2572" applyFont="1" applyFill="1"/>
    <xf numFmtId="195" fontId="74" fillId="2" borderId="29" xfId="2572" applyNumberFormat="1" applyFont="1" applyFill="1" applyBorder="1"/>
    <xf numFmtId="3" fontId="74" fillId="2" borderId="0" xfId="2572" applyNumberFormat="1" applyFont="1" applyFill="1" applyBorder="1"/>
    <xf numFmtId="9" fontId="75" fillId="2" borderId="0" xfId="1751" applyFont="1" applyFill="1" applyBorder="1"/>
    <xf numFmtId="3" fontId="77" fillId="2" borderId="0" xfId="2572" applyNumberFormat="1" applyFont="1" applyFill="1" applyBorder="1"/>
    <xf numFmtId="195" fontId="75" fillId="2" borderId="0" xfId="2572" applyNumberFormat="1" applyFont="1" applyFill="1" applyBorder="1"/>
    <xf numFmtId="4" fontId="74" fillId="2" borderId="0" xfId="2572" applyNumberFormat="1" applyFont="1" applyFill="1" applyBorder="1"/>
    <xf numFmtId="3" fontId="75" fillId="2" borderId="0" xfId="2572" applyNumberFormat="1" applyFont="1" applyFill="1" applyBorder="1"/>
    <xf numFmtId="3" fontId="78" fillId="36" borderId="0" xfId="2572" applyNumberFormat="1" applyFont="1" applyFill="1" applyBorder="1"/>
    <xf numFmtId="179" fontId="12" fillId="30" borderId="39" xfId="2572" applyFont="1" applyFill="1" applyBorder="1" applyAlignment="1">
      <alignment horizontal="right"/>
    </xf>
    <xf numFmtId="179" fontId="30" fillId="30" borderId="39" xfId="2572" applyFill="1" applyBorder="1" applyAlignment="1">
      <alignment horizontal="right"/>
    </xf>
    <xf numFmtId="179" fontId="30" fillId="30" borderId="40" xfId="2572" applyFill="1" applyBorder="1" applyAlignment="1">
      <alignment horizontal="right"/>
    </xf>
    <xf numFmtId="179" fontId="30" fillId="30" borderId="39" xfId="2572" applyFill="1" applyBorder="1"/>
    <xf numFmtId="179" fontId="63" fillId="30" borderId="22" xfId="2572" applyFont="1" applyFill="1" applyBorder="1" applyAlignment="1">
      <alignment horizontal="left"/>
    </xf>
    <xf numFmtId="179" fontId="78" fillId="2" borderId="20" xfId="2572" applyFont="1" applyFill="1" applyBorder="1"/>
    <xf numFmtId="195" fontId="75" fillId="2" borderId="29" xfId="2572" applyNumberFormat="1" applyFont="1" applyFill="1" applyBorder="1"/>
    <xf numFmtId="9" fontId="77" fillId="2" borderId="0" xfId="1751" applyFont="1" applyFill="1" applyBorder="1"/>
    <xf numFmtId="179" fontId="74" fillId="2" borderId="18" xfId="2572" applyFont="1" applyFill="1" applyBorder="1"/>
    <xf numFmtId="179" fontId="75" fillId="30" borderId="0" xfId="2572" applyFont="1" applyFill="1" applyBorder="1" applyProtection="1">
      <protection locked="0"/>
    </xf>
    <xf numFmtId="179" fontId="75" fillId="30" borderId="36" xfId="2572" applyFont="1" applyFill="1" applyBorder="1" applyProtection="1">
      <protection locked="0"/>
    </xf>
    <xf numFmtId="3" fontId="77" fillId="40" borderId="0" xfId="2572" applyNumberFormat="1" applyFont="1" applyFill="1" applyBorder="1"/>
    <xf numFmtId="184" fontId="12" fillId="2" borderId="0" xfId="1751" applyNumberFormat="1" applyFont="1" applyFill="1" applyBorder="1"/>
    <xf numFmtId="195" fontId="12" fillId="2" borderId="0" xfId="2572" applyNumberFormat="1" applyFont="1" applyFill="1" applyBorder="1"/>
    <xf numFmtId="179" fontId="78" fillId="2" borderId="18" xfId="2572" applyFont="1" applyFill="1" applyBorder="1"/>
    <xf numFmtId="4" fontId="75" fillId="2" borderId="0" xfId="2572" applyNumberFormat="1" applyFont="1" applyFill="1" applyBorder="1"/>
    <xf numFmtId="195" fontId="76" fillId="2" borderId="0" xfId="2572" applyNumberFormat="1" applyFont="1" applyFill="1" applyBorder="1"/>
    <xf numFmtId="179" fontId="77" fillId="2" borderId="18" xfId="2572" applyFont="1" applyFill="1" applyBorder="1"/>
    <xf numFmtId="179" fontId="59" fillId="2" borderId="0" xfId="2572" applyFont="1" applyFill="1" applyBorder="1" applyAlignment="1">
      <alignment horizontal="left"/>
    </xf>
    <xf numFmtId="43" fontId="57" fillId="2" borderId="0" xfId="2572" applyNumberFormat="1" applyFont="1" applyFill="1" applyBorder="1"/>
    <xf numFmtId="179" fontId="59" fillId="2" borderId="27" xfId="2572" applyFont="1" applyFill="1" applyBorder="1" applyAlignment="1">
      <alignment horizontal="left"/>
    </xf>
    <xf numFmtId="179" fontId="12" fillId="2" borderId="27" xfId="2572" applyFont="1" applyFill="1" applyBorder="1" applyProtection="1">
      <protection locked="0"/>
    </xf>
    <xf numFmtId="9" fontId="12" fillId="2" borderId="29" xfId="1751" applyFont="1" applyFill="1" applyBorder="1" applyProtection="1">
      <protection locked="0"/>
    </xf>
    <xf numFmtId="9" fontId="12" fillId="2" borderId="38" xfId="1751" applyFont="1" applyFill="1" applyBorder="1" applyProtection="1">
      <protection locked="0"/>
    </xf>
    <xf numFmtId="180" fontId="12" fillId="2" borderId="0" xfId="2572" applyNumberFormat="1" applyFont="1" applyFill="1" applyBorder="1" applyProtection="1">
      <protection locked="0"/>
    </xf>
    <xf numFmtId="180" fontId="12" fillId="2" borderId="36" xfId="2572" applyNumberFormat="1" applyFont="1" applyFill="1" applyBorder="1" applyProtection="1">
      <protection locked="0"/>
    </xf>
    <xf numFmtId="186" fontId="12" fillId="2" borderId="0" xfId="2572" applyNumberFormat="1" applyFont="1" applyFill="1" applyBorder="1" applyProtection="1">
      <protection locked="0"/>
    </xf>
    <xf numFmtId="179" fontId="12" fillId="2" borderId="0" xfId="2572" applyNumberFormat="1" applyFont="1" applyFill="1" applyBorder="1" applyProtection="1">
      <protection locked="0"/>
    </xf>
    <xf numFmtId="179" fontId="30" fillId="2" borderId="0" xfId="2572" applyFont="1" applyFill="1" applyBorder="1"/>
    <xf numFmtId="179" fontId="30" fillId="26" borderId="0" xfId="2572" applyNumberFormat="1" applyFill="1"/>
    <xf numFmtId="194" fontId="59" fillId="2" borderId="0" xfId="2572" applyNumberFormat="1" applyFont="1" applyFill="1" applyBorder="1"/>
    <xf numFmtId="2" fontId="54" fillId="39" borderId="0" xfId="2572" applyNumberFormat="1" applyFont="1" applyFill="1" applyBorder="1" applyProtection="1">
      <protection locked="0"/>
    </xf>
    <xf numFmtId="2" fontId="54" fillId="39" borderId="36" xfId="2572" applyNumberFormat="1" applyFont="1" applyFill="1" applyBorder="1" applyProtection="1">
      <protection locked="0"/>
    </xf>
    <xf numFmtId="194" fontId="30" fillId="26" borderId="0" xfId="2572" applyNumberFormat="1" applyFill="1"/>
    <xf numFmtId="189" fontId="68" fillId="30" borderId="0" xfId="3103" applyNumberFormat="1" applyFill="1" applyBorder="1" applyAlignment="1" applyProtection="1">
      <protection locked="0"/>
    </xf>
    <xf numFmtId="188" fontId="30" fillId="2" borderId="0" xfId="2572" applyNumberFormat="1" applyFill="1" applyBorder="1" applyProtection="1">
      <protection locked="0"/>
    </xf>
    <xf numFmtId="170" fontId="54" fillId="30" borderId="36" xfId="2572" applyNumberFormat="1" applyFont="1" applyFill="1" applyBorder="1"/>
    <xf numFmtId="188" fontId="30" fillId="2" borderId="36" xfId="2572" applyNumberFormat="1" applyFill="1" applyBorder="1" applyProtection="1">
      <protection locked="0"/>
    </xf>
    <xf numFmtId="186" fontId="43" fillId="26" borderId="0" xfId="2572" applyNumberFormat="1" applyFont="1" applyFill="1"/>
    <xf numFmtId="1" fontId="66" fillId="30" borderId="0" xfId="3103" applyNumberFormat="1" applyFont="1" applyFill="1" applyBorder="1" applyAlignment="1" applyProtection="1">
      <protection locked="0"/>
    </xf>
    <xf numFmtId="1" fontId="75" fillId="30" borderId="0" xfId="2572" applyNumberFormat="1" applyFont="1" applyFill="1" applyBorder="1"/>
    <xf numFmtId="1" fontId="66" fillId="2" borderId="0" xfId="2572" applyNumberFormat="1" applyFont="1" applyFill="1" applyBorder="1" applyProtection="1">
      <protection locked="0"/>
    </xf>
    <xf numFmtId="43" fontId="12" fillId="2" borderId="0" xfId="2572" applyNumberFormat="1" applyFont="1" applyFill="1" applyBorder="1"/>
    <xf numFmtId="179" fontId="12" fillId="2" borderId="36" xfId="2572" applyNumberFormat="1" applyFont="1" applyFill="1" applyBorder="1" applyProtection="1">
      <protection locked="0"/>
    </xf>
    <xf numFmtId="179" fontId="75" fillId="30" borderId="0" xfId="2572" applyFont="1" applyFill="1" applyBorder="1"/>
    <xf numFmtId="190" fontId="75" fillId="30" borderId="0" xfId="2572" applyNumberFormat="1" applyFont="1" applyFill="1" applyBorder="1"/>
    <xf numFmtId="9" fontId="30" fillId="30" borderId="0" xfId="1751" applyFont="1" applyFill="1" applyBorder="1"/>
    <xf numFmtId="188" fontId="12" fillId="2" borderId="0" xfId="2572" applyNumberFormat="1" applyFont="1" applyFill="1" applyBorder="1" applyAlignment="1">
      <alignment horizontal="left" indent="1"/>
    </xf>
    <xf numFmtId="180" fontId="12" fillId="2" borderId="27" xfId="2572" applyNumberFormat="1" applyFont="1" applyFill="1" applyBorder="1" applyProtection="1">
      <protection locked="0"/>
    </xf>
    <xf numFmtId="179" fontId="30" fillId="41" borderId="0" xfId="2572" applyFill="1"/>
    <xf numFmtId="166" fontId="30" fillId="41" borderId="0" xfId="2572" applyNumberFormat="1" applyFill="1" applyBorder="1"/>
    <xf numFmtId="179" fontId="30" fillId="41" borderId="0" xfId="2572" applyFill="1" applyBorder="1"/>
    <xf numFmtId="179" fontId="30" fillId="57" borderId="18" xfId="2572" applyFont="1" applyFill="1" applyBorder="1" applyAlignment="1">
      <alignment vertical="center"/>
    </xf>
    <xf numFmtId="179" fontId="30" fillId="57" borderId="20" xfId="2572" applyFont="1" applyFill="1" applyBorder="1" applyAlignment="1">
      <alignment vertical="center"/>
    </xf>
    <xf numFmtId="179" fontId="75" fillId="57" borderId="29" xfId="2572" applyFont="1" applyFill="1" applyBorder="1" applyAlignment="1">
      <alignment vertical="center"/>
    </xf>
    <xf numFmtId="179" fontId="30" fillId="57" borderId="19" xfId="2572" applyFont="1" applyFill="1" applyBorder="1" applyAlignment="1">
      <alignment vertical="center"/>
    </xf>
    <xf numFmtId="179" fontId="75" fillId="57" borderId="0" xfId="2572" applyFont="1" applyFill="1" applyAlignment="1">
      <alignment vertical="center"/>
    </xf>
    <xf numFmtId="179" fontId="30" fillId="57" borderId="21" xfId="2572" applyFont="1" applyFill="1" applyBorder="1" applyAlignment="1">
      <alignment vertical="center"/>
    </xf>
    <xf numFmtId="179" fontId="12" fillId="57" borderId="0" xfId="2572" applyFont="1" applyFill="1" applyAlignment="1">
      <alignment vertical="center"/>
    </xf>
    <xf numFmtId="179" fontId="75" fillId="57" borderId="21" xfId="2572" applyFont="1" applyFill="1" applyBorder="1" applyAlignment="1">
      <alignment vertical="center"/>
    </xf>
    <xf numFmtId="179" fontId="30" fillId="57" borderId="0" xfId="2572" applyFont="1" applyFill="1" applyAlignment="1">
      <alignment vertical="center"/>
    </xf>
    <xf numFmtId="194" fontId="12" fillId="2" borderId="36" xfId="2572" applyNumberFormat="1" applyFont="1" applyFill="1" applyBorder="1" applyProtection="1">
      <protection locked="0"/>
    </xf>
    <xf numFmtId="190" fontId="30" fillId="2" borderId="0" xfId="2572" applyNumberFormat="1" applyFont="1" applyFill="1" applyBorder="1"/>
    <xf numFmtId="2" fontId="54" fillId="30" borderId="0" xfId="2572" applyNumberFormat="1" applyFont="1" applyFill="1" applyBorder="1"/>
    <xf numFmtId="2" fontId="54" fillId="30" borderId="36" xfId="2572" applyNumberFormat="1" applyFont="1" applyFill="1" applyBorder="1"/>
    <xf numFmtId="190" fontId="75" fillId="2" borderId="36" xfId="2572" applyNumberFormat="1" applyFont="1" applyFill="1" applyBorder="1" applyProtection="1">
      <protection locked="0"/>
    </xf>
    <xf numFmtId="49" fontId="30" fillId="30" borderId="20" xfId="2572" applyNumberFormat="1" applyFill="1" applyBorder="1" applyAlignment="1">
      <alignment vertical="top" wrapText="1"/>
    </xf>
    <xf numFmtId="49" fontId="30" fillId="30" borderId="29" xfId="2572" applyNumberFormat="1" applyFill="1" applyBorder="1" applyAlignment="1">
      <alignment vertical="top" wrapText="1"/>
    </xf>
    <xf numFmtId="49" fontId="30" fillId="30" borderId="19" xfId="2572" applyNumberFormat="1" applyFill="1" applyBorder="1" applyAlignment="1">
      <alignment vertical="top" wrapText="1"/>
    </xf>
    <xf numFmtId="49" fontId="30" fillId="30" borderId="18" xfId="2572" applyNumberFormat="1" applyFill="1" applyBorder="1" applyAlignment="1">
      <alignment vertical="top" wrapText="1"/>
    </xf>
    <xf numFmtId="49" fontId="30" fillId="30" borderId="0" xfId="2572" applyNumberFormat="1" applyFill="1" applyBorder="1" applyAlignment="1">
      <alignment vertical="top" wrapText="1"/>
    </xf>
    <xf numFmtId="49" fontId="30" fillId="30" borderId="21" xfId="2572" applyNumberFormat="1" applyFill="1" applyBorder="1" applyAlignment="1">
      <alignment vertical="top" wrapText="1"/>
    </xf>
    <xf numFmtId="49" fontId="30" fillId="30" borderId="28" xfId="2572" applyNumberFormat="1" applyFill="1" applyBorder="1" applyAlignment="1">
      <alignment vertical="top" wrapText="1"/>
    </xf>
    <xf numFmtId="49" fontId="30" fillId="30" borderId="27" xfId="2572" applyNumberFormat="1" applyFill="1" applyBorder="1" applyAlignment="1">
      <alignment vertical="top" wrapText="1"/>
    </xf>
    <xf numFmtId="49" fontId="30" fillId="30" borderId="26" xfId="2572" applyNumberFormat="1" applyFill="1" applyBorder="1" applyAlignment="1">
      <alignment vertical="top" wrapText="1"/>
    </xf>
    <xf numFmtId="178" fontId="57" fillId="30" borderId="0" xfId="2572" applyNumberFormat="1" applyFont="1" applyFill="1" applyBorder="1"/>
    <xf numFmtId="179" fontId="30" fillId="36" borderId="0" xfId="2572" applyFill="1" applyBorder="1"/>
    <xf numFmtId="179" fontId="12" fillId="30" borderId="27" xfId="2572" applyFont="1" applyFill="1" applyBorder="1" applyAlignment="1" applyProtection="1">
      <alignment horizontal="left" indent="1"/>
      <protection locked="0"/>
    </xf>
    <xf numFmtId="179" fontId="30" fillId="30" borderId="29" xfId="2572" applyFill="1" applyBorder="1" applyAlignment="1"/>
    <xf numFmtId="179" fontId="75" fillId="30" borderId="0" xfId="2572" applyFont="1" applyFill="1" applyBorder="1" applyAlignment="1"/>
    <xf numFmtId="184" fontId="75" fillId="30" borderId="0" xfId="2572" applyNumberFormat="1" applyFont="1" applyFill="1" applyBorder="1" applyAlignment="1">
      <alignment horizontal="right"/>
    </xf>
    <xf numFmtId="179" fontId="30" fillId="30" borderId="36" xfId="2572" applyFill="1" applyBorder="1" applyAlignment="1">
      <alignment horizontal="right"/>
    </xf>
    <xf numFmtId="179" fontId="30" fillId="2" borderId="21" xfId="2572" applyFill="1" applyBorder="1" applyAlignment="1">
      <alignment wrapText="1"/>
    </xf>
    <xf numFmtId="180" fontId="75" fillId="30" borderId="0" xfId="2572" applyNumberFormat="1" applyFont="1" applyFill="1" applyBorder="1" applyAlignment="1"/>
    <xf numFmtId="180" fontId="75" fillId="30" borderId="36" xfId="2572" applyNumberFormat="1" applyFont="1" applyFill="1" applyBorder="1" applyAlignment="1"/>
    <xf numFmtId="3" fontId="30" fillId="30" borderId="0" xfId="2572" applyNumberFormat="1" applyFill="1" applyBorder="1" applyAlignment="1">
      <alignment horizontal="right"/>
    </xf>
    <xf numFmtId="192" fontId="30" fillId="30" borderId="0" xfId="2572" applyNumberFormat="1" applyFill="1" applyBorder="1" applyAlignment="1"/>
    <xf numFmtId="192" fontId="57" fillId="30" borderId="0" xfId="2572" applyNumberFormat="1" applyFont="1" applyFill="1" applyBorder="1" applyAlignment="1">
      <alignment horizontal="left"/>
    </xf>
    <xf numFmtId="192" fontId="57" fillId="30" borderId="0" xfId="2572" applyNumberFormat="1" applyFont="1" applyFill="1" applyBorder="1" applyAlignment="1"/>
    <xf numFmtId="43" fontId="12" fillId="30" borderId="0" xfId="2572" applyNumberFormat="1" applyFont="1" applyFill="1" applyBorder="1"/>
    <xf numFmtId="169" fontId="54" fillId="42" borderId="0" xfId="2572" applyNumberFormat="1" applyFont="1" applyFill="1" applyBorder="1" applyProtection="1">
      <protection locked="0"/>
    </xf>
    <xf numFmtId="179" fontId="80" fillId="30" borderId="0" xfId="2572" applyFont="1" applyFill="1" applyBorder="1" applyProtection="1">
      <protection locked="0"/>
    </xf>
    <xf numFmtId="2" fontId="80" fillId="30" borderId="0" xfId="2572" applyNumberFormat="1" applyFont="1" applyFill="1" applyBorder="1" applyProtection="1">
      <protection locked="0"/>
    </xf>
    <xf numFmtId="169" fontId="80" fillId="30" borderId="0" xfId="2572" applyNumberFormat="1" applyFont="1" applyFill="1" applyBorder="1"/>
    <xf numFmtId="180" fontId="76" fillId="30" borderId="0" xfId="2572" applyNumberFormat="1" applyFont="1" applyFill="1" applyBorder="1" applyProtection="1">
      <protection locked="0"/>
    </xf>
    <xf numFmtId="179" fontId="56" fillId="30" borderId="16" xfId="2572" applyFont="1" applyFill="1" applyBorder="1" applyAlignment="1">
      <alignment horizontal="right"/>
    </xf>
    <xf numFmtId="49" fontId="56" fillId="30" borderId="16" xfId="2572" applyNumberFormat="1" applyFont="1" applyFill="1" applyBorder="1" applyAlignment="1">
      <alignment horizontal="right"/>
    </xf>
    <xf numFmtId="49" fontId="12" fillId="30" borderId="20" xfId="2572" applyNumberFormat="1" applyFont="1" applyFill="1" applyBorder="1" applyAlignment="1">
      <alignment vertical="top"/>
    </xf>
    <xf numFmtId="49" fontId="12" fillId="30" borderId="29" xfId="2572" applyNumberFormat="1" applyFont="1" applyFill="1" applyBorder="1" applyAlignment="1">
      <alignment vertical="top"/>
    </xf>
    <xf numFmtId="49" fontId="12" fillId="30" borderId="19" xfId="2572" applyNumberFormat="1" applyFont="1" applyFill="1" applyBorder="1" applyAlignment="1">
      <alignment vertical="top"/>
    </xf>
    <xf numFmtId="49" fontId="12" fillId="30" borderId="18" xfId="2572" applyNumberFormat="1" applyFont="1" applyFill="1" applyBorder="1" applyAlignment="1">
      <alignment vertical="top"/>
    </xf>
    <xf numFmtId="49" fontId="12" fillId="30" borderId="0" xfId="2572" applyNumberFormat="1" applyFont="1" applyFill="1" applyBorder="1" applyAlignment="1">
      <alignment vertical="top"/>
    </xf>
    <xf numFmtId="49" fontId="12" fillId="30" borderId="21" xfId="2572" applyNumberFormat="1" applyFont="1" applyFill="1" applyBorder="1" applyAlignment="1">
      <alignment vertical="top"/>
    </xf>
    <xf numFmtId="179" fontId="30" fillId="2" borderId="18" xfId="2572" applyFill="1" applyBorder="1" applyAlignment="1">
      <alignment vertical="top"/>
    </xf>
    <xf numFmtId="179" fontId="30" fillId="30" borderId="0" xfId="2572" applyFill="1" applyBorder="1" applyAlignment="1">
      <alignment vertical="top"/>
    </xf>
    <xf numFmtId="179" fontId="55" fillId="30" borderId="21" xfId="2572" applyFont="1" applyFill="1" applyBorder="1" applyAlignment="1">
      <alignment vertical="top"/>
    </xf>
    <xf numFmtId="49" fontId="12" fillId="30" borderId="18" xfId="2572" applyNumberFormat="1" applyFont="1" applyFill="1" applyBorder="1" applyAlignment="1">
      <alignment vertical="top" wrapText="1"/>
    </xf>
    <xf numFmtId="49" fontId="12" fillId="30" borderId="0" xfId="2572" applyNumberFormat="1" applyFont="1" applyFill="1" applyBorder="1" applyAlignment="1">
      <alignment vertical="top" wrapText="1"/>
    </xf>
    <xf numFmtId="49" fontId="12" fillId="30" borderId="21" xfId="2572" applyNumberFormat="1" applyFont="1" applyFill="1" applyBorder="1" applyAlignment="1">
      <alignment vertical="top" wrapText="1"/>
    </xf>
    <xf numFmtId="179" fontId="59" fillId="30" borderId="0" xfId="2572" applyFont="1" applyFill="1" applyBorder="1" applyAlignment="1">
      <alignment horizontal="left"/>
    </xf>
    <xf numFmtId="189" fontId="57" fillId="30" borderId="0" xfId="2572" applyNumberFormat="1" applyFont="1" applyFill="1" applyBorder="1" applyProtection="1">
      <protection locked="0"/>
    </xf>
    <xf numFmtId="190" fontId="76" fillId="30" borderId="0" xfId="2572" applyNumberFormat="1" applyFont="1" applyFill="1" applyBorder="1" applyProtection="1">
      <protection locked="0"/>
    </xf>
    <xf numFmtId="49" fontId="12" fillId="30" borderId="18" xfId="2572" applyNumberFormat="1" applyFont="1" applyFill="1" applyBorder="1" applyAlignment="1">
      <alignment horizontal="left" vertical="top" wrapText="1"/>
    </xf>
    <xf numFmtId="49" fontId="12" fillId="30" borderId="0" xfId="2572" applyNumberFormat="1" applyFont="1" applyFill="1" applyBorder="1" applyAlignment="1">
      <alignment horizontal="left" vertical="top" wrapText="1"/>
    </xf>
    <xf numFmtId="49" fontId="12" fillId="30" borderId="21" xfId="2572" applyNumberFormat="1" applyFont="1" applyFill="1" applyBorder="1" applyAlignment="1">
      <alignment horizontal="left" vertical="top" wrapText="1"/>
    </xf>
    <xf numFmtId="49" fontId="12" fillId="30" borderId="21" xfId="2572" applyNumberFormat="1" applyFont="1" applyFill="1" applyBorder="1" applyAlignment="1">
      <alignment horizontal="left" vertical="top"/>
    </xf>
    <xf numFmtId="168" fontId="30" fillId="41" borderId="0" xfId="2572" applyNumberFormat="1" applyFill="1" applyBorder="1"/>
    <xf numFmtId="185" fontId="30" fillId="41" borderId="0" xfId="2572" applyNumberFormat="1" applyFill="1" applyBorder="1"/>
    <xf numFmtId="180" fontId="30" fillId="41" borderId="0" xfId="2572" applyNumberFormat="1" applyFill="1" applyBorder="1"/>
    <xf numFmtId="49" fontId="30" fillId="41" borderId="0" xfId="2572" applyNumberFormat="1" applyFill="1" applyBorder="1" applyAlignment="1">
      <alignment vertical="top" wrapText="1"/>
    </xf>
    <xf numFmtId="179" fontId="61" fillId="41" borderId="0" xfId="2572" applyFont="1" applyFill="1" applyBorder="1"/>
    <xf numFmtId="185" fontId="54" fillId="30" borderId="0" xfId="2572" applyNumberFormat="1" applyFont="1" applyFill="1" applyBorder="1" applyProtection="1">
      <protection locked="0"/>
    </xf>
    <xf numFmtId="180" fontId="57" fillId="30" borderId="0" xfId="2572" applyNumberFormat="1" applyFont="1" applyFill="1" applyBorder="1" applyProtection="1">
      <protection locked="0"/>
    </xf>
    <xf numFmtId="179" fontId="30" fillId="26" borderId="0" xfId="2572" applyFill="1" applyAlignment="1">
      <alignment horizontal="left"/>
    </xf>
    <xf numFmtId="49" fontId="30" fillId="41" borderId="0" xfId="2572" applyNumberFormat="1" applyFill="1" applyBorder="1" applyAlignment="1">
      <alignment horizontal="left" vertical="top" wrapText="1"/>
    </xf>
    <xf numFmtId="179" fontId="30" fillId="41" borderId="0" xfId="2572" applyFill="1" applyBorder="1" applyAlignment="1">
      <alignment horizontal="left"/>
    </xf>
    <xf numFmtId="179" fontId="30" fillId="30" borderId="29" xfId="2572" applyFill="1" applyBorder="1" applyAlignment="1">
      <alignment horizontal="left"/>
    </xf>
    <xf numFmtId="179" fontId="30" fillId="30" borderId="0" xfId="2572" applyFill="1" applyBorder="1" applyAlignment="1">
      <alignment horizontal="left"/>
    </xf>
    <xf numFmtId="180" fontId="57" fillId="30" borderId="27" xfId="2572" applyNumberFormat="1" applyFont="1" applyFill="1" applyBorder="1" applyProtection="1">
      <protection locked="0"/>
    </xf>
    <xf numFmtId="179" fontId="59" fillId="2" borderId="29" xfId="2572" applyFont="1" applyFill="1" applyBorder="1" applyAlignment="1">
      <alignment horizontal="left"/>
    </xf>
    <xf numFmtId="1" fontId="66" fillId="30" borderId="0" xfId="2572" applyNumberFormat="1" applyFont="1" applyFill="1" applyBorder="1"/>
    <xf numFmtId="192" fontId="57" fillId="30" borderId="0" xfId="2572" applyNumberFormat="1" applyFont="1" applyFill="1" applyBorder="1"/>
    <xf numFmtId="179" fontId="30" fillId="30" borderId="16" xfId="2572" applyFill="1" applyBorder="1" applyAlignment="1">
      <alignment horizontal="left"/>
    </xf>
    <xf numFmtId="179" fontId="30" fillId="30" borderId="27" xfId="2572" applyFill="1" applyBorder="1" applyAlignment="1">
      <alignment horizontal="left"/>
    </xf>
    <xf numFmtId="179" fontId="59" fillId="2" borderId="0" xfId="2572" applyFont="1" applyFill="1" applyBorder="1" applyAlignment="1">
      <alignment horizontal="left" vertical="top"/>
    </xf>
    <xf numFmtId="179" fontId="30" fillId="30" borderId="0" xfId="2572" applyFont="1" applyFill="1" applyBorder="1" applyAlignment="1">
      <alignment horizontal="left"/>
    </xf>
    <xf numFmtId="179" fontId="30" fillId="30" borderId="0" xfId="2572" applyFill="1" applyBorder="1" applyAlignment="1">
      <alignment horizontal="left" vertical="top"/>
    </xf>
    <xf numFmtId="180" fontId="57" fillId="30" borderId="36" xfId="2572" applyNumberFormat="1" applyFont="1" applyFill="1" applyBorder="1" applyProtection="1">
      <protection locked="0"/>
    </xf>
    <xf numFmtId="180" fontId="76" fillId="30" borderId="36" xfId="2572" applyNumberFormat="1" applyFont="1" applyFill="1" applyBorder="1" applyProtection="1">
      <protection locked="0"/>
    </xf>
    <xf numFmtId="179" fontId="12" fillId="30" borderId="18" xfId="2572" applyFont="1" applyFill="1" applyBorder="1" applyAlignment="1">
      <alignment vertical="top" wrapText="1"/>
    </xf>
    <xf numFmtId="179" fontId="12" fillId="30" borderId="0" xfId="2572" applyFont="1" applyFill="1" applyBorder="1" applyAlignment="1">
      <alignment vertical="top" wrapText="1"/>
    </xf>
    <xf numFmtId="179" fontId="12" fillId="30" borderId="21" xfId="2572" applyFont="1" applyFill="1" applyBorder="1" applyAlignment="1">
      <alignment vertical="top" wrapText="1"/>
    </xf>
    <xf numFmtId="179" fontId="12" fillId="30" borderId="18" xfId="2572" applyFont="1" applyFill="1" applyBorder="1" applyAlignment="1"/>
    <xf numFmtId="179" fontId="12" fillId="30" borderId="0" xfId="2572" applyFont="1" applyFill="1" applyBorder="1" applyAlignment="1"/>
    <xf numFmtId="179" fontId="12" fillId="30" borderId="21" xfId="2572" applyFont="1" applyFill="1" applyBorder="1" applyAlignment="1">
      <alignment vertical="top"/>
    </xf>
    <xf numFmtId="179" fontId="12" fillId="30" borderId="21" xfId="2572" applyFont="1" applyFill="1" applyBorder="1" applyAlignment="1"/>
    <xf numFmtId="179" fontId="67" fillId="38" borderId="0" xfId="1766" applyNumberFormat="1" applyFill="1" applyAlignment="1">
      <alignment horizontal="left"/>
    </xf>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179" fontId="68" fillId="35" borderId="51" xfId="3103" applyBorder="1" applyAlignment="1"/>
    <xf numFmtId="0" fontId="0" fillId="2" borderId="51" xfId="0" applyFill="1" applyBorder="1" applyAlignment="1"/>
    <xf numFmtId="0" fontId="0" fillId="30" borderId="0" xfId="0" applyFill="1" applyBorder="1"/>
    <xf numFmtId="0" fontId="12" fillId="0" borderId="0" xfId="849"/>
    <xf numFmtId="1" fontId="0" fillId="0" borderId="0" xfId="0" applyNumberFormat="1" applyAlignment="1" applyProtection="1">
      <alignment horizontal="right"/>
    </xf>
    <xf numFmtId="182" fontId="12" fillId="0" borderId="0" xfId="868" applyNumberFormat="1" applyFont="1" applyFill="1" applyBorder="1"/>
    <xf numFmtId="14" fontId="12" fillId="0" borderId="0" xfId="868" applyNumberFormat="1" applyFont="1"/>
    <xf numFmtId="1" fontId="0" fillId="0" borderId="0" xfId="0" applyNumberFormat="1" applyBorder="1" applyAlignment="1" applyProtection="1">
      <alignment horizontal="right"/>
    </xf>
    <xf numFmtId="198" fontId="12" fillId="0" borderId="0" xfId="0" applyNumberFormat="1" applyFont="1" applyBorder="1"/>
    <xf numFmtId="0" fontId="12" fillId="0" borderId="0" xfId="0" applyFont="1" applyFill="1" applyBorder="1"/>
    <xf numFmtId="1" fontId="0" fillId="0" borderId="0" xfId="0" applyNumberFormat="1" applyBorder="1" applyAlignment="1" applyProtection="1"/>
    <xf numFmtId="0" fontId="0" fillId="0" borderId="0" xfId="0"/>
    <xf numFmtId="0" fontId="31" fillId="29" borderId="15" xfId="0" applyFont="1" applyFill="1" applyBorder="1" applyAlignment="1">
      <alignment horizontal="left" vertical="top" wrapText="1"/>
    </xf>
    <xf numFmtId="0" fontId="30" fillId="36" borderId="17" xfId="0" applyFont="1" applyFill="1" applyBorder="1" applyAlignment="1">
      <alignment horizontal="left" vertical="center" wrapText="1"/>
    </xf>
    <xf numFmtId="0" fontId="12" fillId="0" borderId="0" xfId="0" applyFont="1" applyBorder="1"/>
    <xf numFmtId="182" fontId="0" fillId="0" borderId="0" xfId="0" applyNumberFormat="1" applyFont="1" applyFill="1" applyBorder="1"/>
    <xf numFmtId="0" fontId="0" fillId="0" borderId="0" xfId="0"/>
    <xf numFmtId="0" fontId="0" fillId="0" borderId="0" xfId="0" applyBorder="1"/>
    <xf numFmtId="182" fontId="0" fillId="0" borderId="0" xfId="0" applyNumberFormat="1"/>
    <xf numFmtId="182" fontId="12" fillId="0" borderId="0" xfId="0" applyNumberFormat="1" applyFont="1" applyFill="1" applyBorder="1"/>
    <xf numFmtId="182" fontId="0" fillId="0" borderId="0" xfId="0" applyNumberFormat="1" applyFill="1" applyBorder="1"/>
    <xf numFmtId="182" fontId="0" fillId="0" borderId="0" xfId="0" applyNumberFormat="1" applyBorder="1"/>
    <xf numFmtId="179" fontId="12" fillId="36" borderId="0" xfId="2572" applyFont="1" applyFill="1" applyAlignment="1">
      <alignment vertical="center"/>
    </xf>
    <xf numFmtId="179" fontId="30" fillId="36" borderId="21" xfId="2572" applyFont="1" applyFill="1" applyBorder="1" applyAlignment="1">
      <alignment vertical="center"/>
    </xf>
    <xf numFmtId="2" fontId="0" fillId="0" borderId="0" xfId="0" applyNumberFormat="1" applyFill="1" applyBorder="1"/>
    <xf numFmtId="168" fontId="0" fillId="0" borderId="0" xfId="0" applyNumberFormat="1" applyFill="1" applyBorder="1"/>
    <xf numFmtId="185" fontId="0" fillId="0" borderId="0" xfId="0" applyNumberFormat="1" applyFill="1" applyBorder="1"/>
    <xf numFmtId="0" fontId="36" fillId="37" borderId="0" xfId="0" applyFont="1" applyFill="1" applyBorder="1" applyAlignment="1">
      <alignment horizontal="right"/>
    </xf>
    <xf numFmtId="0" fontId="0" fillId="37" borderId="0" xfId="0" applyFill="1" applyBorder="1"/>
    <xf numFmtId="0" fontId="0" fillId="0" borderId="0" xfId="0"/>
    <xf numFmtId="0" fontId="0" fillId="0" borderId="0" xfId="0"/>
    <xf numFmtId="0" fontId="0" fillId="0" borderId="0" xfId="0" applyFill="1"/>
    <xf numFmtId="0" fontId="0" fillId="0" borderId="0" xfId="0" applyBorder="1"/>
    <xf numFmtId="182" fontId="0" fillId="0" borderId="0" xfId="0" applyNumberFormat="1" applyFill="1" applyBorder="1"/>
    <xf numFmtId="182" fontId="12" fillId="0" borderId="0" xfId="0" applyNumberFormat="1" applyFont="1"/>
    <xf numFmtId="182" fontId="12" fillId="0" borderId="0" xfId="0" applyNumberFormat="1" applyFont="1" applyFill="1" applyBorder="1"/>
    <xf numFmtId="2" fontId="0" fillId="0" borderId="0" xfId="0" applyNumberFormat="1"/>
    <xf numFmtId="0" fontId="12" fillId="2" borderId="51" xfId="0" applyFont="1" applyFill="1" applyBorder="1"/>
    <xf numFmtId="1" fontId="74" fillId="0" borderId="0" xfId="0" applyNumberFormat="1" applyFont="1" applyFill="1" applyBorder="1"/>
    <xf numFmtId="169" fontId="0" fillId="0" borderId="0" xfId="0" applyNumberFormat="1" applyFill="1"/>
    <xf numFmtId="1" fontId="0" fillId="0" borderId="0" xfId="0" applyNumberFormat="1" applyFill="1" applyBorder="1"/>
    <xf numFmtId="1" fontId="74" fillId="0" borderId="0" xfId="0" applyNumberFormat="1" applyFont="1" applyFill="1"/>
    <xf numFmtId="169" fontId="12" fillId="0" borderId="0" xfId="0" applyNumberFormat="1" applyFont="1" applyFill="1" applyBorder="1"/>
    <xf numFmtId="168" fontId="0" fillId="0" borderId="0" xfId="0" applyNumberFormat="1" applyFill="1"/>
    <xf numFmtId="169" fontId="12" fillId="0" borderId="0" xfId="0" applyNumberFormat="1" applyFont="1" applyBorder="1"/>
    <xf numFmtId="0" fontId="0" fillId="0" borderId="0" xfId="0"/>
    <xf numFmtId="0" fontId="0" fillId="0" borderId="0" xfId="0" applyFill="1"/>
    <xf numFmtId="0" fontId="73" fillId="0" borderId="0" xfId="0" applyFont="1" applyAlignment="1">
      <alignment wrapText="1"/>
    </xf>
    <xf numFmtId="0" fontId="0" fillId="0" borderId="0" xfId="0"/>
    <xf numFmtId="0" fontId="0" fillId="0" borderId="0" xfId="0" applyBorder="1"/>
    <xf numFmtId="0" fontId="12" fillId="0" borderId="0" xfId="0" applyFont="1" applyBorder="1"/>
    <xf numFmtId="0" fontId="36" fillId="0" borderId="0" xfId="0" applyFont="1" applyBorder="1"/>
    <xf numFmtId="170" fontId="0" fillId="0" borderId="0" xfId="0" applyNumberFormat="1" applyBorder="1"/>
    <xf numFmtId="170" fontId="0" fillId="0" borderId="0" xfId="0" applyNumberFormat="1"/>
    <xf numFmtId="0" fontId="0" fillId="0" borderId="29" xfId="0" applyBorder="1"/>
    <xf numFmtId="170" fontId="0" fillId="0" borderId="29" xfId="0" applyNumberFormat="1" applyBorder="1"/>
    <xf numFmtId="0" fontId="0" fillId="0" borderId="0" xfId="0"/>
    <xf numFmtId="0" fontId="0" fillId="0" borderId="0" xfId="0" applyFill="1"/>
    <xf numFmtId="0" fontId="12" fillId="0" borderId="0" xfId="0" applyFont="1"/>
    <xf numFmtId="169" fontId="0" fillId="0" borderId="0" xfId="0" applyNumberFormat="1"/>
    <xf numFmtId="177" fontId="0" fillId="0" borderId="0" xfId="0" applyNumberFormat="1"/>
    <xf numFmtId="182" fontId="0" fillId="0" borderId="0" xfId="0" applyNumberFormat="1" applyFill="1" applyBorder="1"/>
    <xf numFmtId="182" fontId="12" fillId="0" borderId="0" xfId="0" applyNumberFormat="1" applyFont="1" applyFill="1" applyBorder="1"/>
    <xf numFmtId="0" fontId="0" fillId="0" borderId="0" xfId="0"/>
    <xf numFmtId="0" fontId="0" fillId="0" borderId="0" xfId="0" applyFill="1"/>
    <xf numFmtId="0" fontId="0" fillId="0" borderId="16" xfId="0" applyBorder="1"/>
    <xf numFmtId="0" fontId="12" fillId="0" borderId="0" xfId="0" applyFont="1"/>
    <xf numFmtId="1" fontId="0" fillId="0" borderId="0" xfId="0" applyNumberFormat="1"/>
    <xf numFmtId="0" fontId="0" fillId="0" borderId="17" xfId="0" applyBorder="1"/>
    <xf numFmtId="1" fontId="0" fillId="0" borderId="17" xfId="0" applyNumberFormat="1" applyBorder="1"/>
    <xf numFmtId="0" fontId="0" fillId="0" borderId="0" xfId="0" applyBorder="1"/>
    <xf numFmtId="0" fontId="12" fillId="0" borderId="0" xfId="0" applyFont="1" applyBorder="1"/>
    <xf numFmtId="1" fontId="0" fillId="0" borderId="0" xfId="0" applyNumberFormat="1" applyBorder="1"/>
    <xf numFmtId="0" fontId="36" fillId="0" borderId="0" xfId="0" applyFont="1"/>
    <xf numFmtId="0" fontId="36" fillId="0" borderId="0" xfId="0" applyFont="1" applyBorder="1"/>
    <xf numFmtId="2" fontId="0" fillId="0" borderId="0" xfId="0" applyNumberFormat="1"/>
    <xf numFmtId="0" fontId="0" fillId="0" borderId="0" xfId="0" applyFill="1" applyBorder="1"/>
    <xf numFmtId="0" fontId="12" fillId="0" borderId="16" xfId="0" applyFont="1" applyBorder="1"/>
    <xf numFmtId="2" fontId="0" fillId="0" borderId="0" xfId="0" applyNumberFormat="1" applyBorder="1"/>
    <xf numFmtId="175" fontId="0" fillId="0" borderId="0" xfId="0" applyNumberFormat="1"/>
    <xf numFmtId="175" fontId="0" fillId="0" borderId="17" xfId="0" applyNumberFormat="1" applyBorder="1"/>
    <xf numFmtId="175" fontId="0" fillId="0" borderId="0" xfId="0" applyNumberFormat="1" applyBorder="1"/>
    <xf numFmtId="0" fontId="0" fillId="0" borderId="16" xfId="0" applyFill="1" applyBorder="1"/>
    <xf numFmtId="182" fontId="0" fillId="0" borderId="0" xfId="0" applyNumberFormat="1"/>
    <xf numFmtId="182" fontId="0" fillId="0" borderId="0" xfId="0" applyNumberFormat="1" applyFill="1" applyBorder="1"/>
    <xf numFmtId="182" fontId="12" fillId="0" borderId="0" xfId="0" applyNumberFormat="1" applyFont="1"/>
    <xf numFmtId="182" fontId="12" fillId="0" borderId="0" xfId="0" applyNumberFormat="1" applyFont="1" applyFill="1" applyBorder="1"/>
    <xf numFmtId="182" fontId="0" fillId="0" borderId="0" xfId="0" applyNumberFormat="1" applyFont="1" applyFill="1" applyBorder="1"/>
    <xf numFmtId="0" fontId="0" fillId="0" borderId="0" xfId="0"/>
    <xf numFmtId="0" fontId="0" fillId="0" borderId="0" xfId="0" applyFill="1"/>
    <xf numFmtId="0" fontId="31" fillId="29" borderId="15" xfId="0" applyFont="1" applyFill="1" applyBorder="1" applyAlignment="1">
      <alignment horizontal="left" vertical="top" wrapText="1"/>
    </xf>
    <xf numFmtId="0" fontId="0" fillId="0" borderId="0" xfId="0" applyBorder="1"/>
    <xf numFmtId="0" fontId="12" fillId="0" borderId="0" xfId="0" applyFont="1" applyFill="1"/>
    <xf numFmtId="182" fontId="0" fillId="0" borderId="0" xfId="0" applyNumberFormat="1"/>
    <xf numFmtId="2" fontId="0" fillId="0" borderId="29" xfId="0" applyNumberFormat="1" applyBorder="1"/>
    <xf numFmtId="0" fontId="0" fillId="0" borderId="71" xfId="0" applyBorder="1"/>
    <xf numFmtId="0" fontId="12" fillId="0" borderId="72" xfId="0" applyFont="1" applyBorder="1"/>
    <xf numFmtId="0" fontId="0" fillId="0" borderId="36" xfId="0" applyBorder="1"/>
    <xf numFmtId="2" fontId="0" fillId="0" borderId="35" xfId="0" applyNumberFormat="1" applyBorder="1"/>
    <xf numFmtId="0" fontId="0" fillId="0" borderId="36" xfId="0" applyFill="1" applyBorder="1"/>
    <xf numFmtId="0" fontId="0" fillId="0" borderId="25" xfId="0" applyFill="1" applyBorder="1"/>
    <xf numFmtId="2" fontId="0" fillId="0" borderId="33" xfId="0" applyNumberFormat="1" applyFill="1" applyBorder="1"/>
    <xf numFmtId="0" fontId="168" fillId="0" borderId="16" xfId="0" applyFont="1" applyBorder="1"/>
    <xf numFmtId="175" fontId="168" fillId="0" borderId="16" xfId="0" applyNumberFormat="1" applyFont="1" applyBorder="1"/>
    <xf numFmtId="1" fontId="168" fillId="0" borderId="16" xfId="0" applyNumberFormat="1" applyFont="1" applyBorder="1"/>
    <xf numFmtId="0" fontId="168" fillId="0" borderId="16" xfId="0" applyFont="1" applyFill="1" applyBorder="1"/>
    <xf numFmtId="0" fontId="12" fillId="0" borderId="0" xfId="849" applyAlignment="1">
      <alignment horizontal="left"/>
    </xf>
    <xf numFmtId="2" fontId="11" fillId="0" borderId="0" xfId="849" applyNumberFormat="1" applyFont="1" applyAlignment="1">
      <alignment horizontal="left"/>
    </xf>
    <xf numFmtId="0" fontId="12" fillId="0" borderId="16" xfId="849" applyBorder="1"/>
    <xf numFmtId="0" fontId="30" fillId="36" borderId="17" xfId="849" applyFont="1" applyFill="1" applyBorder="1" applyAlignment="1">
      <alignment horizontal="left" vertical="center" wrapText="1"/>
    </xf>
    <xf numFmtId="0" fontId="72" fillId="36" borderId="17" xfId="849" applyFont="1" applyFill="1" applyBorder="1" applyAlignment="1">
      <alignment horizontal="center" vertical="center" wrapText="1"/>
    </xf>
    <xf numFmtId="0" fontId="30" fillId="36" borderId="16" xfId="849" applyFont="1" applyFill="1" applyBorder="1" applyAlignment="1">
      <alignment horizontal="left" vertical="center" wrapText="1"/>
    </xf>
    <xf numFmtId="0" fontId="31" fillId="29" borderId="17" xfId="849" applyFont="1" applyFill="1" applyBorder="1" applyAlignment="1">
      <alignment horizontal="left" vertical="top" wrapText="1"/>
    </xf>
    <xf numFmtId="0" fontId="12" fillId="0" borderId="17" xfId="849" applyBorder="1"/>
    <xf numFmtId="0" fontId="36" fillId="0" borderId="17" xfId="849" applyFont="1" applyBorder="1"/>
    <xf numFmtId="2" fontId="74" fillId="0" borderId="17" xfId="849" applyNumberFormat="1" applyFont="1" applyFill="1" applyBorder="1"/>
    <xf numFmtId="170" fontId="74" fillId="0" borderId="17" xfId="849" applyNumberFormat="1" applyFont="1" applyFill="1" applyBorder="1"/>
    <xf numFmtId="169" fontId="74" fillId="0" borderId="17" xfId="849" applyNumberFormat="1" applyFont="1" applyFill="1" applyBorder="1"/>
    <xf numFmtId="0" fontId="12" fillId="0" borderId="0" xfId="849" applyBorder="1"/>
    <xf numFmtId="0" fontId="36" fillId="0" borderId="0" xfId="849" applyFont="1" applyBorder="1"/>
    <xf numFmtId="0" fontId="12" fillId="0" borderId="0" xfId="849" applyFont="1" applyFill="1" applyBorder="1"/>
    <xf numFmtId="2" fontId="74" fillId="0" borderId="0" xfId="849" applyNumberFormat="1" applyFont="1" applyFill="1" applyBorder="1"/>
    <xf numFmtId="170" fontId="74" fillId="0" borderId="0" xfId="849" applyNumberFormat="1" applyFont="1" applyFill="1" applyBorder="1"/>
    <xf numFmtId="169" fontId="74" fillId="0" borderId="0" xfId="849" applyNumberFormat="1" applyFont="1" applyFill="1" applyBorder="1"/>
    <xf numFmtId="2" fontId="74" fillId="0" borderId="0" xfId="849" applyNumberFormat="1" applyFont="1" applyFill="1"/>
    <xf numFmtId="0" fontId="12" fillId="0" borderId="0" xfId="849" applyFont="1"/>
    <xf numFmtId="1" fontId="12" fillId="0" borderId="0" xfId="849" applyNumberFormat="1"/>
    <xf numFmtId="0" fontId="12" fillId="0" borderId="16" xfId="849" applyFont="1" applyFill="1" applyBorder="1"/>
    <xf numFmtId="2" fontId="74" fillId="0" borderId="16" xfId="849" applyNumberFormat="1" applyFont="1" applyFill="1" applyBorder="1"/>
    <xf numFmtId="170" fontId="74" fillId="0" borderId="16" xfId="849" applyNumberFormat="1" applyFont="1" applyFill="1" applyBorder="1"/>
    <xf numFmtId="169" fontId="74" fillId="0" borderId="16" xfId="849" applyNumberFormat="1" applyFont="1" applyFill="1" applyBorder="1"/>
    <xf numFmtId="0" fontId="12" fillId="0" borderId="0" xfId="849" applyFill="1" applyBorder="1"/>
    <xf numFmtId="0" fontId="12" fillId="0" borderId="16" xfId="849" applyFill="1" applyBorder="1"/>
    <xf numFmtId="0" fontId="74" fillId="0" borderId="0" xfId="849" applyFont="1" applyFill="1" applyBorder="1"/>
    <xf numFmtId="0" fontId="12" fillId="0" borderId="0" xfId="849" applyFill="1"/>
    <xf numFmtId="0" fontId="36" fillId="0" borderId="0" xfId="849" applyFont="1" applyFill="1" applyBorder="1"/>
    <xf numFmtId="0" fontId="12" fillId="0" borderId="0" xfId="849" applyFont="1" applyFill="1"/>
    <xf numFmtId="168" fontId="12" fillId="0" borderId="0" xfId="849" applyNumberFormat="1" applyBorder="1"/>
    <xf numFmtId="0" fontId="12" fillId="0" borderId="0" xfId="849" applyFont="1" applyFill="1" applyBorder="1" applyAlignment="1">
      <alignment horizontal="left"/>
    </xf>
    <xf numFmtId="0" fontId="12" fillId="0" borderId="0" xfId="849" applyFont="1" applyFill="1" applyBorder="1" applyAlignment="1">
      <alignment horizontal="center" vertical="center"/>
    </xf>
    <xf numFmtId="0" fontId="12" fillId="0" borderId="0" xfId="849" applyFont="1" applyBorder="1"/>
    <xf numFmtId="182" fontId="11" fillId="0" borderId="0" xfId="849" applyNumberFormat="1" applyFont="1"/>
    <xf numFmtId="182" fontId="12" fillId="0" borderId="0" xfId="849" applyNumberFormat="1"/>
    <xf numFmtId="182" fontId="30" fillId="36" borderId="17" xfId="849" applyNumberFormat="1" applyFont="1" applyFill="1" applyBorder="1" applyAlignment="1">
      <alignment horizontal="left" vertical="center" wrapText="1"/>
    </xf>
    <xf numFmtId="182" fontId="31" fillId="29" borderId="15" xfId="849" quotePrefix="1" applyNumberFormat="1" applyFont="1" applyFill="1" applyBorder="1" applyAlignment="1">
      <alignment horizontal="left" vertical="top" wrapText="1"/>
    </xf>
    <xf numFmtId="182" fontId="12" fillId="0" borderId="0" xfId="849" applyNumberFormat="1" applyFill="1" applyBorder="1"/>
    <xf numFmtId="182" fontId="12" fillId="0" borderId="0" xfId="849" applyNumberFormat="1" applyFont="1"/>
    <xf numFmtId="182" fontId="12" fillId="0" borderId="0" xfId="849" applyNumberFormat="1" applyFont="1" applyFill="1" applyBorder="1"/>
    <xf numFmtId="0" fontId="74" fillId="0" borderId="0" xfId="849" applyFont="1" applyBorder="1"/>
    <xf numFmtId="1" fontId="12" fillId="0" borderId="0" xfId="849" applyNumberFormat="1" applyFont="1" applyFill="1" applyBorder="1"/>
    <xf numFmtId="170" fontId="12" fillId="0" borderId="0" xfId="849" applyNumberFormat="1" applyFont="1" applyFill="1" applyBorder="1"/>
    <xf numFmtId="198" fontId="12" fillId="0" borderId="0" xfId="849" applyNumberFormat="1" applyFont="1" applyBorder="1"/>
    <xf numFmtId="2" fontId="12" fillId="0" borderId="0" xfId="849" applyNumberFormat="1" applyFont="1" applyBorder="1"/>
    <xf numFmtId="1" fontId="12" fillId="0" borderId="0" xfId="849" applyNumberFormat="1" applyAlignment="1" applyProtection="1"/>
    <xf numFmtId="0" fontId="74" fillId="0" borderId="0" xfId="849" applyFont="1" applyFill="1"/>
    <xf numFmtId="0" fontId="12" fillId="0" borderId="0" xfId="849" applyNumberFormat="1" applyBorder="1"/>
    <xf numFmtId="1" fontId="12" fillId="0" borderId="0" xfId="849" applyNumberFormat="1" applyBorder="1" applyAlignment="1">
      <alignment horizontal="right"/>
    </xf>
    <xf numFmtId="1" fontId="12" fillId="0" borderId="0" xfId="849" applyNumberFormat="1" applyAlignment="1" applyProtection="1">
      <alignment horizontal="right"/>
    </xf>
    <xf numFmtId="2" fontId="12" fillId="0" borderId="0" xfId="849" applyNumberFormat="1"/>
    <xf numFmtId="1" fontId="74" fillId="0" borderId="0" xfId="849" applyNumberFormat="1" applyFont="1" applyFill="1"/>
    <xf numFmtId="2" fontId="12" fillId="0" borderId="0" xfId="849" applyNumberFormat="1" applyFont="1" applyFill="1" applyBorder="1"/>
    <xf numFmtId="2" fontId="74" fillId="0" borderId="0" xfId="849" applyNumberFormat="1" applyFont="1"/>
    <xf numFmtId="0" fontId="31" fillId="29" borderId="15" xfId="849" applyFont="1" applyFill="1" applyBorder="1" applyAlignment="1">
      <alignment horizontal="left" vertical="top" wrapText="1"/>
    </xf>
    <xf numFmtId="0" fontId="12" fillId="0" borderId="0" xfId="849" applyFont="1" applyFill="1" applyBorder="1" applyAlignment="1"/>
    <xf numFmtId="0" fontId="72" fillId="36" borderId="24" xfId="849" applyFont="1" applyFill="1" applyBorder="1" applyAlignment="1">
      <alignment horizontal="center" vertical="center" wrapText="1"/>
    </xf>
    <xf numFmtId="0" fontId="30" fillId="36" borderId="24" xfId="849" applyFont="1" applyFill="1" applyBorder="1" applyAlignment="1">
      <alignment horizontal="left" vertical="center" wrapText="1"/>
    </xf>
    <xf numFmtId="0" fontId="12" fillId="36" borderId="0" xfId="849" applyFill="1"/>
    <xf numFmtId="185" fontId="74" fillId="0" borderId="0" xfId="849" applyNumberFormat="1" applyFont="1" applyBorder="1"/>
    <xf numFmtId="1" fontId="12" fillId="0" borderId="0" xfId="849" applyNumberFormat="1" applyBorder="1"/>
    <xf numFmtId="185" fontId="12" fillId="0" borderId="0" xfId="849" applyNumberFormat="1" applyBorder="1"/>
    <xf numFmtId="0" fontId="36" fillId="37" borderId="41" xfId="849" applyFont="1" applyFill="1" applyBorder="1" applyAlignment="1">
      <alignment horizontal="right"/>
    </xf>
    <xf numFmtId="0" fontId="12" fillId="37" borderId="24" xfId="849" applyFill="1" applyBorder="1"/>
    <xf numFmtId="0" fontId="12" fillId="37" borderId="42" xfId="849" applyFill="1" applyBorder="1"/>
    <xf numFmtId="177" fontId="12" fillId="0" borderId="0" xfId="849" applyNumberFormat="1" applyBorder="1"/>
    <xf numFmtId="2" fontId="12" fillId="0" borderId="16" xfId="849" applyNumberFormat="1" applyBorder="1"/>
    <xf numFmtId="177" fontId="12" fillId="0" borderId="16" xfId="849" applyNumberFormat="1" applyBorder="1"/>
    <xf numFmtId="1" fontId="12" fillId="0" borderId="16" xfId="849" applyNumberFormat="1" applyBorder="1"/>
    <xf numFmtId="185" fontId="12" fillId="0" borderId="16" xfId="849" applyNumberFormat="1" applyBorder="1"/>
    <xf numFmtId="2" fontId="12" fillId="0" borderId="0" xfId="849" applyNumberFormat="1" applyBorder="1"/>
    <xf numFmtId="177" fontId="12" fillId="0" borderId="0" xfId="849" applyNumberFormat="1"/>
    <xf numFmtId="0" fontId="12" fillId="0" borderId="16" xfId="849" applyFont="1" applyBorder="1"/>
    <xf numFmtId="185" fontId="12" fillId="0" borderId="0" xfId="849" applyNumberFormat="1"/>
    <xf numFmtId="0" fontId="36" fillId="0" borderId="16" xfId="849" applyFont="1" applyBorder="1"/>
    <xf numFmtId="169" fontId="12" fillId="0" borderId="0" xfId="849" applyNumberFormat="1" applyBorder="1"/>
    <xf numFmtId="169" fontId="12" fillId="0" borderId="0" xfId="849" applyNumberFormat="1"/>
    <xf numFmtId="182" fontId="12" fillId="0" borderId="0" xfId="849" applyNumberFormat="1" applyBorder="1"/>
    <xf numFmtId="0" fontId="12" fillId="0" borderId="0" xfId="849" applyNumberFormat="1" applyFont="1" applyBorder="1"/>
    <xf numFmtId="168" fontId="12" fillId="0" borderId="0" xfId="849" applyNumberFormat="1" applyFont="1" applyBorder="1"/>
    <xf numFmtId="1" fontId="74" fillId="0" borderId="0" xfId="849" applyNumberFormat="1" applyFont="1" applyFill="1" applyBorder="1"/>
    <xf numFmtId="1" fontId="12" fillId="0" borderId="0" xfId="849" applyNumberFormat="1" applyFont="1" applyBorder="1"/>
    <xf numFmtId="0" fontId="12" fillId="37" borderId="42" xfId="849" applyFont="1" applyFill="1" applyBorder="1"/>
    <xf numFmtId="0" fontId="12" fillId="0" borderId="0" xfId="849" applyFont="1" applyAlignment="1"/>
    <xf numFmtId="170" fontId="12" fillId="0" borderId="0" xfId="849" applyNumberFormat="1" applyFont="1" applyBorder="1"/>
    <xf numFmtId="170" fontId="169" fillId="0" borderId="0" xfId="849" applyNumberFormat="1" applyFont="1" applyFill="1" applyBorder="1"/>
    <xf numFmtId="1" fontId="169" fillId="0" borderId="0" xfId="849" applyNumberFormat="1" applyFont="1" applyFill="1" applyBorder="1"/>
    <xf numFmtId="0" fontId="169" fillId="0" borderId="17" xfId="849" applyFont="1" applyFill="1" applyBorder="1"/>
    <xf numFmtId="0" fontId="169" fillId="0" borderId="0" xfId="849" applyFont="1" applyBorder="1"/>
    <xf numFmtId="182" fontId="12" fillId="0" borderId="0" xfId="849" applyNumberFormat="1" applyFill="1"/>
    <xf numFmtId="182" fontId="36" fillId="0" borderId="0" xfId="849" applyNumberFormat="1" applyFont="1"/>
    <xf numFmtId="0" fontId="36" fillId="0" borderId="0" xfId="0" applyFont="1" applyFill="1" applyBorder="1"/>
    <xf numFmtId="0" fontId="12" fillId="0" borderId="0" xfId="0" quotePrefix="1" applyFont="1"/>
    <xf numFmtId="0" fontId="42" fillId="0" borderId="0" xfId="0" applyFont="1"/>
    <xf numFmtId="0" fontId="12" fillId="0" borderId="0" xfId="0" applyFont="1" applyAlignment="1">
      <alignment horizontal="left"/>
    </xf>
    <xf numFmtId="14" fontId="12" fillId="0" borderId="0" xfId="0" applyNumberFormat="1" applyFont="1" applyAlignment="1">
      <alignment horizontal="left"/>
    </xf>
    <xf numFmtId="0" fontId="133" fillId="0" borderId="0" xfId="0" applyFont="1"/>
    <xf numFmtId="169" fontId="104" fillId="0" borderId="0" xfId="0" applyNumberFormat="1" applyFont="1" applyBorder="1" applyAlignment="1">
      <alignment horizontal="center" vertical="center"/>
    </xf>
    <xf numFmtId="169" fontId="170" fillId="0" borderId="0" xfId="0" applyNumberFormat="1" applyFont="1" applyAlignment="1">
      <alignment horizontal="center" vertical="center"/>
    </xf>
    <xf numFmtId="1" fontId="170" fillId="43" borderId="75" xfId="0" applyNumberFormat="1" applyFont="1" applyFill="1" applyBorder="1" applyAlignment="1">
      <alignment horizontal="center" vertical="center"/>
    </xf>
    <xf numFmtId="1" fontId="170" fillId="0" borderId="0" xfId="0" applyNumberFormat="1" applyFont="1" applyAlignment="1">
      <alignment horizontal="center" vertical="center"/>
    </xf>
    <xf numFmtId="1" fontId="170" fillId="0" borderId="76" xfId="0" applyNumberFormat="1" applyFont="1" applyBorder="1" applyAlignment="1">
      <alignment horizontal="center" vertical="center"/>
    </xf>
    <xf numFmtId="1" fontId="170" fillId="88" borderId="51" xfId="0" applyNumberFormat="1" applyFont="1" applyFill="1" applyBorder="1" applyAlignment="1">
      <alignment horizontal="center" vertical="center"/>
    </xf>
    <xf numFmtId="169" fontId="170" fillId="0" borderId="29" xfId="0" applyNumberFormat="1" applyFont="1" applyBorder="1" applyAlignment="1">
      <alignment horizontal="center" vertical="center"/>
    </xf>
    <xf numFmtId="169" fontId="170" fillId="0" borderId="20" xfId="0" applyNumberFormat="1" applyFont="1" applyBorder="1" applyAlignment="1">
      <alignment horizontal="center" vertical="center"/>
    </xf>
    <xf numFmtId="169" fontId="170" fillId="0" borderId="21" xfId="0" applyNumberFormat="1" applyFont="1" applyBorder="1" applyAlignment="1">
      <alignment horizontal="center" vertical="center"/>
    </xf>
    <xf numFmtId="169" fontId="170" fillId="0" borderId="77" xfId="0" applyNumberFormat="1" applyFont="1" applyBorder="1" applyAlignment="1">
      <alignment horizontal="center" vertical="center"/>
    </xf>
    <xf numFmtId="169" fontId="170" fillId="0" borderId="78" xfId="0" applyNumberFormat="1" applyFont="1" applyBorder="1" applyAlignment="1">
      <alignment horizontal="center" vertical="center"/>
    </xf>
    <xf numFmtId="169" fontId="170" fillId="0" borderId="79" xfId="0" applyNumberFormat="1" applyFont="1" applyBorder="1" applyAlignment="1">
      <alignment horizontal="center" vertical="center"/>
    </xf>
    <xf numFmtId="169" fontId="170" fillId="88" borderId="51" xfId="0" applyNumberFormat="1" applyFont="1" applyFill="1" applyBorder="1" applyAlignment="1">
      <alignment horizontal="center" vertical="center"/>
    </xf>
    <xf numFmtId="169" fontId="112" fillId="58" borderId="81" xfId="3108" applyNumberFormat="1" applyBorder="1" applyAlignment="1">
      <alignment vertical="center"/>
    </xf>
    <xf numFmtId="169" fontId="112" fillId="58" borderId="23" xfId="3108" applyNumberFormat="1" applyBorder="1" applyAlignment="1">
      <alignment horizontal="center" vertical="center"/>
    </xf>
    <xf numFmtId="169" fontId="112" fillId="58" borderId="82" xfId="3108" applyNumberFormat="1" applyBorder="1" applyAlignment="1">
      <alignment horizontal="center" vertical="center"/>
    </xf>
    <xf numFmtId="169" fontId="112" fillId="58" borderId="83" xfId="3108" applyNumberFormat="1" applyBorder="1" applyAlignment="1">
      <alignment horizontal="center" vertical="center"/>
    </xf>
    <xf numFmtId="169" fontId="112" fillId="58" borderId="40" xfId="3108" applyNumberFormat="1" applyBorder="1" applyAlignment="1">
      <alignment horizontal="center" vertical="center"/>
    </xf>
    <xf numFmtId="169" fontId="112" fillId="58" borderId="84" xfId="3108" applyNumberFormat="1" applyBorder="1" applyAlignment="1">
      <alignment horizontal="center" vertical="center"/>
    </xf>
    <xf numFmtId="169" fontId="112" fillId="58" borderId="85" xfId="3108" applyNumberFormat="1" applyBorder="1" applyAlignment="1">
      <alignment horizontal="center" vertical="center"/>
    </xf>
    <xf numFmtId="169" fontId="170" fillId="43" borderId="80" xfId="0" applyNumberFormat="1" applyFont="1" applyFill="1" applyBorder="1" applyAlignment="1">
      <alignment horizontal="center" vertical="center"/>
    </xf>
    <xf numFmtId="169" fontId="112" fillId="58" borderId="86" xfId="3108" applyNumberFormat="1" applyBorder="1" applyAlignment="1">
      <alignment vertical="center"/>
    </xf>
    <xf numFmtId="169" fontId="112" fillId="58" borderId="34" xfId="3108" applyNumberFormat="1" applyBorder="1" applyAlignment="1">
      <alignment horizontal="center" vertical="center"/>
    </xf>
    <xf numFmtId="169" fontId="112" fillId="58" borderId="33" xfId="3108" applyNumberFormat="1" applyBorder="1" applyAlignment="1">
      <alignment horizontal="center" vertical="center"/>
    </xf>
    <xf numFmtId="169" fontId="112" fillId="58" borderId="4" xfId="3108" applyNumberFormat="1" applyBorder="1" applyAlignment="1">
      <alignment horizontal="center" vertical="center"/>
    </xf>
    <xf numFmtId="169" fontId="112" fillId="58" borderId="25" xfId="3108" applyNumberFormat="1" applyBorder="1" applyAlignment="1">
      <alignment horizontal="center" vertical="center"/>
    </xf>
    <xf numFmtId="169" fontId="112" fillId="58" borderId="87" xfId="3108" applyNumberFormat="1" applyBorder="1" applyAlignment="1">
      <alignment horizontal="center" vertical="center"/>
    </xf>
    <xf numFmtId="169" fontId="112" fillId="58" borderId="88" xfId="3108" applyNumberFormat="1" applyBorder="1" applyAlignment="1">
      <alignment horizontal="center" vertical="center"/>
    </xf>
    <xf numFmtId="169" fontId="170" fillId="0" borderId="81" xfId="0" applyNumberFormat="1" applyFont="1" applyFill="1" applyBorder="1" applyAlignment="1">
      <alignment vertical="center"/>
    </xf>
    <xf numFmtId="169" fontId="170" fillId="0" borderId="90" xfId="0" applyNumberFormat="1" applyFont="1" applyFill="1" applyBorder="1" applyAlignment="1">
      <alignment horizontal="center" vertical="center"/>
    </xf>
    <xf numFmtId="169" fontId="170" fillId="0" borderId="91" xfId="0" applyNumberFormat="1" applyFont="1" applyFill="1" applyBorder="1" applyAlignment="1">
      <alignment horizontal="center" vertical="center"/>
    </xf>
    <xf numFmtId="169" fontId="170" fillId="0" borderId="92" xfId="0" applyNumberFormat="1" applyFont="1" applyFill="1" applyBorder="1" applyAlignment="1">
      <alignment horizontal="center" vertical="center"/>
    </xf>
    <xf numFmtId="169" fontId="170" fillId="0" borderId="93" xfId="0" applyNumberFormat="1" applyFont="1" applyFill="1" applyBorder="1" applyAlignment="1">
      <alignment horizontal="center" vertical="center"/>
    </xf>
    <xf numFmtId="169" fontId="170" fillId="0" borderId="2" xfId="0" applyNumberFormat="1" applyFont="1" applyFill="1" applyBorder="1" applyAlignment="1">
      <alignment horizontal="center" vertical="center"/>
    </xf>
    <xf numFmtId="169" fontId="170" fillId="0" borderId="94" xfId="0" applyNumberFormat="1" applyFont="1" applyFill="1" applyBorder="1" applyAlignment="1">
      <alignment horizontal="center" vertical="center"/>
    </xf>
    <xf numFmtId="169" fontId="170" fillId="0" borderId="86" xfId="0" applyNumberFormat="1" applyFont="1" applyFill="1" applyBorder="1" applyAlignment="1">
      <alignment vertical="center"/>
    </xf>
    <xf numFmtId="169" fontId="170" fillId="30" borderId="80" xfId="0" applyNumberFormat="1" applyFont="1" applyFill="1" applyBorder="1" applyAlignment="1">
      <alignment horizontal="center" vertical="center"/>
    </xf>
    <xf numFmtId="169" fontId="112" fillId="30" borderId="34" xfId="3108" applyNumberFormat="1" applyFill="1" applyBorder="1" applyAlignment="1">
      <alignment horizontal="center" vertical="center"/>
    </xf>
    <xf numFmtId="169" fontId="112" fillId="30" borderId="33" xfId="3108" applyNumberFormat="1" applyFill="1" applyBorder="1" applyAlignment="1">
      <alignment horizontal="center" vertical="center"/>
    </xf>
    <xf numFmtId="169" fontId="112" fillId="30" borderId="4" xfId="3108" applyNumberFormat="1" applyFill="1" applyBorder="1" applyAlignment="1">
      <alignment horizontal="center" vertical="center"/>
    </xf>
    <xf numFmtId="169" fontId="112" fillId="30" borderId="25" xfId="3108" applyNumberFormat="1" applyFill="1" applyBorder="1" applyAlignment="1">
      <alignment horizontal="center" vertical="center"/>
    </xf>
    <xf numFmtId="169" fontId="112" fillId="30" borderId="87" xfId="3108" applyNumberFormat="1" applyFill="1" applyBorder="1" applyAlignment="1">
      <alignment horizontal="center" vertical="center"/>
    </xf>
    <xf numFmtId="169" fontId="112" fillId="30" borderId="88" xfId="3108" applyNumberFormat="1" applyFill="1" applyBorder="1" applyAlignment="1">
      <alignment horizontal="center" vertical="center"/>
    </xf>
    <xf numFmtId="0" fontId="130" fillId="0" borderId="0" xfId="0" applyFont="1"/>
    <xf numFmtId="0" fontId="171" fillId="0" borderId="0" xfId="0" applyFont="1"/>
    <xf numFmtId="1" fontId="170" fillId="0" borderId="26" xfId="0" applyNumberFormat="1" applyFont="1" applyBorder="1" applyAlignment="1">
      <alignment vertical="center"/>
    </xf>
    <xf numFmtId="1" fontId="170" fillId="0" borderId="27" xfId="0" applyNumberFormat="1" applyFont="1" applyBorder="1" applyAlignment="1">
      <alignment vertical="center"/>
    </xf>
    <xf numFmtId="169" fontId="112" fillId="58" borderId="80" xfId="3108" applyNumberFormat="1" applyBorder="1" applyAlignment="1">
      <alignment vertical="center"/>
    </xf>
    <xf numFmtId="169" fontId="112" fillId="58" borderId="75" xfId="3108" applyNumberFormat="1" applyBorder="1" applyAlignment="1">
      <alignment vertical="center"/>
    </xf>
    <xf numFmtId="169" fontId="170" fillId="0" borderId="80" xfId="0" applyNumberFormat="1" applyFont="1" applyFill="1" applyBorder="1" applyAlignment="1">
      <alignment vertical="center"/>
    </xf>
    <xf numFmtId="169" fontId="112" fillId="30" borderId="80" xfId="3108" applyNumberFormat="1" applyFill="1" applyBorder="1" applyAlignment="1">
      <alignment vertical="center"/>
    </xf>
    <xf numFmtId="169" fontId="112" fillId="58" borderId="18" xfId="3108" applyNumberFormat="1" applyBorder="1" applyAlignment="1">
      <alignment horizontal="center" vertical="center"/>
    </xf>
    <xf numFmtId="169" fontId="170" fillId="0" borderId="18" xfId="0" applyNumberFormat="1" applyFont="1" applyFill="1" applyBorder="1" applyAlignment="1">
      <alignment horizontal="center" vertical="center"/>
    </xf>
    <xf numFmtId="169" fontId="170" fillId="0" borderId="34" xfId="0" applyNumberFormat="1" applyFont="1" applyFill="1" applyBorder="1" applyAlignment="1">
      <alignment horizontal="center" vertical="center"/>
    </xf>
    <xf numFmtId="169" fontId="112" fillId="30" borderId="18" xfId="3108" applyNumberFormat="1" applyFill="1" applyBorder="1" applyAlignment="1">
      <alignment horizontal="center" vertical="center"/>
    </xf>
    <xf numFmtId="169" fontId="170" fillId="0" borderId="0" xfId="0" applyNumberFormat="1" applyFont="1" applyBorder="1" applyAlignment="1">
      <alignment horizontal="center" vertical="center"/>
    </xf>
    <xf numFmtId="169" fontId="112" fillId="30" borderId="96" xfId="3108" applyNumberFormat="1" applyFill="1" applyBorder="1" applyAlignment="1">
      <alignment vertical="center"/>
    </xf>
    <xf numFmtId="1" fontId="170" fillId="0" borderId="73" xfId="0" applyNumberFormat="1" applyFont="1" applyBorder="1" applyAlignment="1">
      <alignment vertical="center"/>
    </xf>
    <xf numFmtId="0" fontId="36" fillId="37" borderId="93" xfId="0" applyFont="1" applyFill="1" applyBorder="1" applyAlignment="1">
      <alignment horizontal="right"/>
    </xf>
    <xf numFmtId="0" fontId="0" fillId="37" borderId="91" xfId="0" applyFill="1" applyBorder="1"/>
    <xf numFmtId="0" fontId="170" fillId="0" borderId="0" xfId="0" applyFont="1"/>
    <xf numFmtId="2" fontId="170" fillId="0" borderId="0" xfId="0" applyNumberFormat="1" applyFont="1" applyBorder="1"/>
    <xf numFmtId="2" fontId="170" fillId="0" borderId="0" xfId="0" applyNumberFormat="1" applyFont="1" applyBorder="1" applyAlignment="1">
      <alignment horizontal="center"/>
    </xf>
    <xf numFmtId="2" fontId="170" fillId="0" borderId="0" xfId="0" applyNumberFormat="1" applyFont="1" applyBorder="1" applyAlignment="1">
      <alignment horizontal="left"/>
    </xf>
    <xf numFmtId="2" fontId="170" fillId="0" borderId="0" xfId="0" applyNumberFormat="1" applyFont="1"/>
    <xf numFmtId="2" fontId="170" fillId="0" borderId="0" xfId="0" applyNumberFormat="1" applyFont="1" applyAlignment="1">
      <alignment horizontal="center"/>
    </xf>
    <xf numFmtId="2" fontId="170" fillId="0" borderId="0" xfId="0" applyNumberFormat="1" applyFont="1" applyAlignment="1">
      <alignment horizontal="left"/>
    </xf>
    <xf numFmtId="2" fontId="170" fillId="0" borderId="0" xfId="0" applyNumberFormat="1" applyFont="1" applyFill="1"/>
    <xf numFmtId="169" fontId="170" fillId="0" borderId="0" xfId="864" applyNumberFormat="1" applyFont="1" applyAlignment="1">
      <alignment horizontal="right" vertical="center"/>
    </xf>
    <xf numFmtId="2" fontId="170" fillId="89" borderId="0" xfId="864" applyNumberFormat="1" applyFont="1" applyFill="1" applyAlignment="1">
      <alignment horizontal="center" vertical="center"/>
    </xf>
    <xf numFmtId="169" fontId="170" fillId="0" borderId="0" xfId="864" applyNumberFormat="1" applyFont="1" applyAlignment="1">
      <alignment horizontal="center" vertical="center"/>
    </xf>
    <xf numFmtId="2" fontId="112" fillId="58" borderId="74" xfId="3108" applyNumberFormat="1" applyBorder="1" applyAlignment="1">
      <alignment horizontal="center" vertical="center"/>
    </xf>
    <xf numFmtId="2" fontId="112" fillId="58" borderId="76" xfId="3108" applyNumberFormat="1" applyBorder="1" applyAlignment="1">
      <alignment horizontal="left" vertical="center"/>
    </xf>
    <xf numFmtId="2" fontId="112" fillId="58" borderId="73" xfId="3108" applyNumberFormat="1" applyBorder="1" applyAlignment="1">
      <alignment horizontal="center" vertical="center"/>
    </xf>
    <xf numFmtId="2" fontId="112" fillId="58" borderId="84" xfId="3108" applyNumberFormat="1" applyBorder="1" applyAlignment="1">
      <alignment horizontal="center" vertical="center"/>
    </xf>
    <xf numFmtId="2" fontId="112" fillId="58" borderId="83" xfId="3108" applyNumberFormat="1" applyBorder="1" applyAlignment="1">
      <alignment horizontal="center" vertical="center"/>
    </xf>
    <xf numFmtId="2" fontId="112" fillId="58" borderId="85" xfId="3108" applyNumberFormat="1" applyBorder="1" applyAlignment="1">
      <alignment horizontal="center" vertical="center"/>
    </xf>
    <xf numFmtId="2" fontId="112" fillId="58" borderId="82" xfId="3108" applyNumberFormat="1" applyBorder="1" applyAlignment="1">
      <alignment horizontal="center" vertical="center"/>
    </xf>
    <xf numFmtId="2" fontId="112" fillId="58" borderId="96" xfId="3108" applyNumberFormat="1" applyBorder="1" applyAlignment="1">
      <alignment horizontal="left" vertical="center"/>
    </xf>
    <xf numFmtId="2" fontId="112" fillId="58" borderId="2" xfId="3108" applyNumberFormat="1" applyBorder="1" applyAlignment="1">
      <alignment horizontal="center" vertical="center"/>
    </xf>
    <xf numFmtId="2" fontId="112" fillId="58" borderId="92" xfId="3108" applyNumberFormat="1" applyBorder="1" applyAlignment="1">
      <alignment horizontal="center" vertical="center"/>
    </xf>
    <xf numFmtId="2" fontId="112" fillId="58" borderId="94" xfId="3108" applyNumberFormat="1" applyBorder="1" applyAlignment="1">
      <alignment horizontal="center" vertical="center"/>
    </xf>
    <xf numFmtId="2" fontId="112" fillId="58" borderId="91" xfId="3108" applyNumberFormat="1" applyBorder="1" applyAlignment="1">
      <alignment horizontal="center" vertical="center"/>
    </xf>
    <xf numFmtId="2" fontId="112" fillId="58" borderId="100" xfId="3108" applyNumberFormat="1" applyBorder="1" applyAlignment="1">
      <alignment horizontal="center" vertical="center"/>
    </xf>
    <xf numFmtId="2" fontId="112" fillId="58" borderId="101" xfId="3108" applyNumberFormat="1" applyBorder="1" applyAlignment="1">
      <alignment horizontal="center" vertical="center"/>
    </xf>
    <xf numFmtId="2" fontId="112" fillId="58" borderId="102" xfId="3108" applyNumberFormat="1" applyBorder="1" applyAlignment="1">
      <alignment horizontal="center" vertical="center"/>
    </xf>
    <xf numFmtId="2" fontId="112" fillId="58" borderId="103" xfId="3108" applyNumberFormat="1" applyBorder="1" applyAlignment="1">
      <alignment horizontal="center" vertical="center"/>
    </xf>
    <xf numFmtId="0" fontId="172" fillId="0" borderId="0" xfId="0" applyFont="1" applyFill="1"/>
    <xf numFmtId="2" fontId="170" fillId="0" borderId="74" xfId="3108" applyNumberFormat="1" applyFont="1" applyFill="1" applyBorder="1" applyAlignment="1">
      <alignment horizontal="center" vertical="center"/>
    </xf>
    <xf numFmtId="2" fontId="170" fillId="0" borderId="76" xfId="3108" applyNumberFormat="1" applyFont="1" applyFill="1" applyBorder="1" applyAlignment="1">
      <alignment horizontal="left" vertical="center"/>
    </xf>
    <xf numFmtId="2" fontId="172" fillId="0" borderId="73" xfId="3108" applyNumberFormat="1" applyFont="1" applyFill="1" applyBorder="1" applyAlignment="1">
      <alignment horizontal="center" vertical="center"/>
    </xf>
    <xf numFmtId="2" fontId="172" fillId="0" borderId="87" xfId="3108" applyNumberFormat="1" applyFont="1" applyFill="1" applyBorder="1" applyAlignment="1">
      <alignment horizontal="center" vertical="center"/>
    </xf>
    <xf numFmtId="2" fontId="170" fillId="0" borderId="96" xfId="3108" applyNumberFormat="1" applyFont="1" applyFill="1" applyBorder="1" applyAlignment="1">
      <alignment horizontal="left" vertical="center"/>
    </xf>
    <xf numFmtId="2" fontId="172" fillId="0" borderId="2" xfId="3108" applyNumberFormat="1" applyFont="1" applyFill="1" applyBorder="1" applyAlignment="1">
      <alignment horizontal="center" vertical="center"/>
    </xf>
    <xf numFmtId="2" fontId="172" fillId="0" borderId="92" xfId="3108" applyNumberFormat="1" applyFont="1" applyFill="1" applyBorder="1" applyAlignment="1">
      <alignment horizontal="center" vertical="center"/>
    </xf>
    <xf numFmtId="2" fontId="172" fillId="0" borderId="94" xfId="3108" applyNumberFormat="1" applyFont="1" applyFill="1" applyBorder="1" applyAlignment="1">
      <alignment horizontal="center" vertical="center"/>
    </xf>
    <xf numFmtId="2" fontId="172" fillId="0" borderId="91" xfId="3108" applyNumberFormat="1" applyFont="1" applyFill="1" applyBorder="1" applyAlignment="1">
      <alignment horizontal="center" vertical="center"/>
    </xf>
    <xf numFmtId="2" fontId="172" fillId="0" borderId="104" xfId="3108" applyNumberFormat="1" applyFont="1" applyFill="1" applyBorder="1" applyAlignment="1">
      <alignment horizontal="center" vertical="center"/>
    </xf>
    <xf numFmtId="2" fontId="172" fillId="0" borderId="105" xfId="3108" applyNumberFormat="1" applyFont="1" applyFill="1" applyBorder="1" applyAlignment="1">
      <alignment horizontal="center" vertical="center"/>
    </xf>
    <xf numFmtId="2" fontId="172" fillId="0" borderId="106" xfId="3108" applyNumberFormat="1" applyFont="1" applyFill="1" applyBorder="1" applyAlignment="1">
      <alignment horizontal="center" vertical="center"/>
    </xf>
    <xf numFmtId="2" fontId="172" fillId="0" borderId="107" xfId="3108" applyNumberFormat="1" applyFont="1" applyFill="1" applyBorder="1" applyAlignment="1">
      <alignment horizontal="center" vertical="center"/>
    </xf>
    <xf numFmtId="2" fontId="172" fillId="0" borderId="100" xfId="3108" applyNumberFormat="1" applyFont="1" applyFill="1" applyBorder="1" applyAlignment="1">
      <alignment horizontal="center" vertical="center"/>
    </xf>
    <xf numFmtId="2" fontId="172" fillId="0" borderId="101" xfId="3108" applyNumberFormat="1" applyFont="1" applyFill="1" applyBorder="1" applyAlignment="1">
      <alignment horizontal="center" vertical="center"/>
    </xf>
    <xf numFmtId="2" fontId="172" fillId="0" borderId="102" xfId="3108" applyNumberFormat="1" applyFont="1" applyFill="1" applyBorder="1" applyAlignment="1">
      <alignment horizontal="center" vertical="center"/>
    </xf>
    <xf numFmtId="2" fontId="172" fillId="0" borderId="103" xfId="3108" applyNumberFormat="1" applyFont="1" applyFill="1" applyBorder="1" applyAlignment="1">
      <alignment horizontal="center" vertical="center"/>
    </xf>
    <xf numFmtId="0" fontId="104" fillId="0" borderId="0" xfId="0" applyFont="1"/>
    <xf numFmtId="2" fontId="104" fillId="0" borderId="0" xfId="0" applyNumberFormat="1" applyFont="1"/>
    <xf numFmtId="2" fontId="104" fillId="0" borderId="0" xfId="0" applyNumberFormat="1" applyFont="1" applyAlignment="1">
      <alignment horizontal="center"/>
    </xf>
    <xf numFmtId="2" fontId="104" fillId="0" borderId="0" xfId="0" applyNumberFormat="1" applyFont="1" applyAlignment="1">
      <alignment horizontal="left"/>
    </xf>
    <xf numFmtId="2" fontId="104" fillId="0" borderId="0" xfId="0" applyNumberFormat="1" applyFont="1" applyBorder="1"/>
    <xf numFmtId="2" fontId="104" fillId="0" borderId="0" xfId="0" applyNumberFormat="1" applyFont="1" applyBorder="1" applyAlignment="1">
      <alignment horizontal="center"/>
    </xf>
    <xf numFmtId="2" fontId="104" fillId="0" borderId="0" xfId="0" applyNumberFormat="1" applyFont="1" applyBorder="1" applyAlignment="1">
      <alignment horizontal="left"/>
    </xf>
    <xf numFmtId="0" fontId="174" fillId="0" borderId="0" xfId="0" applyFont="1"/>
    <xf numFmtId="2" fontId="112" fillId="58" borderId="83" xfId="3108" applyNumberFormat="1" applyFont="1" applyBorder="1" applyAlignment="1">
      <alignment horizontal="center" vertical="center"/>
    </xf>
    <xf numFmtId="2" fontId="112" fillId="58" borderId="85" xfId="3108" applyNumberFormat="1" applyFont="1" applyBorder="1" applyAlignment="1">
      <alignment horizontal="center" vertical="center"/>
    </xf>
    <xf numFmtId="2" fontId="112" fillId="58" borderId="86" xfId="3108" applyNumberFormat="1" applyBorder="1" applyAlignment="1">
      <alignment horizontal="left"/>
    </xf>
    <xf numFmtId="2" fontId="112" fillId="58" borderId="97" xfId="3108" applyNumberFormat="1" applyFont="1" applyBorder="1" applyAlignment="1">
      <alignment horizontal="center" vertical="center"/>
    </xf>
    <xf numFmtId="2" fontId="112" fillId="58" borderId="92" xfId="3108" applyNumberFormat="1" applyFont="1" applyBorder="1" applyAlignment="1">
      <alignment horizontal="center" vertical="center"/>
    </xf>
    <xf numFmtId="2" fontId="112" fillId="58" borderId="39" xfId="3108" applyNumberFormat="1" applyFont="1" applyBorder="1" applyAlignment="1">
      <alignment horizontal="center" vertical="center"/>
    </xf>
    <xf numFmtId="2" fontId="112" fillId="58" borderId="22" xfId="3108" applyNumberFormat="1" applyFont="1" applyBorder="1" applyAlignment="1">
      <alignment horizontal="center" vertical="center"/>
    </xf>
    <xf numFmtId="2" fontId="112" fillId="58" borderId="65" xfId="3108" applyNumberFormat="1" applyFont="1" applyBorder="1" applyAlignment="1">
      <alignment horizontal="center" vertical="center"/>
    </xf>
    <xf numFmtId="2" fontId="112" fillId="58" borderId="99" xfId="3108" applyNumberFormat="1" applyBorder="1" applyAlignment="1">
      <alignment horizontal="left" vertical="center"/>
    </xf>
    <xf numFmtId="2" fontId="112" fillId="58" borderId="15" xfId="3108" applyNumberFormat="1" applyFont="1" applyBorder="1" applyAlignment="1">
      <alignment horizontal="center" vertical="center"/>
    </xf>
    <xf numFmtId="2" fontId="112" fillId="58" borderId="101" xfId="3108" applyNumberFormat="1" applyFont="1" applyBorder="1" applyAlignment="1">
      <alignment horizontal="center" vertical="center"/>
    </xf>
    <xf numFmtId="2" fontId="112" fillId="58" borderId="112" xfId="3108" applyNumberFormat="1" applyFont="1" applyBorder="1" applyAlignment="1">
      <alignment horizontal="center" vertical="center"/>
    </xf>
    <xf numFmtId="2" fontId="112" fillId="58" borderId="81" xfId="3108" applyNumberFormat="1" applyFont="1" applyBorder="1" applyAlignment="1">
      <alignment horizontal="center" vertical="center"/>
    </xf>
    <xf numFmtId="2" fontId="112" fillId="58" borderId="96" xfId="3108" applyNumberFormat="1" applyFont="1" applyBorder="1" applyAlignment="1">
      <alignment horizontal="center" vertical="center"/>
    </xf>
    <xf numFmtId="0" fontId="170" fillId="2" borderId="0" xfId="0" applyFont="1" applyFill="1"/>
    <xf numFmtId="2" fontId="170" fillId="2" borderId="22" xfId="0" applyNumberFormat="1" applyFont="1" applyFill="1" applyBorder="1" applyAlignment="1">
      <alignment horizontal="left"/>
    </xf>
    <xf numFmtId="2" fontId="170" fillId="0" borderId="98" xfId="0" applyNumberFormat="1" applyFont="1" applyFill="1" applyBorder="1" applyAlignment="1">
      <alignment horizontal="center" vertical="center"/>
    </xf>
    <xf numFmtId="2" fontId="170" fillId="0" borderId="84" xfId="0" applyNumberFormat="1" applyFont="1" applyFill="1" applyBorder="1" applyAlignment="1">
      <alignment horizontal="center" vertical="center"/>
    </xf>
    <xf numFmtId="2" fontId="170" fillId="0" borderId="83" xfId="0" applyNumberFormat="1" applyFont="1" applyFill="1" applyBorder="1" applyAlignment="1">
      <alignment horizontal="center" vertical="center"/>
    </xf>
    <xf numFmtId="2" fontId="170" fillId="0" borderId="85" xfId="0" applyNumberFormat="1" applyFont="1" applyFill="1" applyBorder="1" applyAlignment="1">
      <alignment horizontal="center" vertical="center"/>
    </xf>
    <xf numFmtId="2" fontId="170" fillId="0" borderId="86" xfId="0" applyNumberFormat="1" applyFont="1" applyFill="1" applyBorder="1" applyAlignment="1">
      <alignment horizontal="center" vertical="center"/>
    </xf>
    <xf numFmtId="2" fontId="170" fillId="0" borderId="109" xfId="0" applyNumberFormat="1" applyFont="1" applyFill="1" applyBorder="1" applyAlignment="1">
      <alignment horizontal="center" vertical="center"/>
    </xf>
    <xf numFmtId="2" fontId="170" fillId="0" borderId="105" xfId="0" applyNumberFormat="1" applyFont="1" applyFill="1" applyBorder="1" applyAlignment="1">
      <alignment horizontal="center" vertical="center"/>
    </xf>
    <xf numFmtId="2" fontId="170" fillId="0" borderId="95" xfId="0" applyNumberFormat="1" applyFont="1" applyFill="1" applyBorder="1" applyAlignment="1">
      <alignment horizontal="center" vertical="center"/>
    </xf>
    <xf numFmtId="2" fontId="170" fillId="0" borderId="97" xfId="0" applyNumberFormat="1" applyFont="1" applyFill="1" applyBorder="1" applyAlignment="1">
      <alignment horizontal="center" vertical="center"/>
    </xf>
    <xf numFmtId="2" fontId="170" fillId="0" borderId="92" xfId="0" applyNumberFormat="1" applyFont="1" applyFill="1" applyBorder="1" applyAlignment="1">
      <alignment horizontal="center" vertical="center"/>
    </xf>
    <xf numFmtId="2" fontId="170" fillId="0" borderId="90" xfId="0" applyNumberFormat="1" applyFont="1" applyFill="1" applyBorder="1" applyAlignment="1">
      <alignment horizontal="center" vertical="center"/>
    </xf>
    <xf numFmtId="2" fontId="170" fillId="0" borderId="112" xfId="0" applyNumberFormat="1" applyFont="1" applyFill="1" applyBorder="1" applyAlignment="1">
      <alignment horizontal="left" vertical="center"/>
    </xf>
    <xf numFmtId="2" fontId="170" fillId="0" borderId="22" xfId="0" applyNumberFormat="1" applyFont="1" applyFill="1" applyBorder="1" applyAlignment="1">
      <alignment horizontal="left"/>
    </xf>
    <xf numFmtId="2" fontId="170" fillId="0" borderId="22" xfId="0" applyNumberFormat="1" applyFont="1" applyFill="1" applyBorder="1" applyAlignment="1">
      <alignment horizontal="center" vertical="center"/>
    </xf>
    <xf numFmtId="2" fontId="170" fillId="0" borderId="23" xfId="0" applyNumberFormat="1" applyFont="1" applyFill="1" applyBorder="1" applyAlignment="1">
      <alignment horizontal="center" vertical="center"/>
    </xf>
    <xf numFmtId="2" fontId="170" fillId="0" borderId="89" xfId="0" applyNumberFormat="1" applyFont="1" applyFill="1" applyBorder="1" applyAlignment="1">
      <alignment horizontal="center" vertical="center"/>
    </xf>
    <xf numFmtId="2" fontId="170" fillId="0" borderId="114" xfId="0" applyNumberFormat="1" applyFont="1" applyFill="1" applyBorder="1" applyAlignment="1">
      <alignment horizontal="center" vertical="center"/>
    </xf>
    <xf numFmtId="2" fontId="170" fillId="0" borderId="26" xfId="0" applyNumberFormat="1" applyFont="1" applyFill="1" applyBorder="1" applyAlignment="1">
      <alignment horizontal="left" vertical="center"/>
    </xf>
    <xf numFmtId="2" fontId="170" fillId="0" borderId="75" xfId="0" applyNumberFormat="1" applyFont="1" applyFill="1" applyBorder="1" applyAlignment="1">
      <alignment horizontal="center" vertical="center"/>
    </xf>
    <xf numFmtId="2" fontId="170" fillId="0" borderId="26" xfId="0" applyNumberFormat="1" applyFont="1" applyFill="1" applyBorder="1" applyAlignment="1">
      <alignment horizontal="center" vertical="center"/>
    </xf>
    <xf numFmtId="2" fontId="170" fillId="0" borderId="110" xfId="0" applyNumberFormat="1" applyFont="1" applyFill="1" applyBorder="1" applyAlignment="1">
      <alignment horizontal="center" vertical="center"/>
    </xf>
    <xf numFmtId="2" fontId="170" fillId="0" borderId="28" xfId="0" applyNumberFormat="1" applyFont="1" applyFill="1" applyBorder="1" applyAlignment="1">
      <alignment horizontal="center" vertical="center"/>
    </xf>
    <xf numFmtId="2" fontId="170" fillId="0" borderId="65" xfId="0" applyNumberFormat="1" applyFont="1" applyFill="1" applyBorder="1" applyAlignment="1">
      <alignment horizontal="center" vertical="center"/>
    </xf>
    <xf numFmtId="2" fontId="170" fillId="0" borderId="99" xfId="0" applyNumberFormat="1" applyFont="1" applyFill="1" applyBorder="1" applyAlignment="1">
      <alignment horizontal="center" vertical="center"/>
    </xf>
    <xf numFmtId="2" fontId="170" fillId="0" borderId="112" xfId="0" applyNumberFormat="1" applyFont="1" applyFill="1" applyBorder="1" applyAlignment="1">
      <alignment horizontal="center" vertical="center"/>
    </xf>
    <xf numFmtId="2" fontId="170" fillId="0" borderId="101" xfId="0" applyNumberFormat="1" applyFont="1" applyFill="1" applyBorder="1" applyAlignment="1">
      <alignment horizontal="center" vertical="center"/>
    </xf>
    <xf numFmtId="2" fontId="170" fillId="0" borderId="111" xfId="0" applyNumberFormat="1" applyFont="1" applyFill="1" applyBorder="1" applyAlignment="1">
      <alignment horizontal="center" vertical="center"/>
    </xf>
    <xf numFmtId="2" fontId="170" fillId="0" borderId="39" xfId="0" applyNumberFormat="1" applyFont="1" applyFill="1" applyBorder="1" applyAlignment="1">
      <alignment horizontal="left"/>
    </xf>
    <xf numFmtId="2" fontId="170" fillId="0" borderId="81" xfId="0" applyNumberFormat="1" applyFont="1" applyFill="1" applyBorder="1" applyAlignment="1">
      <alignment horizontal="center" vertical="center"/>
    </xf>
    <xf numFmtId="2" fontId="170" fillId="0" borderId="39" xfId="0" applyNumberFormat="1" applyFont="1" applyFill="1" applyBorder="1" applyAlignment="1">
      <alignment horizontal="left" vertical="center"/>
    </xf>
    <xf numFmtId="2" fontId="170" fillId="0" borderId="22" xfId="0" applyNumberFormat="1" applyFont="1" applyFill="1" applyBorder="1" applyAlignment="1">
      <alignment horizontal="left" vertical="center"/>
    </xf>
    <xf numFmtId="2" fontId="170" fillId="0" borderId="96" xfId="0" applyNumberFormat="1" applyFont="1" applyFill="1" applyBorder="1" applyAlignment="1">
      <alignment horizontal="center" vertical="center"/>
    </xf>
    <xf numFmtId="2" fontId="170" fillId="0" borderId="19" xfId="0" applyNumberFormat="1" applyFont="1" applyFill="1" applyBorder="1" applyAlignment="1">
      <alignment horizontal="center" vertical="center"/>
    </xf>
    <xf numFmtId="2" fontId="170" fillId="0" borderId="113" xfId="0" applyNumberFormat="1" applyFont="1" applyFill="1" applyBorder="1" applyAlignment="1">
      <alignment horizontal="center" vertical="center"/>
    </xf>
    <xf numFmtId="2" fontId="170" fillId="0" borderId="20" xfId="0" applyNumberFormat="1" applyFont="1" applyFill="1" applyBorder="1" applyAlignment="1">
      <alignment horizontal="center" vertical="center"/>
    </xf>
    <xf numFmtId="0" fontId="104" fillId="0" borderId="0" xfId="0" applyFont="1" applyAlignment="1">
      <alignment horizontal="center"/>
    </xf>
    <xf numFmtId="0" fontId="104" fillId="0" borderId="0" xfId="0" applyFont="1" applyAlignment="1">
      <alignment horizontal="left"/>
    </xf>
    <xf numFmtId="169" fontId="112" fillId="58" borderId="22" xfId="3108" applyNumberFormat="1" applyFont="1" applyBorder="1" applyAlignment="1">
      <alignment horizontal="center" vertical="center"/>
    </xf>
    <xf numFmtId="169" fontId="112" fillId="58" borderId="65" xfId="3108" applyNumberFormat="1" applyFont="1" applyBorder="1" applyAlignment="1">
      <alignment horizontal="center" vertical="center"/>
    </xf>
    <xf numFmtId="2" fontId="112" fillId="58" borderId="94" xfId="3108" applyNumberFormat="1" applyFont="1" applyBorder="1" applyAlignment="1">
      <alignment horizontal="center" vertical="center"/>
    </xf>
    <xf numFmtId="169" fontId="112" fillId="58" borderId="112" xfId="3108" applyNumberFormat="1" applyFont="1" applyBorder="1" applyAlignment="1">
      <alignment horizontal="center" vertical="center"/>
    </xf>
    <xf numFmtId="2" fontId="112" fillId="58" borderId="102" xfId="3108" applyNumberFormat="1" applyFont="1" applyBorder="1" applyAlignment="1">
      <alignment horizontal="center" vertical="center"/>
    </xf>
    <xf numFmtId="169" fontId="170" fillId="0" borderId="22" xfId="0" applyNumberFormat="1" applyFont="1" applyFill="1" applyBorder="1" applyAlignment="1">
      <alignment horizontal="center" vertical="center"/>
    </xf>
    <xf numFmtId="2" fontId="170" fillId="0" borderId="39" xfId="0" applyNumberFormat="1" applyFont="1" applyFill="1" applyBorder="1" applyAlignment="1">
      <alignment horizontal="center" vertical="center"/>
    </xf>
    <xf numFmtId="169" fontId="170" fillId="0" borderId="65" xfId="0" applyNumberFormat="1" applyFont="1" applyFill="1" applyBorder="1" applyAlignment="1">
      <alignment horizontal="center" vertical="center"/>
    </xf>
    <xf numFmtId="2" fontId="170" fillId="0" borderId="94" xfId="0" applyNumberFormat="1" applyFont="1" applyFill="1" applyBorder="1" applyAlignment="1">
      <alignment horizontal="center" vertical="center"/>
    </xf>
    <xf numFmtId="169" fontId="170" fillId="0" borderId="112" xfId="0" applyNumberFormat="1" applyFont="1" applyFill="1" applyBorder="1" applyAlignment="1">
      <alignment horizontal="center" vertical="center"/>
    </xf>
    <xf numFmtId="2" fontId="170" fillId="0" borderId="15" xfId="0" applyNumberFormat="1" applyFont="1" applyFill="1" applyBorder="1" applyAlignment="1">
      <alignment horizontal="center" vertical="center"/>
    </xf>
    <xf numFmtId="2" fontId="170" fillId="0" borderId="102" xfId="0" applyNumberFormat="1" applyFont="1" applyFill="1" applyBorder="1" applyAlignment="1">
      <alignment horizontal="center" vertical="center"/>
    </xf>
    <xf numFmtId="169" fontId="112" fillId="58" borderId="75" xfId="3108" applyNumberFormat="1" applyFont="1" applyBorder="1" applyAlignment="1">
      <alignment vertical="center"/>
    </xf>
    <xf numFmtId="0" fontId="2" fillId="45" borderId="92" xfId="3118" applyFont="1" applyBorder="1" applyAlignment="1">
      <alignment horizontal="center"/>
    </xf>
    <xf numFmtId="0" fontId="2" fillId="49" borderId="92" xfId="3126" applyFont="1" applyBorder="1"/>
    <xf numFmtId="169" fontId="104" fillId="0" borderId="0" xfId="0" applyNumberFormat="1" applyFont="1" applyFill="1" applyBorder="1" applyAlignment="1">
      <alignment horizontal="center" vertical="center"/>
    </xf>
    <xf numFmtId="169" fontId="170" fillId="0" borderId="0" xfId="0" applyNumberFormat="1" applyFont="1" applyFill="1" applyAlignment="1">
      <alignment horizontal="center" vertical="center"/>
    </xf>
    <xf numFmtId="2" fontId="170" fillId="0" borderId="0" xfId="0" applyNumberFormat="1" applyFont="1" applyBorder="1" applyAlignment="1"/>
    <xf numFmtId="0" fontId="173" fillId="0" borderId="0" xfId="0" applyFont="1"/>
    <xf numFmtId="0" fontId="0" fillId="0" borderId="0" xfId="0" applyFont="1"/>
    <xf numFmtId="0" fontId="171" fillId="25" borderId="0" xfId="40424" applyFont="1" applyFill="1"/>
    <xf numFmtId="0" fontId="176" fillId="25" borderId="0" xfId="40424" applyFill="1"/>
    <xf numFmtId="0" fontId="0" fillId="25" borderId="0" xfId="0" applyFill="1"/>
    <xf numFmtId="0" fontId="0" fillId="26" borderId="0" xfId="0" applyFill="1"/>
    <xf numFmtId="0" fontId="63" fillId="26" borderId="0" xfId="0" applyFont="1" applyFill="1"/>
    <xf numFmtId="0" fontId="75" fillId="26" borderId="0" xfId="0" applyFont="1" applyFill="1" applyBorder="1"/>
    <xf numFmtId="0" fontId="0" fillId="26" borderId="0" xfId="0" applyFill="1" applyBorder="1"/>
    <xf numFmtId="0" fontId="0" fillId="2" borderId="22" xfId="0" applyFill="1" applyBorder="1"/>
    <xf numFmtId="0" fontId="0" fillId="2" borderId="82" xfId="0" applyFill="1" applyBorder="1"/>
    <xf numFmtId="0" fontId="56" fillId="2" borderId="39" xfId="0" applyFont="1" applyFill="1" applyBorder="1"/>
    <xf numFmtId="0" fontId="56" fillId="2" borderId="23" xfId="0" applyFont="1" applyFill="1" applyBorder="1"/>
    <xf numFmtId="204" fontId="54" fillId="30" borderId="21" xfId="40425" applyNumberFormat="1" applyFont="1" applyFill="1" applyBorder="1" applyAlignment="1" applyProtection="1">
      <alignment horizontal="left"/>
    </xf>
    <xf numFmtId="204" fontId="54" fillId="30" borderId="35" xfId="40425" applyFont="1" applyFill="1" applyBorder="1" applyProtection="1"/>
    <xf numFmtId="205" fontId="54" fillId="30" borderId="0" xfId="40423" applyNumberFormat="1" applyFont="1" applyFill="1" applyBorder="1" applyAlignment="1" applyProtection="1">
      <alignment horizontal="center"/>
    </xf>
    <xf numFmtId="205" fontId="54" fillId="30" borderId="18" xfId="40423" applyNumberFormat="1" applyFont="1" applyFill="1" applyBorder="1" applyAlignment="1" applyProtection="1">
      <alignment horizontal="center"/>
    </xf>
    <xf numFmtId="205" fontId="75" fillId="30" borderId="0" xfId="40423" applyNumberFormat="1" applyFont="1" applyFill="1" applyBorder="1" applyAlignment="1" applyProtection="1">
      <alignment horizontal="center"/>
    </xf>
    <xf numFmtId="205" fontId="75" fillId="30" borderId="18" xfId="40423" applyNumberFormat="1" applyFont="1" applyFill="1" applyBorder="1" applyAlignment="1" applyProtection="1">
      <alignment horizontal="center"/>
    </xf>
    <xf numFmtId="204" fontId="54" fillId="30" borderId="32" xfId="40425" applyNumberFormat="1" applyFont="1" applyFill="1" applyBorder="1" applyAlignment="1" applyProtection="1">
      <alignment horizontal="left"/>
    </xf>
    <xf numFmtId="204" fontId="54" fillId="30" borderId="33" xfId="40425" applyFont="1" applyFill="1" applyBorder="1" applyProtection="1"/>
    <xf numFmtId="205" fontId="75" fillId="30" borderId="25" xfId="40423" applyNumberFormat="1" applyFont="1" applyFill="1" applyBorder="1" applyAlignment="1" applyProtection="1">
      <alignment horizontal="center"/>
    </xf>
    <xf numFmtId="205" fontId="75" fillId="30" borderId="16" xfId="40423" applyNumberFormat="1" applyFont="1" applyFill="1" applyBorder="1" applyAlignment="1" applyProtection="1">
      <alignment horizontal="center"/>
    </xf>
    <xf numFmtId="205" fontId="75" fillId="30" borderId="34" xfId="40423" applyNumberFormat="1" applyFont="1" applyFill="1" applyBorder="1" applyAlignment="1" applyProtection="1">
      <alignment horizontal="center"/>
    </xf>
    <xf numFmtId="204" fontId="54" fillId="30" borderId="19" xfId="40425" applyNumberFormat="1" applyFont="1" applyFill="1" applyBorder="1" applyAlignment="1" applyProtection="1">
      <alignment horizontal="left"/>
    </xf>
    <xf numFmtId="204" fontId="54" fillId="30" borderId="37" xfId="40425" applyFont="1" applyFill="1" applyBorder="1" applyProtection="1"/>
    <xf numFmtId="205" fontId="75" fillId="30" borderId="38" xfId="40423" applyNumberFormat="1" applyFont="1" applyFill="1" applyBorder="1" applyAlignment="1" applyProtection="1">
      <alignment horizontal="center"/>
    </xf>
    <xf numFmtId="205" fontId="75" fillId="30" borderId="29" xfId="40423" applyNumberFormat="1" applyFont="1" applyFill="1" applyBorder="1" applyAlignment="1" applyProtection="1">
      <alignment horizontal="center"/>
    </xf>
    <xf numFmtId="205" fontId="75" fillId="30" borderId="20" xfId="40423" applyNumberFormat="1" applyFont="1" applyFill="1" applyBorder="1" applyAlignment="1" applyProtection="1">
      <alignment horizontal="center"/>
    </xf>
    <xf numFmtId="0" fontId="177" fillId="26" borderId="0" xfId="0" applyFont="1" applyFill="1"/>
    <xf numFmtId="206" fontId="0" fillId="26" borderId="0" xfId="40423" applyNumberFormat="1" applyFont="1" applyFill="1"/>
    <xf numFmtId="167" fontId="0" fillId="26" borderId="0" xfId="0" applyNumberFormat="1" applyFill="1"/>
    <xf numFmtId="207" fontId="0" fillId="26" borderId="0" xfId="0" applyNumberFormat="1" applyFill="1"/>
    <xf numFmtId="208" fontId="12" fillId="26" borderId="0" xfId="0" applyNumberFormat="1" applyFont="1" applyFill="1"/>
    <xf numFmtId="0" fontId="12" fillId="26" borderId="0" xfId="0" applyFont="1" applyFill="1"/>
    <xf numFmtId="209" fontId="0" fillId="26" borderId="0" xfId="0" applyNumberFormat="1" applyFill="1"/>
    <xf numFmtId="0" fontId="42" fillId="26" borderId="0" xfId="0" applyFont="1" applyFill="1"/>
    <xf numFmtId="204" fontId="54" fillId="2" borderId="21" xfId="40425" applyNumberFormat="1" applyFont="1" applyFill="1" applyBorder="1" applyAlignment="1" applyProtection="1">
      <alignment horizontal="left"/>
    </xf>
    <xf numFmtId="204" fontId="54" fillId="2" borderId="35" xfId="40425" applyFont="1" applyFill="1" applyBorder="1" applyProtection="1"/>
    <xf numFmtId="205" fontId="75" fillId="2" borderId="0" xfId="40423" applyNumberFormat="1" applyFont="1" applyFill="1" applyBorder="1" applyAlignment="1" applyProtection="1">
      <alignment horizontal="center"/>
    </xf>
    <xf numFmtId="205" fontId="75" fillId="2" borderId="18" xfId="40423" applyNumberFormat="1" applyFont="1" applyFill="1" applyBorder="1" applyAlignment="1" applyProtection="1">
      <alignment horizontal="center"/>
    </xf>
    <xf numFmtId="204" fontId="54" fillId="2" borderId="19" xfId="40425" applyNumberFormat="1" applyFont="1" applyFill="1" applyBorder="1" applyAlignment="1" applyProtection="1">
      <alignment horizontal="left"/>
    </xf>
    <xf numFmtId="204" fontId="54" fillId="2" borderId="37" xfId="40425" applyFont="1" applyFill="1" applyBorder="1" applyProtection="1"/>
    <xf numFmtId="205" fontId="75" fillId="2" borderId="38" xfId="40423" applyNumberFormat="1" applyFont="1" applyFill="1" applyBorder="1" applyAlignment="1" applyProtection="1">
      <alignment horizontal="center"/>
    </xf>
    <xf numFmtId="205" fontId="75" fillId="2" borderId="29" xfId="40423" applyNumberFormat="1" applyFont="1" applyFill="1" applyBorder="1" applyAlignment="1" applyProtection="1">
      <alignment horizontal="center"/>
    </xf>
    <xf numFmtId="205" fontId="75" fillId="2" borderId="20" xfId="40423" applyNumberFormat="1" applyFont="1" applyFill="1" applyBorder="1" applyAlignment="1" applyProtection="1">
      <alignment horizontal="center"/>
    </xf>
    <xf numFmtId="205" fontId="54" fillId="2" borderId="0" xfId="40423" applyNumberFormat="1" applyFont="1" applyFill="1" applyBorder="1" applyAlignment="1" applyProtection="1">
      <alignment horizontal="center"/>
    </xf>
    <xf numFmtId="205" fontId="54" fillId="2" borderId="18" xfId="40423" applyNumberFormat="1" applyFont="1" applyFill="1" applyBorder="1" applyAlignment="1" applyProtection="1">
      <alignment horizontal="center"/>
    </xf>
    <xf numFmtId="204" fontId="54" fillId="2" borderId="33" xfId="40425" applyFont="1" applyFill="1" applyBorder="1" applyProtection="1"/>
    <xf numFmtId="205" fontId="75" fillId="2" borderId="25" xfId="40423" applyNumberFormat="1" applyFont="1" applyFill="1" applyBorder="1" applyAlignment="1" applyProtection="1">
      <alignment horizontal="center"/>
    </xf>
    <xf numFmtId="205" fontId="75" fillId="2" borderId="16" xfId="40423" applyNumberFormat="1" applyFont="1" applyFill="1" applyBorder="1" applyAlignment="1" applyProtection="1">
      <alignment horizontal="center"/>
    </xf>
    <xf numFmtId="205" fontId="75" fillId="2" borderId="34" xfId="40423" applyNumberFormat="1" applyFont="1" applyFill="1" applyBorder="1" applyAlignment="1" applyProtection="1">
      <alignment horizontal="center"/>
    </xf>
    <xf numFmtId="0" fontId="0" fillId="41" borderId="0" xfId="0" applyFill="1"/>
    <xf numFmtId="0" fontId="177" fillId="41" borderId="0" xfId="0" applyFont="1" applyFill="1"/>
    <xf numFmtId="169" fontId="0" fillId="0" borderId="29" xfId="0" applyNumberFormat="1" applyBorder="1"/>
    <xf numFmtId="169" fontId="170" fillId="0" borderId="76" xfId="0" applyNumberFormat="1" applyFont="1" applyBorder="1" applyAlignment="1">
      <alignment horizontal="center" vertical="center"/>
    </xf>
    <xf numFmtId="2" fontId="112" fillId="58" borderId="75" xfId="3108" applyNumberFormat="1" applyBorder="1" applyAlignment="1">
      <alignment vertical="center"/>
    </xf>
    <xf numFmtId="2" fontId="112" fillId="58" borderId="96" xfId="3108" applyNumberFormat="1" applyBorder="1" applyAlignment="1">
      <alignment vertical="center"/>
    </xf>
    <xf numFmtId="2" fontId="112" fillId="58" borderId="98" xfId="3108" applyNumberFormat="1" applyBorder="1" applyAlignment="1">
      <alignment horizontal="left" vertical="center"/>
    </xf>
    <xf numFmtId="2" fontId="112" fillId="58" borderId="86" xfId="3108" applyNumberFormat="1" applyBorder="1" applyAlignment="1">
      <alignment vertical="center"/>
    </xf>
    <xf numFmtId="1" fontId="170" fillId="0" borderId="74" xfId="0" applyNumberFormat="1" applyFont="1" applyBorder="1" applyAlignment="1">
      <alignment vertical="center"/>
    </xf>
    <xf numFmtId="2" fontId="172" fillId="0" borderId="0" xfId="3108" applyNumberFormat="1" applyFont="1" applyFill="1" applyBorder="1" applyAlignment="1">
      <alignment horizontal="center" vertical="center"/>
    </xf>
    <xf numFmtId="2" fontId="112" fillId="0" borderId="0" xfId="3108" applyNumberFormat="1" applyFill="1" applyBorder="1" applyAlignment="1">
      <alignment horizontal="center" vertical="center"/>
    </xf>
    <xf numFmtId="1" fontId="170" fillId="0" borderId="76" xfId="0" applyNumberFormat="1" applyFont="1" applyBorder="1" applyAlignment="1">
      <alignment vertical="center"/>
    </xf>
    <xf numFmtId="169" fontId="170" fillId="0" borderId="115" xfId="0" applyNumberFormat="1" applyFont="1" applyBorder="1" applyAlignment="1">
      <alignment horizontal="center" vertical="center"/>
    </xf>
    <xf numFmtId="169" fontId="170" fillId="0" borderId="110" xfId="0" applyNumberFormat="1" applyFont="1" applyBorder="1" applyAlignment="1">
      <alignment horizontal="center" vertical="center"/>
    </xf>
    <xf numFmtId="169" fontId="170" fillId="0" borderId="31" xfId="0" applyNumberFormat="1" applyFont="1" applyBorder="1" applyAlignment="1">
      <alignment horizontal="center" vertical="center"/>
    </xf>
    <xf numFmtId="169" fontId="170" fillId="0" borderId="116" xfId="0" applyNumberFormat="1" applyFont="1" applyBorder="1" applyAlignment="1">
      <alignment horizontal="center" vertical="center"/>
    </xf>
    <xf numFmtId="169" fontId="170" fillId="0" borderId="75" xfId="0" applyNumberFormat="1" applyFont="1" applyFill="1" applyBorder="1" applyAlignment="1">
      <alignment vertical="center"/>
    </xf>
    <xf numFmtId="169" fontId="2" fillId="0" borderId="75" xfId="3108" applyNumberFormat="1" applyFont="1" applyFill="1" applyBorder="1" applyAlignment="1">
      <alignment vertical="center"/>
    </xf>
    <xf numFmtId="169" fontId="2" fillId="0" borderId="22" xfId="3108" applyNumberFormat="1" applyFont="1" applyFill="1" applyBorder="1" applyAlignment="1">
      <alignment horizontal="center" vertical="center"/>
    </xf>
    <xf numFmtId="2" fontId="2" fillId="0" borderId="22" xfId="3108" applyNumberFormat="1" applyFont="1" applyFill="1" applyBorder="1" applyAlignment="1">
      <alignment horizontal="center" vertical="center"/>
    </xf>
    <xf numFmtId="2" fontId="2" fillId="0" borderId="83" xfId="3108" applyNumberFormat="1" applyFont="1" applyFill="1" applyBorder="1" applyAlignment="1">
      <alignment horizontal="center" vertical="center"/>
    </xf>
    <xf numFmtId="2" fontId="2" fillId="0" borderId="39" xfId="3108" applyNumberFormat="1" applyFont="1" applyFill="1" applyBorder="1" applyAlignment="1">
      <alignment horizontal="center" vertical="center"/>
    </xf>
    <xf numFmtId="2" fontId="2" fillId="0" borderId="85" xfId="3108" applyNumberFormat="1" applyFont="1" applyFill="1" applyBorder="1" applyAlignment="1">
      <alignment horizontal="center" vertical="center"/>
    </xf>
    <xf numFmtId="169" fontId="2" fillId="0" borderId="65" xfId="3108" applyNumberFormat="1" applyFont="1" applyFill="1" applyBorder="1" applyAlignment="1">
      <alignment horizontal="center" vertical="center"/>
    </xf>
    <xf numFmtId="2" fontId="2" fillId="0" borderId="65" xfId="3108" applyNumberFormat="1" applyFont="1" applyFill="1" applyBorder="1" applyAlignment="1">
      <alignment horizontal="center" vertical="center"/>
    </xf>
    <xf numFmtId="2" fontId="2" fillId="0" borderId="92" xfId="3108" applyNumberFormat="1" applyFont="1" applyFill="1" applyBorder="1" applyAlignment="1">
      <alignment horizontal="center" vertical="center"/>
    </xf>
    <xf numFmtId="2" fontId="2" fillId="0" borderId="97" xfId="3108" applyNumberFormat="1" applyFont="1" applyFill="1" applyBorder="1" applyAlignment="1">
      <alignment horizontal="center" vertical="center"/>
    </xf>
    <xf numFmtId="2" fontId="2" fillId="0" borderId="94" xfId="3108" applyNumberFormat="1" applyFont="1" applyFill="1" applyBorder="1" applyAlignment="1">
      <alignment horizontal="center" vertical="center"/>
    </xf>
    <xf numFmtId="169" fontId="2" fillId="0" borderId="112" xfId="3108" applyNumberFormat="1" applyFont="1" applyFill="1" applyBorder="1" applyAlignment="1">
      <alignment horizontal="center" vertical="center"/>
    </xf>
    <xf numFmtId="2" fontId="2" fillId="0" borderId="112" xfId="3108" applyNumberFormat="1" applyFont="1" applyFill="1" applyBorder="1" applyAlignment="1">
      <alignment horizontal="center" vertical="center"/>
    </xf>
    <xf numFmtId="2" fontId="2" fillId="0" borderId="101" xfId="3108" applyNumberFormat="1" applyFont="1" applyFill="1" applyBorder="1" applyAlignment="1">
      <alignment horizontal="center" vertical="center"/>
    </xf>
    <xf numFmtId="2" fontId="2" fillId="0" borderId="15" xfId="3108" applyNumberFormat="1" applyFont="1" applyFill="1" applyBorder="1" applyAlignment="1">
      <alignment horizontal="center" vertical="center"/>
    </xf>
    <xf numFmtId="2" fontId="2" fillId="0" borderId="102" xfId="3108" applyNumberFormat="1" applyFont="1" applyFill="1" applyBorder="1" applyAlignment="1">
      <alignment horizontal="center" vertical="center"/>
    </xf>
    <xf numFmtId="0" fontId="12" fillId="37" borderId="0" xfId="0" applyFont="1" applyFill="1" applyBorder="1"/>
    <xf numFmtId="168" fontId="178" fillId="0" borderId="0" xfId="0" applyNumberFormat="1" applyFont="1"/>
    <xf numFmtId="2" fontId="112" fillId="58" borderId="7" xfId="3108" applyNumberFormat="1" applyFont="1" applyBorder="1" applyAlignment="1">
      <alignment horizontal="center" vertical="center"/>
    </xf>
    <xf numFmtId="2" fontId="170" fillId="0" borderId="7" xfId="0" applyNumberFormat="1" applyFont="1" applyFill="1" applyBorder="1" applyAlignment="1">
      <alignment horizontal="center" vertical="center"/>
    </xf>
    <xf numFmtId="0" fontId="0" fillId="0" borderId="25" xfId="0" applyBorder="1"/>
    <xf numFmtId="0" fontId="0" fillId="0" borderId="33" xfId="0" applyBorder="1"/>
    <xf numFmtId="0" fontId="12" fillId="0" borderId="71" xfId="0" applyFont="1" applyBorder="1"/>
    <xf numFmtId="2" fontId="0" fillId="0" borderId="71" xfId="0" applyNumberFormat="1" applyBorder="1"/>
    <xf numFmtId="2" fontId="0" fillId="0" borderId="109" xfId="0" applyNumberFormat="1" applyBorder="1"/>
    <xf numFmtId="2" fontId="0" fillId="0" borderId="107" xfId="0" applyNumberFormat="1" applyBorder="1"/>
    <xf numFmtId="2" fontId="0" fillId="0" borderId="36" xfId="0" applyNumberFormat="1" applyBorder="1"/>
    <xf numFmtId="2" fontId="0" fillId="0" borderId="25" xfId="0" applyNumberFormat="1" applyBorder="1"/>
    <xf numFmtId="2" fontId="0" fillId="0" borderId="16" xfId="0" applyNumberFormat="1" applyBorder="1"/>
    <xf numFmtId="2" fontId="0" fillId="0" borderId="33" xfId="0" applyNumberFormat="1" applyBorder="1"/>
    <xf numFmtId="0" fontId="12" fillId="0" borderId="36" xfId="0" applyFont="1" applyBorder="1"/>
    <xf numFmtId="0" fontId="12" fillId="0" borderId="25" xfId="0" applyFont="1" applyBorder="1"/>
    <xf numFmtId="2" fontId="77" fillId="0" borderId="0" xfId="0" applyNumberFormat="1" applyFont="1" applyFill="1" applyBorder="1" applyAlignment="1">
      <alignment wrapText="1"/>
    </xf>
    <xf numFmtId="2" fontId="77" fillId="0" borderId="0" xfId="0" applyNumberFormat="1" applyFont="1" applyFill="1" applyBorder="1"/>
    <xf numFmtId="0" fontId="12" fillId="41" borderId="0" xfId="0" applyFont="1" applyFill="1" applyBorder="1"/>
    <xf numFmtId="180" fontId="75" fillId="30" borderId="0" xfId="0" applyNumberFormat="1" applyFont="1" applyFill="1" applyBorder="1"/>
    <xf numFmtId="0" fontId="12" fillId="0" borderId="29" xfId="0" applyFont="1" applyBorder="1"/>
    <xf numFmtId="0" fontId="31" fillId="29" borderId="0" xfId="0" applyFont="1" applyFill="1" applyBorder="1" applyAlignment="1">
      <alignment horizontal="left" vertical="top" wrapText="1"/>
    </xf>
    <xf numFmtId="0" fontId="30" fillId="36" borderId="105" xfId="0" applyFont="1" applyFill="1" applyBorder="1" applyAlignment="1">
      <alignment horizontal="left" vertical="center" wrapText="1"/>
    </xf>
    <xf numFmtId="0" fontId="31" fillId="29" borderId="101" xfId="0" applyFont="1" applyFill="1" applyBorder="1" applyAlignment="1">
      <alignment horizontal="left" vertical="top" wrapText="1"/>
    </xf>
    <xf numFmtId="2" fontId="0" fillId="0" borderId="51" xfId="0" applyNumberFormat="1" applyBorder="1"/>
    <xf numFmtId="2" fontId="0" fillId="0" borderId="113" xfId="0" applyNumberFormat="1" applyBorder="1"/>
    <xf numFmtId="0" fontId="0" fillId="0" borderId="51" xfId="0" applyBorder="1"/>
    <xf numFmtId="0" fontId="0" fillId="0" borderId="4" xfId="0" applyBorder="1"/>
    <xf numFmtId="0" fontId="0" fillId="0" borderId="113" xfId="0" applyBorder="1"/>
    <xf numFmtId="2" fontId="0" fillId="38" borderId="0" xfId="0" applyNumberFormat="1" applyFill="1"/>
    <xf numFmtId="0" fontId="12" fillId="0" borderId="0" xfId="0" applyNumberFormat="1" applyFont="1" applyFill="1" applyBorder="1" applyAlignment="1" applyProtection="1"/>
    <xf numFmtId="9" fontId="12" fillId="0" borderId="0" xfId="0" applyNumberFormat="1" applyFont="1" applyFill="1" applyBorder="1" applyAlignment="1" applyProtection="1"/>
    <xf numFmtId="169" fontId="12" fillId="0" borderId="0" xfId="0" applyNumberFormat="1" applyFont="1" applyFill="1" applyBorder="1" applyAlignment="1" applyProtection="1"/>
    <xf numFmtId="0" fontId="12" fillId="0" borderId="109" xfId="0" applyNumberFormat="1" applyFont="1" applyFill="1" applyBorder="1" applyAlignment="1" applyProtection="1"/>
    <xf numFmtId="0" fontId="12" fillId="0" borderId="107" xfId="0" applyNumberFormat="1" applyFont="1" applyFill="1" applyBorder="1" applyAlignment="1" applyProtection="1"/>
    <xf numFmtId="0" fontId="12" fillId="0" borderId="36" xfId="0" applyNumberFormat="1" applyFont="1" applyFill="1" applyBorder="1" applyAlignment="1" applyProtection="1"/>
    <xf numFmtId="0" fontId="12" fillId="0" borderId="35" xfId="0" applyNumberFormat="1" applyFont="1" applyFill="1" applyBorder="1" applyAlignment="1" applyProtection="1"/>
    <xf numFmtId="0" fontId="12" fillId="0" borderId="36" xfId="849" applyBorder="1"/>
    <xf numFmtId="0" fontId="12" fillId="0" borderId="35" xfId="849" applyBorder="1"/>
    <xf numFmtId="0" fontId="12" fillId="0" borderId="25" xfId="0" applyNumberFormat="1" applyFont="1" applyFill="1" applyBorder="1" applyAlignment="1" applyProtection="1"/>
    <xf numFmtId="0" fontId="12" fillId="0" borderId="16" xfId="0" applyNumberFormat="1" applyFont="1" applyFill="1" applyBorder="1" applyAlignment="1" applyProtection="1"/>
    <xf numFmtId="0" fontId="12" fillId="34" borderId="33" xfId="0" applyNumberFormat="1" applyFont="1" applyFill="1" applyBorder="1" applyAlignment="1" applyProtection="1"/>
    <xf numFmtId="0" fontId="12" fillId="0" borderId="71" xfId="0" applyNumberFormat="1" applyFont="1" applyFill="1" applyBorder="1" applyAlignment="1" applyProtection="1"/>
    <xf numFmtId="0" fontId="12" fillId="0" borderId="93" xfId="849" applyBorder="1"/>
    <xf numFmtId="0" fontId="12" fillId="0" borderId="97" xfId="849" applyBorder="1"/>
    <xf numFmtId="0" fontId="12" fillId="0" borderId="97" xfId="849" applyFont="1" applyBorder="1"/>
    <xf numFmtId="0" fontId="12" fillId="0" borderId="91" xfId="849" applyBorder="1"/>
    <xf numFmtId="0" fontId="12" fillId="38" borderId="0" xfId="849" applyFill="1"/>
    <xf numFmtId="1" fontId="12" fillId="0" borderId="0" xfId="0" applyNumberFormat="1" applyFont="1" applyFill="1" applyBorder="1" applyAlignment="1" applyProtection="1"/>
    <xf numFmtId="0" fontId="12" fillId="34" borderId="0" xfId="849" applyFill="1"/>
    <xf numFmtId="2" fontId="77" fillId="0" borderId="0" xfId="0" applyNumberFormat="1" applyFont="1" applyBorder="1"/>
    <xf numFmtId="2" fontId="77" fillId="38" borderId="0" xfId="0" applyNumberFormat="1" applyFont="1" applyFill="1" applyBorder="1"/>
    <xf numFmtId="169" fontId="77" fillId="0" borderId="0" xfId="0" applyNumberFormat="1" applyFont="1"/>
    <xf numFmtId="0" fontId="77" fillId="0" borderId="0" xfId="0" applyFont="1" applyBorder="1"/>
    <xf numFmtId="0" fontId="77" fillId="0" borderId="0" xfId="0" applyFont="1"/>
    <xf numFmtId="0" fontId="77" fillId="0" borderId="0" xfId="0" applyFont="1" applyFill="1"/>
    <xf numFmtId="0" fontId="77" fillId="0" borderId="17" xfId="0" applyFont="1" applyBorder="1"/>
    <xf numFmtId="170" fontId="77" fillId="0" borderId="17" xfId="0" applyNumberFormat="1" applyFont="1" applyBorder="1"/>
    <xf numFmtId="1" fontId="77" fillId="0" borderId="17" xfId="0" applyNumberFormat="1" applyFont="1" applyBorder="1"/>
    <xf numFmtId="170" fontId="77" fillId="0" borderId="0" xfId="0" applyNumberFormat="1" applyFont="1"/>
    <xf numFmtId="170" fontId="77" fillId="0" borderId="0" xfId="0" applyNumberFormat="1" applyFont="1" applyBorder="1"/>
    <xf numFmtId="1" fontId="77" fillId="0" borderId="0" xfId="0" applyNumberFormat="1" applyFont="1" applyBorder="1"/>
    <xf numFmtId="0" fontId="77" fillId="0" borderId="16" xfId="0" applyFont="1" applyBorder="1"/>
    <xf numFmtId="170" fontId="77" fillId="0" borderId="16" xfId="0" applyNumberFormat="1" applyFont="1" applyBorder="1"/>
    <xf numFmtId="0" fontId="77" fillId="38" borderId="0" xfId="0" applyFont="1" applyFill="1" applyBorder="1"/>
    <xf numFmtId="0" fontId="77" fillId="38" borderId="0" xfId="0" applyFont="1" applyFill="1"/>
    <xf numFmtId="0" fontId="77" fillId="38" borderId="17" xfId="0" applyFont="1" applyFill="1" applyBorder="1"/>
    <xf numFmtId="1" fontId="77" fillId="38" borderId="17" xfId="0" applyNumberFormat="1" applyFont="1" applyFill="1" applyBorder="1"/>
    <xf numFmtId="170" fontId="77" fillId="38" borderId="0" xfId="0" applyNumberFormat="1" applyFont="1" applyFill="1" applyBorder="1"/>
    <xf numFmtId="1" fontId="77" fillId="38" borderId="0" xfId="0" applyNumberFormat="1" applyFont="1" applyFill="1" applyBorder="1"/>
    <xf numFmtId="182" fontId="77" fillId="0" borderId="0" xfId="0" applyNumberFormat="1" applyFont="1"/>
    <xf numFmtId="0" fontId="77" fillId="0" borderId="29" xfId="0" applyFont="1" applyBorder="1"/>
    <xf numFmtId="1" fontId="77" fillId="0" borderId="0" xfId="0" applyNumberFormat="1" applyFont="1"/>
    <xf numFmtId="177" fontId="77" fillId="0" borderId="0" xfId="0" applyNumberFormat="1" applyFont="1"/>
    <xf numFmtId="0" fontId="77" fillId="0" borderId="0" xfId="849" applyFont="1"/>
    <xf numFmtId="182" fontId="77" fillId="0" borderId="0" xfId="849" applyNumberFormat="1" applyFont="1"/>
    <xf numFmtId="0" fontId="77" fillId="0" borderId="0" xfId="849" applyFont="1" applyFill="1"/>
    <xf numFmtId="0" fontId="77" fillId="0" borderId="17" xfId="849" applyFont="1" applyBorder="1"/>
    <xf numFmtId="2" fontId="77" fillId="0" borderId="17" xfId="849" applyNumberFormat="1" applyFont="1" applyBorder="1"/>
    <xf numFmtId="0" fontId="77" fillId="0" borderId="0" xfId="849" applyFont="1" applyBorder="1"/>
    <xf numFmtId="2" fontId="77" fillId="0" borderId="0" xfId="849" applyNumberFormat="1" applyFont="1" applyBorder="1"/>
    <xf numFmtId="0" fontId="77" fillId="0" borderId="0" xfId="849" applyFont="1" applyFill="1" applyBorder="1"/>
    <xf numFmtId="169" fontId="170" fillId="90" borderId="0" xfId="0" applyNumberFormat="1" applyFont="1" applyFill="1" applyAlignment="1">
      <alignment horizontal="center" vertical="center"/>
    </xf>
    <xf numFmtId="169" fontId="112" fillId="30" borderId="98" xfId="3108" applyNumberFormat="1" applyFill="1" applyBorder="1" applyAlignment="1">
      <alignment horizontal="center" vertical="center"/>
    </xf>
    <xf numFmtId="4" fontId="112" fillId="30" borderId="98" xfId="3108" applyNumberFormat="1" applyFill="1" applyBorder="1" applyAlignment="1">
      <alignment horizontal="center" vertical="center"/>
    </xf>
    <xf numFmtId="4" fontId="112" fillId="30" borderId="83" xfId="3108" applyNumberFormat="1" applyFill="1" applyBorder="1" applyAlignment="1">
      <alignment horizontal="center" vertical="center"/>
    </xf>
    <xf numFmtId="4" fontId="112" fillId="30" borderId="40" xfId="3108" applyNumberFormat="1" applyFill="1" applyBorder="1" applyAlignment="1">
      <alignment horizontal="center" vertical="center"/>
    </xf>
    <xf numFmtId="4" fontId="112" fillId="30" borderId="84" xfId="3108" applyNumberFormat="1" applyFill="1" applyBorder="1" applyAlignment="1">
      <alignment horizontal="center" vertical="center"/>
    </xf>
    <xf numFmtId="4" fontId="112" fillId="30" borderId="85" xfId="3108" applyNumberFormat="1" applyFill="1" applyBorder="1" applyAlignment="1">
      <alignment horizontal="center" vertical="center"/>
    </xf>
    <xf numFmtId="4" fontId="112" fillId="30" borderId="82" xfId="3108" applyNumberFormat="1" applyFill="1" applyBorder="1" applyAlignment="1">
      <alignment horizontal="center" vertical="center"/>
    </xf>
    <xf numFmtId="169" fontId="112" fillId="30" borderId="81" xfId="3108" applyNumberFormat="1" applyFill="1" applyBorder="1" applyAlignment="1">
      <alignment horizontal="center" vertical="center"/>
    </xf>
    <xf numFmtId="4" fontId="112" fillId="30" borderId="81" xfId="3108" applyNumberFormat="1" applyFill="1" applyBorder="1" applyAlignment="1">
      <alignment horizontal="center" vertical="center"/>
    </xf>
    <xf numFmtId="4" fontId="112" fillId="30" borderId="4" xfId="3108" applyNumberFormat="1" applyFill="1" applyBorder="1" applyAlignment="1">
      <alignment horizontal="center" vertical="center"/>
    </xf>
    <xf numFmtId="4" fontId="112" fillId="30" borderId="25" xfId="3108" applyNumberFormat="1" applyFill="1" applyBorder="1" applyAlignment="1">
      <alignment horizontal="center" vertical="center"/>
    </xf>
    <xf numFmtId="4" fontId="112" fillId="30" borderId="87" xfId="3108" applyNumberFormat="1" applyFill="1" applyBorder="1" applyAlignment="1">
      <alignment horizontal="center" vertical="center"/>
    </xf>
    <xf numFmtId="4" fontId="112" fillId="30" borderId="88" xfId="3108" applyNumberFormat="1" applyFill="1" applyBorder="1" applyAlignment="1">
      <alignment horizontal="center" vertical="center"/>
    </xf>
    <xf numFmtId="4" fontId="112" fillId="30" borderId="33" xfId="3108" applyNumberFormat="1" applyFill="1" applyBorder="1" applyAlignment="1">
      <alignment horizontal="center" vertical="center"/>
    </xf>
    <xf numFmtId="169" fontId="112" fillId="91" borderId="86" xfId="3108" applyNumberFormat="1" applyFill="1" applyBorder="1" applyAlignment="1">
      <alignment horizontal="center" vertical="center"/>
    </xf>
    <xf numFmtId="169" fontId="112" fillId="58" borderId="98" xfId="3108" applyNumberFormat="1" applyBorder="1" applyAlignment="1">
      <alignment horizontal="center" vertical="center"/>
    </xf>
    <xf numFmtId="4" fontId="112" fillId="58" borderId="98" xfId="3108" applyNumberFormat="1" applyBorder="1" applyAlignment="1">
      <alignment horizontal="center" vertical="center"/>
    </xf>
    <xf numFmtId="4" fontId="112" fillId="58" borderId="82" xfId="3108" applyNumberFormat="1" applyBorder="1" applyAlignment="1">
      <alignment horizontal="center" vertical="center"/>
    </xf>
    <xf numFmtId="4" fontId="112" fillId="58" borderId="83" xfId="3108" applyNumberFormat="1" applyBorder="1" applyAlignment="1">
      <alignment horizontal="center" vertical="center"/>
    </xf>
    <xf numFmtId="4" fontId="112" fillId="58" borderId="40" xfId="3108" applyNumberFormat="1" applyBorder="1" applyAlignment="1">
      <alignment horizontal="center" vertical="center"/>
    </xf>
    <xf numFmtId="4" fontId="112" fillId="58" borderId="84" xfId="3108" applyNumberFormat="1" applyBorder="1" applyAlignment="1">
      <alignment horizontal="center" vertical="center"/>
    </xf>
    <xf numFmtId="4" fontId="112" fillId="58" borderId="85" xfId="3108" applyNumberFormat="1" applyBorder="1" applyAlignment="1">
      <alignment horizontal="center" vertical="center"/>
    </xf>
    <xf numFmtId="169" fontId="112" fillId="58" borderId="81" xfId="3108" applyNumberFormat="1" applyBorder="1" applyAlignment="1">
      <alignment horizontal="center" vertical="center"/>
    </xf>
    <xf numFmtId="4" fontId="112" fillId="58" borderId="81" xfId="3108" applyNumberFormat="1" applyBorder="1" applyAlignment="1">
      <alignment horizontal="center" vertical="center"/>
    </xf>
    <xf numFmtId="4" fontId="112" fillId="58" borderId="33" xfId="3108" applyNumberFormat="1" applyBorder="1" applyAlignment="1">
      <alignment horizontal="center" vertical="center"/>
    </xf>
    <xf numFmtId="4" fontId="112" fillId="58" borderId="4" xfId="3108" applyNumberFormat="1" applyBorder="1" applyAlignment="1">
      <alignment horizontal="center" vertical="center"/>
    </xf>
    <xf numFmtId="4" fontId="112" fillId="58" borderId="25" xfId="3108" applyNumberFormat="1" applyBorder="1" applyAlignment="1">
      <alignment horizontal="center" vertical="center"/>
    </xf>
    <xf numFmtId="4" fontId="112" fillId="58" borderId="87" xfId="3108" applyNumberFormat="1" applyBorder="1" applyAlignment="1">
      <alignment horizontal="center" vertical="center"/>
    </xf>
    <xf numFmtId="4" fontId="112" fillId="58" borderId="88" xfId="3108" applyNumberFormat="1" applyBorder="1" applyAlignment="1">
      <alignment horizontal="center" vertical="center"/>
    </xf>
    <xf numFmtId="169" fontId="112" fillId="58" borderId="86" xfId="3108" applyNumberFormat="1" applyBorder="1" applyAlignment="1">
      <alignment horizontal="center" vertical="center"/>
    </xf>
    <xf numFmtId="4" fontId="130" fillId="0" borderId="0" xfId="0" applyNumberFormat="1" applyFont="1"/>
    <xf numFmtId="169" fontId="130" fillId="0" borderId="0" xfId="0" applyNumberFormat="1" applyFont="1"/>
    <xf numFmtId="190" fontId="30" fillId="30" borderId="0" xfId="2572" applyNumberFormat="1" applyFont="1" applyFill="1" applyBorder="1"/>
    <xf numFmtId="191" fontId="30" fillId="30" borderId="0" xfId="2572" applyNumberFormat="1" applyFont="1" applyFill="1" applyBorder="1"/>
    <xf numFmtId="0" fontId="12" fillId="0" borderId="109" xfId="849" applyBorder="1"/>
    <xf numFmtId="0" fontId="0" fillId="0" borderId="109" xfId="0" applyBorder="1"/>
    <xf numFmtId="0" fontId="42" fillId="92" borderId="0" xfId="0" applyNumberFormat="1" applyFont="1" applyFill="1" applyBorder="1" applyAlignment="1" applyProtection="1"/>
    <xf numFmtId="0" fontId="30" fillId="92" borderId="0" xfId="0" applyNumberFormat="1" applyFont="1" applyFill="1" applyBorder="1" applyAlignment="1" applyProtection="1"/>
    <xf numFmtId="9" fontId="30" fillId="92" borderId="0" xfId="0" applyNumberFormat="1" applyFont="1" applyFill="1" applyBorder="1" applyAlignment="1" applyProtection="1"/>
    <xf numFmtId="0" fontId="30" fillId="93" borderId="26" xfId="0" applyNumberFormat="1" applyFont="1" applyFill="1" applyBorder="1" applyAlignment="1" applyProtection="1"/>
    <xf numFmtId="0" fontId="30" fillId="93" borderId="30" xfId="0" applyNumberFormat="1" applyFont="1" applyFill="1" applyBorder="1" applyAlignment="1" applyProtection="1"/>
    <xf numFmtId="0" fontId="30" fillId="93" borderId="31" xfId="0" applyNumberFormat="1" applyFont="1" applyFill="1" applyBorder="1" applyAlignment="1" applyProtection="1"/>
    <xf numFmtId="0" fontId="30" fillId="93" borderId="27" xfId="0" applyNumberFormat="1" applyFont="1" applyFill="1" applyBorder="1" applyAlignment="1" applyProtection="1"/>
    <xf numFmtId="0" fontId="30" fillId="93" borderId="28" xfId="0" applyNumberFormat="1" applyFont="1" applyFill="1" applyBorder="1" applyAlignment="1" applyProtection="1"/>
    <xf numFmtId="0" fontId="30" fillId="93" borderId="127" xfId="0" applyNumberFormat="1" applyFont="1" applyFill="1" applyBorder="1" applyAlignment="1" applyProtection="1"/>
    <xf numFmtId="0" fontId="56" fillId="93" borderId="120" xfId="0" applyNumberFormat="1" applyFont="1" applyFill="1" applyBorder="1" applyAlignment="1" applyProtection="1"/>
    <xf numFmtId="0" fontId="56" fillId="93" borderId="121" xfId="0" applyNumberFormat="1" applyFont="1" applyFill="1" applyBorder="1" applyAlignment="1" applyProtection="1"/>
    <xf numFmtId="0" fontId="56" fillId="93" borderId="122" xfId="0" applyNumberFormat="1" applyFont="1" applyFill="1" applyBorder="1" applyAlignment="1" applyProtection="1"/>
    <xf numFmtId="0" fontId="30" fillId="93" borderId="122" xfId="0" applyNumberFormat="1" applyFont="1" applyFill="1" applyBorder="1" applyAlignment="1" applyProtection="1"/>
    <xf numFmtId="0" fontId="30" fillId="93" borderId="123" xfId="0" applyNumberFormat="1" applyFont="1" applyFill="1" applyBorder="1" applyAlignment="1" applyProtection="1"/>
    <xf numFmtId="0" fontId="42" fillId="93" borderId="21" xfId="0" applyNumberFormat="1" applyFont="1" applyFill="1" applyBorder="1" applyAlignment="1" applyProtection="1"/>
    <xf numFmtId="0" fontId="56" fillId="93" borderId="35" xfId="0" applyNumberFormat="1" applyFont="1" applyFill="1" applyBorder="1" applyAlignment="1" applyProtection="1"/>
    <xf numFmtId="0" fontId="56" fillId="93" borderId="36" xfId="0" applyNumberFormat="1" applyFont="1" applyFill="1" applyBorder="1" applyAlignment="1" applyProtection="1"/>
    <xf numFmtId="0" fontId="56" fillId="93" borderId="0" xfId="0" applyNumberFormat="1" applyFont="1" applyFill="1" applyBorder="1" applyAlignment="1" applyProtection="1"/>
    <xf numFmtId="0" fontId="30" fillId="93" borderId="0" xfId="0" applyNumberFormat="1" applyFont="1" applyFill="1" applyBorder="1" applyAlignment="1" applyProtection="1"/>
    <xf numFmtId="0" fontId="30" fillId="93" borderId="18" xfId="0" applyNumberFormat="1" applyFont="1" applyFill="1" applyBorder="1" applyAlignment="1" applyProtection="1"/>
    <xf numFmtId="0" fontId="180" fillId="93" borderId="21" xfId="0" applyNumberFormat="1" applyFont="1" applyFill="1" applyBorder="1" applyAlignment="1" applyProtection="1"/>
    <xf numFmtId="189" fontId="12" fillId="93" borderId="36" xfId="0" applyNumberFormat="1" applyFont="1" applyFill="1" applyBorder="1" applyAlignment="1" applyProtection="1">
      <protection locked="0"/>
    </xf>
    <xf numFmtId="189" fontId="12" fillId="93" borderId="0" xfId="0" applyNumberFormat="1" applyFont="1" applyFill="1" applyBorder="1" applyAlignment="1" applyProtection="1">
      <protection locked="0"/>
    </xf>
    <xf numFmtId="180" fontId="12" fillId="93" borderId="0" xfId="0" applyNumberFormat="1" applyFont="1" applyFill="1" applyBorder="1" applyAlignment="1" applyProtection="1">
      <protection locked="0"/>
    </xf>
    <xf numFmtId="0" fontId="181" fillId="93" borderId="0" xfId="0" applyNumberFormat="1" applyFont="1" applyFill="1" applyBorder="1" applyAlignment="1" applyProtection="1"/>
    <xf numFmtId="43" fontId="30" fillId="93" borderId="36" xfId="0" applyNumberFormat="1" applyFont="1" applyFill="1" applyBorder="1" applyAlignment="1" applyProtection="1">
      <protection locked="0"/>
    </xf>
    <xf numFmtId="189" fontId="30" fillId="93" borderId="0" xfId="0" applyNumberFormat="1" applyFont="1" applyFill="1" applyBorder="1" applyAlignment="1" applyProtection="1">
      <protection locked="0"/>
    </xf>
    <xf numFmtId="43" fontId="71" fillId="93" borderId="36" xfId="0" applyNumberFormat="1" applyFont="1" applyFill="1" applyBorder="1" applyAlignment="1" applyProtection="1">
      <protection locked="0"/>
    </xf>
    <xf numFmtId="43" fontId="182" fillId="93" borderId="36" xfId="0" applyNumberFormat="1" applyFont="1" applyFill="1" applyBorder="1" applyAlignment="1" applyProtection="1">
      <protection locked="0"/>
    </xf>
    <xf numFmtId="187" fontId="183" fillId="93" borderId="0" xfId="0" applyNumberFormat="1" applyFont="1" applyFill="1" applyBorder="1" applyAlignment="1" applyProtection="1">
      <protection locked="0"/>
    </xf>
    <xf numFmtId="0" fontId="12" fillId="93" borderId="0" xfId="0" applyNumberFormat="1" applyFont="1" applyFill="1" applyBorder="1" applyAlignment="1" applyProtection="1"/>
    <xf numFmtId="0" fontId="12" fillId="93" borderId="21" xfId="0" applyNumberFormat="1" applyFont="1" applyFill="1" applyBorder="1" applyAlignment="1" applyProtection="1"/>
    <xf numFmtId="0" fontId="75" fillId="93" borderId="36" xfId="0" applyNumberFormat="1" applyFont="1" applyFill="1" applyBorder="1" applyAlignment="1" applyProtection="1">
      <protection locked="0"/>
    </xf>
    <xf numFmtId="0" fontId="75" fillId="93" borderId="0" xfId="0" applyNumberFormat="1" applyFont="1" applyFill="1" applyBorder="1" applyAlignment="1" applyProtection="1">
      <protection locked="0"/>
    </xf>
    <xf numFmtId="0" fontId="180" fillId="93" borderId="36" xfId="0" applyNumberFormat="1" applyFont="1" applyFill="1" applyBorder="1" applyAlignment="1" applyProtection="1">
      <protection locked="0"/>
    </xf>
    <xf numFmtId="0" fontId="180" fillId="93" borderId="0" xfId="0" applyNumberFormat="1" applyFont="1" applyFill="1" applyBorder="1" applyAlignment="1" applyProtection="1">
      <protection locked="0"/>
    </xf>
    <xf numFmtId="0" fontId="30" fillId="93" borderId="21" xfId="0" applyNumberFormat="1" applyFont="1" applyFill="1" applyBorder="1" applyAlignment="1" applyProtection="1"/>
    <xf numFmtId="0" fontId="184" fillId="93" borderId="35" xfId="0" applyNumberFormat="1" applyFont="1" applyFill="1" applyBorder="1" applyAlignment="1" applyProtection="1"/>
    <xf numFmtId="0" fontId="75" fillId="93" borderId="36" xfId="0" applyNumberFormat="1" applyFont="1" applyFill="1" applyBorder="1" applyAlignment="1" applyProtection="1"/>
    <xf numFmtId="0" fontId="75" fillId="93" borderId="0" xfId="0" applyNumberFormat="1" applyFont="1" applyFill="1" applyBorder="1" applyAlignment="1" applyProtection="1"/>
    <xf numFmtId="3" fontId="71" fillId="93" borderId="0" xfId="0" applyNumberFormat="1" applyFont="1" applyFill="1" applyBorder="1" applyAlignment="1" applyProtection="1"/>
    <xf numFmtId="3" fontId="30" fillId="93" borderId="0" xfId="0" applyNumberFormat="1" applyFont="1" applyFill="1" applyBorder="1" applyAlignment="1" applyProtection="1"/>
    <xf numFmtId="0" fontId="30" fillId="93" borderId="21" xfId="0" applyNumberFormat="1" applyFont="1" applyFill="1" applyBorder="1" applyAlignment="1" applyProtection="1">
      <alignment horizontal="left" indent="1"/>
    </xf>
    <xf numFmtId="3" fontId="75" fillId="93" borderId="0" xfId="0" applyNumberFormat="1" applyFont="1" applyFill="1" applyBorder="1" applyAlignment="1" applyProtection="1"/>
    <xf numFmtId="1" fontId="75" fillId="93" borderId="0" xfId="0" applyNumberFormat="1" applyFont="1" applyFill="1" applyBorder="1" applyAlignment="1" applyProtection="1">
      <protection locked="0"/>
    </xf>
    <xf numFmtId="3" fontId="180" fillId="93" borderId="36" xfId="0" applyNumberFormat="1" applyFont="1" applyFill="1" applyBorder="1" applyAlignment="1" applyProtection="1"/>
    <xf numFmtId="3" fontId="180" fillId="93" borderId="0" xfId="0" applyNumberFormat="1" applyFont="1" applyFill="1" applyBorder="1" applyAlignment="1" applyProtection="1"/>
    <xf numFmtId="0" fontId="12" fillId="93" borderId="18" xfId="0" applyNumberFormat="1" applyFont="1" applyFill="1" applyBorder="1" applyAlignment="1" applyProtection="1"/>
    <xf numFmtId="0" fontId="12" fillId="93" borderId="0" xfId="0" applyNumberFormat="1" applyFont="1" applyFill="1" applyBorder="1" applyAlignment="1" applyProtection="1">
      <protection locked="0"/>
    </xf>
    <xf numFmtId="0" fontId="30" fillId="93" borderId="126" xfId="0" applyNumberFormat="1" applyFont="1" applyFill="1" applyBorder="1" applyAlignment="1" applyProtection="1"/>
    <xf numFmtId="0" fontId="61" fillId="92" borderId="0" xfId="0" applyNumberFormat="1" applyFont="1" applyFill="1" applyBorder="1" applyAlignment="1" applyProtection="1"/>
    <xf numFmtId="0" fontId="30" fillId="93" borderId="35" xfId="0" applyNumberFormat="1" applyFont="1" applyFill="1" applyBorder="1" applyAlignment="1" applyProtection="1"/>
    <xf numFmtId="4" fontId="30" fillId="93" borderId="0" xfId="0" applyNumberFormat="1" applyFont="1" applyFill="1" applyBorder="1" applyAlignment="1" applyProtection="1"/>
    <xf numFmtId="0" fontId="12" fillId="93" borderId="35" xfId="0" applyNumberFormat="1" applyFont="1" applyFill="1" applyBorder="1" applyAlignment="1" applyProtection="1"/>
    <xf numFmtId="175" fontId="75" fillId="93" borderId="0" xfId="0" applyNumberFormat="1" applyFont="1" applyFill="1" applyBorder="1" applyAlignment="1" applyProtection="1"/>
    <xf numFmtId="4" fontId="75" fillId="93" borderId="0" xfId="0" applyNumberFormat="1" applyFont="1" applyFill="1" applyBorder="1" applyAlignment="1" applyProtection="1"/>
    <xf numFmtId="4" fontId="12" fillId="93" borderId="0" xfId="0" applyNumberFormat="1" applyFont="1" applyFill="1" applyBorder="1" applyAlignment="1" applyProtection="1"/>
    <xf numFmtId="9" fontId="75" fillId="93" borderId="0" xfId="0" applyNumberFormat="1" applyFont="1" applyFill="1" applyBorder="1" applyAlignment="1" applyProtection="1"/>
    <xf numFmtId="0" fontId="12" fillId="93" borderId="128" xfId="0" applyNumberFormat="1" applyFont="1" applyFill="1" applyBorder="1" applyAlignment="1" applyProtection="1"/>
    <xf numFmtId="0" fontId="12" fillId="93" borderId="124" xfId="0" applyNumberFormat="1" applyFont="1" applyFill="1" applyBorder="1" applyAlignment="1" applyProtection="1"/>
    <xf numFmtId="195" fontId="75" fillId="93" borderId="125" xfId="0" applyNumberFormat="1" applyFont="1" applyFill="1" applyBorder="1" applyAlignment="1" applyProtection="1"/>
    <xf numFmtId="192" fontId="12" fillId="93" borderId="0" xfId="0" applyNumberFormat="1" applyFont="1" applyFill="1" applyBorder="1" applyAlignment="1" applyProtection="1"/>
    <xf numFmtId="180" fontId="75" fillId="93" borderId="0" xfId="0" applyNumberFormat="1" applyFont="1" applyFill="1" applyBorder="1" applyAlignment="1" applyProtection="1"/>
    <xf numFmtId="43" fontId="66" fillId="93" borderId="36" xfId="0" applyNumberFormat="1" applyFont="1" applyFill="1" applyBorder="1" applyAlignment="1" applyProtection="1">
      <protection locked="0"/>
    </xf>
    <xf numFmtId="43" fontId="66" fillId="93" borderId="0" xfId="0" applyNumberFormat="1" applyFont="1" applyFill="1" applyBorder="1" applyAlignment="1" applyProtection="1">
      <protection locked="0"/>
    </xf>
    <xf numFmtId="0" fontId="30" fillId="93" borderId="128" xfId="0" applyNumberFormat="1" applyFont="1" applyFill="1" applyBorder="1" applyAlignment="1" applyProtection="1"/>
    <xf numFmtId="0" fontId="30" fillId="93" borderId="124" xfId="0" applyNumberFormat="1" applyFont="1" applyFill="1" applyBorder="1" applyAlignment="1" applyProtection="1"/>
    <xf numFmtId="192" fontId="75" fillId="93" borderId="125" xfId="0" applyNumberFormat="1" applyFont="1" applyFill="1" applyBorder="1" applyAlignment="1" applyProtection="1"/>
    <xf numFmtId="0" fontId="181" fillId="93" borderId="125" xfId="0" applyNumberFormat="1" applyFont="1" applyFill="1" applyBorder="1" applyAlignment="1" applyProtection="1"/>
    <xf numFmtId="193" fontId="30" fillId="92" borderId="0" xfId="0" applyNumberFormat="1" applyFont="1" applyFill="1" applyBorder="1" applyAlignment="1" applyProtection="1"/>
    <xf numFmtId="179" fontId="185" fillId="26" borderId="0" xfId="2572" applyFont="1" applyFill="1"/>
    <xf numFmtId="0" fontId="77" fillId="0" borderId="109" xfId="0" applyFont="1" applyBorder="1"/>
    <xf numFmtId="182" fontId="77" fillId="0" borderId="109" xfId="0" applyNumberFormat="1" applyFont="1" applyBorder="1"/>
    <xf numFmtId="1" fontId="77" fillId="0" borderId="109" xfId="0" applyNumberFormat="1" applyFont="1" applyBorder="1"/>
    <xf numFmtId="0" fontId="0" fillId="0" borderId="122" xfId="0" applyBorder="1"/>
    <xf numFmtId="0" fontId="42" fillId="38" borderId="0" xfId="0" applyFont="1" applyFill="1"/>
    <xf numFmtId="0" fontId="0" fillId="38" borderId="0" xfId="0" applyFill="1"/>
    <xf numFmtId="0" fontId="0" fillId="38" borderId="0" xfId="0" applyFill="1" applyBorder="1"/>
    <xf numFmtId="182" fontId="77" fillId="38" borderId="0" xfId="0" applyNumberFormat="1" applyFont="1" applyFill="1"/>
    <xf numFmtId="0" fontId="77" fillId="38" borderId="109" xfId="0" applyFont="1" applyFill="1" applyBorder="1"/>
    <xf numFmtId="195" fontId="77" fillId="38" borderId="17" xfId="0" applyNumberFormat="1" applyFont="1" applyFill="1" applyBorder="1"/>
    <xf numFmtId="169" fontId="77" fillId="38" borderId="0" xfId="0" applyNumberFormat="1" applyFont="1" applyFill="1"/>
    <xf numFmtId="195" fontId="77" fillId="38" borderId="0" xfId="0" applyNumberFormat="1" applyFont="1" applyFill="1" applyBorder="1"/>
    <xf numFmtId="1" fontId="77" fillId="38" borderId="0" xfId="0" applyNumberFormat="1" applyFont="1" applyFill="1"/>
    <xf numFmtId="177" fontId="77" fillId="38" borderId="0" xfId="0" applyNumberFormat="1" applyFont="1" applyFill="1" applyBorder="1"/>
    <xf numFmtId="177" fontId="77" fillId="38" borderId="0" xfId="0" applyNumberFormat="1" applyFont="1" applyFill="1"/>
    <xf numFmtId="2" fontId="0" fillId="0" borderId="0" xfId="0" applyNumberFormat="1" applyFill="1"/>
    <xf numFmtId="2" fontId="0" fillId="0" borderId="122" xfId="0" applyNumberFormat="1" applyFill="1" applyBorder="1"/>
    <xf numFmtId="2" fontId="77" fillId="0" borderId="122" xfId="0" applyNumberFormat="1" applyFont="1" applyFill="1" applyBorder="1"/>
    <xf numFmtId="2" fontId="77" fillId="38" borderId="122" xfId="0" applyNumberFormat="1" applyFont="1" applyFill="1" applyBorder="1"/>
    <xf numFmtId="14" fontId="0" fillId="0" borderId="0" xfId="0" applyNumberFormat="1"/>
    <xf numFmtId="1" fontId="170" fillId="0" borderId="26" xfId="0" applyNumberFormat="1" applyFont="1" applyBorder="1" applyAlignment="1">
      <alignment horizontal="center" vertical="center"/>
    </xf>
    <xf numFmtId="1" fontId="170" fillId="0" borderId="27" xfId="0" applyNumberFormat="1" applyFont="1" applyBorder="1" applyAlignment="1">
      <alignment horizontal="center" vertical="center"/>
    </xf>
    <xf numFmtId="0" fontId="2" fillId="45" borderId="92" xfId="3118" applyFont="1" applyBorder="1" applyAlignment="1">
      <alignment horizontal="center"/>
    </xf>
    <xf numFmtId="2" fontId="112" fillId="58" borderId="19" xfId="3108" applyNumberFormat="1" applyBorder="1" applyAlignment="1">
      <alignment horizontal="center" vertical="center"/>
    </xf>
    <xf numFmtId="2" fontId="172" fillId="0" borderId="19" xfId="3108" applyNumberFormat="1" applyFont="1" applyFill="1" applyBorder="1" applyAlignment="1">
      <alignment horizontal="center" vertical="center"/>
    </xf>
    <xf numFmtId="0" fontId="0" fillId="0" borderId="0" xfId="0" applyNumberFormat="1"/>
    <xf numFmtId="169" fontId="112" fillId="58" borderId="123" xfId="3108" applyNumberFormat="1" applyBorder="1" applyAlignment="1">
      <alignment horizontal="center" vertical="center"/>
    </xf>
    <xf numFmtId="169" fontId="112" fillId="58" borderId="129" xfId="3108" applyNumberFormat="1" applyBorder="1" applyAlignment="1">
      <alignment horizontal="center" vertical="center"/>
    </xf>
    <xf numFmtId="169" fontId="112" fillId="58" borderId="130" xfId="3108" applyNumberFormat="1" applyBorder="1" applyAlignment="1">
      <alignment horizontal="center" vertical="center"/>
    </xf>
    <xf numFmtId="169" fontId="112" fillId="58" borderId="120" xfId="3108" applyNumberFormat="1" applyBorder="1" applyAlignment="1">
      <alignment horizontal="center" vertical="center"/>
    </xf>
    <xf numFmtId="169" fontId="112" fillId="58" borderId="121" xfId="3108" applyNumberFormat="1" applyBorder="1" applyAlignment="1">
      <alignment horizontal="center" vertical="center"/>
    </xf>
    <xf numFmtId="169" fontId="170" fillId="0" borderId="123" xfId="0" applyNumberFormat="1" applyFont="1" applyFill="1" applyBorder="1" applyAlignment="1">
      <alignment horizontal="center" vertical="center"/>
    </xf>
    <xf numFmtId="169" fontId="186" fillId="58" borderId="80" xfId="3108" applyNumberFormat="1" applyFont="1" applyBorder="1" applyAlignment="1">
      <alignment vertical="center"/>
    </xf>
    <xf numFmtId="169" fontId="186" fillId="58" borderId="18" xfId="3108" applyNumberFormat="1" applyFont="1" applyBorder="1" applyAlignment="1">
      <alignment horizontal="center" vertical="center"/>
    </xf>
    <xf numFmtId="169" fontId="186" fillId="58" borderId="81" xfId="3108" applyNumberFormat="1" applyFont="1" applyBorder="1" applyAlignment="1">
      <alignment vertical="center"/>
    </xf>
    <xf numFmtId="169" fontId="186" fillId="58" borderId="23" xfId="3108" applyNumberFormat="1" applyFont="1" applyBorder="1" applyAlignment="1">
      <alignment horizontal="center" vertical="center"/>
    </xf>
    <xf numFmtId="169" fontId="186" fillId="58" borderId="86" xfId="3108" applyNumberFormat="1" applyFont="1" applyBorder="1" applyAlignment="1">
      <alignment vertical="center"/>
    </xf>
    <xf numFmtId="169" fontId="186" fillId="58" borderId="123" xfId="3108" applyNumberFormat="1" applyFont="1" applyBorder="1" applyAlignment="1">
      <alignment horizontal="center" vertical="center"/>
    </xf>
    <xf numFmtId="169" fontId="120" fillId="30" borderId="80" xfId="3108" applyNumberFormat="1" applyFont="1" applyFill="1" applyBorder="1" applyAlignment="1">
      <alignment vertical="center"/>
    </xf>
    <xf numFmtId="169" fontId="120" fillId="30" borderId="18" xfId="3108" applyNumberFormat="1" applyFont="1" applyFill="1" applyBorder="1" applyAlignment="1">
      <alignment horizontal="center" vertical="center"/>
    </xf>
    <xf numFmtId="169" fontId="120" fillId="30" borderId="81" xfId="3108" applyNumberFormat="1" applyFont="1" applyFill="1" applyBorder="1" applyAlignment="1">
      <alignment vertical="center"/>
    </xf>
    <xf numFmtId="169" fontId="120" fillId="30" borderId="23" xfId="3108" applyNumberFormat="1" applyFont="1" applyFill="1" applyBorder="1" applyAlignment="1">
      <alignment horizontal="center" vertical="center"/>
    </xf>
    <xf numFmtId="169" fontId="120" fillId="30" borderId="86" xfId="3108" applyNumberFormat="1" applyFont="1" applyFill="1" applyBorder="1" applyAlignment="1">
      <alignment vertical="center"/>
    </xf>
    <xf numFmtId="169" fontId="120" fillId="30" borderId="123" xfId="3108" applyNumberFormat="1" applyFont="1" applyFill="1" applyBorder="1" applyAlignment="1">
      <alignment horizontal="center" vertical="center"/>
    </xf>
    <xf numFmtId="169" fontId="120" fillId="0" borderId="90" xfId="0" applyNumberFormat="1" applyFont="1" applyFill="1" applyBorder="1" applyAlignment="1">
      <alignment horizontal="center" vertical="center"/>
    </xf>
    <xf numFmtId="169" fontId="170" fillId="0" borderId="0" xfId="40421" applyNumberFormat="1" applyFont="1" applyAlignment="1">
      <alignment horizontal="right" vertical="center"/>
    </xf>
    <xf numFmtId="2" fontId="170" fillId="89" borderId="0" xfId="40421" applyNumberFormat="1" applyFont="1" applyFill="1" applyAlignment="1">
      <alignment horizontal="center" vertical="center"/>
    </xf>
    <xf numFmtId="169" fontId="170" fillId="0" borderId="0" xfId="40421" applyNumberFormat="1" applyFont="1" applyAlignment="1">
      <alignment horizontal="center" vertical="center"/>
    </xf>
    <xf numFmtId="169" fontId="112" fillId="58" borderId="7" xfId="3108" applyNumberFormat="1" applyFont="1" applyBorder="1" applyAlignment="1">
      <alignment horizontal="center" vertical="center"/>
    </xf>
    <xf numFmtId="169" fontId="170" fillId="0" borderId="7" xfId="0" applyNumberFormat="1" applyFont="1" applyFill="1" applyBorder="1" applyAlignment="1">
      <alignment horizontal="center" vertical="center"/>
    </xf>
    <xf numFmtId="169" fontId="2" fillId="0" borderId="7" xfId="3108" applyNumberFormat="1" applyFont="1" applyFill="1" applyBorder="1" applyAlignment="1">
      <alignment horizontal="center" vertical="center"/>
    </xf>
    <xf numFmtId="2" fontId="2" fillId="0" borderId="7" xfId="3108" applyNumberFormat="1" applyFont="1" applyFill="1" applyBorder="1" applyAlignment="1">
      <alignment horizontal="center" vertical="center"/>
    </xf>
    <xf numFmtId="185" fontId="104" fillId="0" borderId="0" xfId="0" applyNumberFormat="1" applyFont="1" applyBorder="1" applyAlignment="1">
      <alignment horizontal="center" vertical="center"/>
    </xf>
    <xf numFmtId="2" fontId="112" fillId="58" borderId="129" xfId="3108" applyNumberFormat="1" applyFont="1" applyBorder="1" applyAlignment="1">
      <alignment horizontal="center" vertical="center"/>
    </xf>
    <xf numFmtId="2" fontId="112" fillId="58" borderId="122" xfId="3108" applyNumberFormat="1" applyFont="1" applyBorder="1" applyAlignment="1">
      <alignment horizontal="center" vertical="center"/>
    </xf>
    <xf numFmtId="2" fontId="112" fillId="58" borderId="123" xfId="3108" applyNumberFormat="1" applyFont="1" applyBorder="1" applyAlignment="1">
      <alignment horizontal="center" vertical="center"/>
    </xf>
    <xf numFmtId="2" fontId="170" fillId="2" borderId="127" xfId="0" applyNumberFormat="1" applyFont="1" applyFill="1" applyBorder="1" applyAlignment="1">
      <alignment horizontal="left"/>
    </xf>
    <xf numFmtId="2" fontId="170" fillId="0" borderId="7" xfId="0" applyNumberFormat="1" applyFont="1" applyFill="1" applyBorder="1" applyAlignment="1">
      <alignment horizontal="left"/>
    </xf>
    <xf numFmtId="2" fontId="170" fillId="0" borderId="129" xfId="0" applyNumberFormat="1" applyFont="1" applyFill="1" applyBorder="1" applyAlignment="1">
      <alignment horizontal="center" vertical="center"/>
    </xf>
    <xf numFmtId="2" fontId="170" fillId="0" borderId="122" xfId="0" applyNumberFormat="1" applyFont="1" applyFill="1" applyBorder="1" applyAlignment="1">
      <alignment horizontal="center" vertical="center"/>
    </xf>
    <xf numFmtId="2" fontId="170" fillId="0" borderId="123" xfId="0" applyNumberFormat="1" applyFont="1" applyFill="1" applyBorder="1" applyAlignment="1">
      <alignment horizontal="center" vertical="center"/>
    </xf>
    <xf numFmtId="2" fontId="170" fillId="0" borderId="122" xfId="0" applyNumberFormat="1" applyFont="1" applyFill="1" applyBorder="1" applyAlignment="1">
      <alignment horizontal="left"/>
    </xf>
    <xf numFmtId="2" fontId="170" fillId="0" borderId="127" xfId="0" applyNumberFormat="1" applyFont="1" applyFill="1" applyBorder="1" applyAlignment="1">
      <alignment horizontal="left"/>
    </xf>
    <xf numFmtId="2" fontId="170" fillId="0" borderId="127" xfId="0" applyNumberFormat="1" applyFont="1" applyFill="1" applyBorder="1" applyAlignment="1">
      <alignment horizontal="center" vertical="center"/>
    </xf>
    <xf numFmtId="2" fontId="170" fillId="0" borderId="127" xfId="0" applyNumberFormat="1" applyFont="1" applyFill="1" applyBorder="1" applyAlignment="1">
      <alignment horizontal="left" vertical="center"/>
    </xf>
    <xf numFmtId="2" fontId="170" fillId="2" borderId="7" xfId="0" applyNumberFormat="1" applyFont="1" applyFill="1" applyBorder="1" applyAlignment="1">
      <alignment horizontal="left" vertical="center"/>
    </xf>
    <xf numFmtId="2" fontId="112" fillId="58" borderId="125" xfId="3108" applyNumberFormat="1" applyBorder="1" applyAlignment="1">
      <alignment horizontal="center" vertical="center"/>
    </xf>
    <xf numFmtId="2" fontId="172" fillId="0" borderId="129" xfId="3108" applyNumberFormat="1" applyFont="1" applyFill="1" applyBorder="1" applyAlignment="1">
      <alignment horizontal="center" vertical="center"/>
    </xf>
    <xf numFmtId="2" fontId="172" fillId="0" borderId="130" xfId="3108" applyNumberFormat="1" applyFont="1" applyFill="1" applyBorder="1" applyAlignment="1">
      <alignment horizontal="center" vertical="center"/>
    </xf>
    <xf numFmtId="2" fontId="172" fillId="0" borderId="120" xfId="3108" applyNumberFormat="1" applyFont="1" applyFill="1" applyBorder="1" applyAlignment="1">
      <alignment horizontal="center" vertical="center"/>
    </xf>
    <xf numFmtId="2" fontId="170" fillId="0" borderId="125" xfId="3108" applyNumberFormat="1" applyFont="1" applyFill="1" applyBorder="1" applyAlignment="1">
      <alignment horizontal="center" vertical="center"/>
    </xf>
    <xf numFmtId="2" fontId="12" fillId="0" borderId="51" xfId="0" applyNumberFormat="1" applyFont="1" applyBorder="1"/>
    <xf numFmtId="0" fontId="36" fillId="37" borderId="121" xfId="0" applyFont="1" applyFill="1" applyBorder="1" applyAlignment="1">
      <alignment horizontal="right"/>
    </xf>
    <xf numFmtId="0" fontId="0" fillId="37" borderId="122" xfId="0" applyFill="1" applyBorder="1"/>
    <xf numFmtId="0" fontId="0" fillId="37" borderId="120" xfId="0" applyFill="1" applyBorder="1"/>
    <xf numFmtId="0" fontId="0" fillId="34" borderId="0" xfId="0" applyFill="1"/>
    <xf numFmtId="0" fontId="30" fillId="36" borderId="109" xfId="0" applyFont="1" applyFill="1" applyBorder="1" applyAlignment="1">
      <alignment horizontal="left" vertical="center" wrapText="1"/>
    </xf>
    <xf numFmtId="2" fontId="77" fillId="0" borderId="109" xfId="0" applyNumberFormat="1" applyFont="1" applyBorder="1"/>
    <xf numFmtId="2" fontId="77" fillId="38" borderId="109" xfId="0" applyNumberFormat="1" applyFont="1" applyFill="1" applyBorder="1"/>
    <xf numFmtId="0" fontId="72" fillId="36" borderId="109" xfId="0" applyFont="1" applyFill="1" applyBorder="1" applyAlignment="1">
      <alignment horizontal="center" vertical="center" wrapText="1"/>
    </xf>
    <xf numFmtId="0" fontId="30" fillId="94" borderId="109" xfId="0" applyFont="1" applyFill="1" applyBorder="1" applyAlignment="1">
      <alignment horizontal="left" vertical="center" wrapText="1"/>
    </xf>
    <xf numFmtId="0" fontId="0" fillId="43" borderId="121" xfId="0" applyFill="1" applyBorder="1" applyAlignment="1">
      <alignment horizontal="left"/>
    </xf>
    <xf numFmtId="0" fontId="0" fillId="43" borderId="122" xfId="0" applyFill="1" applyBorder="1" applyAlignment="1">
      <alignment horizontal="left"/>
    </xf>
    <xf numFmtId="0" fontId="0" fillId="43" borderId="120" xfId="0" applyFill="1" applyBorder="1" applyAlignment="1">
      <alignment horizontal="left"/>
    </xf>
    <xf numFmtId="43" fontId="0" fillId="0" borderId="0" xfId="0" applyNumberFormat="1"/>
    <xf numFmtId="168" fontId="74" fillId="0" borderId="0" xfId="0" applyNumberFormat="1" applyFont="1" applyFill="1" applyBorder="1" applyAlignment="1" applyProtection="1"/>
    <xf numFmtId="1" fontId="0" fillId="0" borderId="0" xfId="0" applyNumberFormat="1" applyFill="1"/>
    <xf numFmtId="0" fontId="12" fillId="0" borderId="109" xfId="0" applyFont="1" applyBorder="1"/>
    <xf numFmtId="0" fontId="0" fillId="0" borderId="109" xfId="0" applyFill="1" applyBorder="1"/>
    <xf numFmtId="182" fontId="12" fillId="0" borderId="109" xfId="0" applyNumberFormat="1" applyFont="1" applyBorder="1"/>
    <xf numFmtId="1" fontId="0" fillId="0" borderId="109" xfId="0" applyNumberFormat="1" applyBorder="1" applyAlignment="1" applyProtection="1">
      <alignment horizontal="right"/>
    </xf>
    <xf numFmtId="0" fontId="0" fillId="0" borderId="109" xfId="0" applyNumberFormat="1" applyBorder="1"/>
    <xf numFmtId="169" fontId="0" fillId="0" borderId="109" xfId="0" applyNumberFormat="1" applyFill="1" applyBorder="1"/>
    <xf numFmtId="198" fontId="12" fillId="0" borderId="109" xfId="0" applyNumberFormat="1" applyFont="1" applyBorder="1"/>
    <xf numFmtId="1" fontId="0" fillId="0" borderId="109" xfId="0" applyNumberFormat="1" applyBorder="1"/>
    <xf numFmtId="182" fontId="30" fillId="36" borderId="109" xfId="0" applyNumberFormat="1" applyFont="1" applyFill="1" applyBorder="1" applyAlignment="1">
      <alignment horizontal="left" vertical="center" wrapText="1"/>
    </xf>
    <xf numFmtId="169" fontId="0" fillId="0" borderId="0" xfId="0" applyNumberFormat="1" applyFill="1" applyBorder="1"/>
    <xf numFmtId="168" fontId="0" fillId="0" borderId="0" xfId="0" applyNumberFormat="1"/>
    <xf numFmtId="0" fontId="74" fillId="0" borderId="0" xfId="0" applyFont="1"/>
    <xf numFmtId="0" fontId="74" fillId="0" borderId="109" xfId="0" applyFont="1" applyBorder="1"/>
    <xf numFmtId="2" fontId="12" fillId="0" borderId="0" xfId="0" applyNumberFormat="1" applyFont="1" applyFill="1" applyBorder="1"/>
    <xf numFmtId="0" fontId="0" fillId="0" borderId="26" xfId="0" applyBorder="1"/>
    <xf numFmtId="0" fontId="0" fillId="0" borderId="27" xfId="0" applyBorder="1"/>
    <xf numFmtId="0" fontId="0" fillId="0" borderId="28" xfId="0" applyBorder="1"/>
    <xf numFmtId="0" fontId="0" fillId="0" borderId="21" xfId="0" applyBorder="1"/>
    <xf numFmtId="169" fontId="0" fillId="0" borderId="0" xfId="0" applyNumberFormat="1" applyBorder="1"/>
    <xf numFmtId="0" fontId="0" fillId="0" borderId="18" xfId="0" applyBorder="1"/>
    <xf numFmtId="2" fontId="0" fillId="0" borderId="18" xfId="0" applyNumberFormat="1" applyBorder="1"/>
    <xf numFmtId="0" fontId="11" fillId="0" borderId="0" xfId="40426" applyFont="1" applyBorder="1" applyAlignment="1">
      <alignment horizontal="left"/>
    </xf>
    <xf numFmtId="0" fontId="1" fillId="0" borderId="0" xfId="40426" applyBorder="1" applyAlignment="1">
      <alignment horizontal="center"/>
    </xf>
    <xf numFmtId="0" fontId="1" fillId="0" borderId="0" xfId="40426" applyBorder="1"/>
    <xf numFmtId="0" fontId="1" fillId="0" borderId="0" xfId="40426" applyFill="1" applyBorder="1"/>
    <xf numFmtId="0" fontId="95" fillId="0" borderId="0" xfId="40426" applyFont="1" applyFill="1" applyBorder="1" applyAlignment="1">
      <alignment horizontal="left" wrapText="1"/>
    </xf>
    <xf numFmtId="169" fontId="1" fillId="0" borderId="0" xfId="40426" applyNumberFormat="1" applyBorder="1"/>
    <xf numFmtId="0" fontId="0" fillId="0" borderId="128" xfId="0" applyBorder="1"/>
    <xf numFmtId="0" fontId="0" fillId="0" borderId="125" xfId="0" applyBorder="1"/>
    <xf numFmtId="0" fontId="95" fillId="0" borderId="125" xfId="40426" applyFont="1" applyFill="1" applyBorder="1" applyAlignment="1">
      <alignment horizontal="left" wrapText="1"/>
    </xf>
    <xf numFmtId="169" fontId="0" fillId="0" borderId="125" xfId="0" applyNumberFormat="1" applyBorder="1"/>
    <xf numFmtId="0" fontId="0" fillId="0" borderId="126" xfId="0" applyBorder="1"/>
    <xf numFmtId="0" fontId="168" fillId="0" borderId="122" xfId="0" applyFont="1" applyBorder="1"/>
    <xf numFmtId="0" fontId="77" fillId="38" borderId="122" xfId="0" applyFont="1" applyFill="1" applyBorder="1"/>
    <xf numFmtId="0" fontId="77" fillId="0" borderId="122" xfId="0" applyFont="1" applyBorder="1"/>
    <xf numFmtId="195" fontId="77" fillId="38" borderId="109" xfId="0" applyNumberFormat="1" applyFont="1" applyFill="1" applyBorder="1"/>
    <xf numFmtId="1" fontId="168" fillId="0" borderId="122" xfId="0" applyNumberFormat="1" applyFont="1" applyBorder="1"/>
    <xf numFmtId="1" fontId="77" fillId="38" borderId="109" xfId="0" applyNumberFormat="1" applyFont="1" applyFill="1" applyBorder="1"/>
    <xf numFmtId="0" fontId="30" fillId="36" borderId="97" xfId="0" applyFont="1" applyFill="1" applyBorder="1" applyAlignment="1">
      <alignment horizontal="left" vertical="center" wrapText="1"/>
    </xf>
    <xf numFmtId="0" fontId="12" fillId="0" borderId="0" xfId="0" applyFont="1" applyBorder="1" applyAlignment="1">
      <alignment wrapText="1"/>
    </xf>
    <xf numFmtId="2" fontId="0" fillId="36" borderId="0" xfId="0" applyNumberFormat="1" applyFill="1"/>
    <xf numFmtId="2" fontId="0" fillId="36" borderId="122" xfId="0" applyNumberFormat="1" applyFill="1" applyBorder="1"/>
    <xf numFmtId="2" fontId="77" fillId="36" borderId="0" xfId="0" applyNumberFormat="1" applyFont="1" applyFill="1" applyBorder="1"/>
    <xf numFmtId="2" fontId="77" fillId="36" borderId="122" xfId="0" applyNumberFormat="1" applyFont="1" applyFill="1" applyBorder="1"/>
    <xf numFmtId="170" fontId="77" fillId="38" borderId="109" xfId="0" applyNumberFormat="1" applyFont="1" applyFill="1" applyBorder="1"/>
    <xf numFmtId="170" fontId="77" fillId="38" borderId="122" xfId="0" applyNumberFormat="1" applyFont="1" applyFill="1" applyBorder="1"/>
    <xf numFmtId="0" fontId="36" fillId="38" borderId="0" xfId="0" applyFont="1" applyFill="1" applyBorder="1"/>
    <xf numFmtId="0" fontId="36" fillId="38" borderId="122" xfId="0" applyFont="1" applyFill="1" applyBorder="1"/>
    <xf numFmtId="2" fontId="0" fillId="95" borderId="0" xfId="0" applyNumberFormat="1" applyFill="1"/>
    <xf numFmtId="2" fontId="0" fillId="95" borderId="122" xfId="0" applyNumberFormat="1" applyFill="1" applyBorder="1"/>
    <xf numFmtId="2" fontId="0" fillId="95" borderId="0" xfId="0" applyNumberFormat="1" applyFill="1" applyBorder="1"/>
    <xf numFmtId="2" fontId="77" fillId="95" borderId="0" xfId="0" applyNumberFormat="1" applyFont="1" applyFill="1" applyBorder="1"/>
    <xf numFmtId="2" fontId="77" fillId="95" borderId="122" xfId="0" applyNumberFormat="1" applyFont="1" applyFill="1" applyBorder="1"/>
    <xf numFmtId="2" fontId="77" fillId="95" borderId="109" xfId="0" applyNumberFormat="1" applyFont="1" applyFill="1" applyBorder="1"/>
    <xf numFmtId="2" fontId="12" fillId="36" borderId="0" xfId="0" applyNumberFormat="1" applyFont="1" applyFill="1" applyBorder="1"/>
    <xf numFmtId="0" fontId="0" fillId="43" borderId="93" xfId="0" applyFill="1" applyBorder="1" applyAlignment="1">
      <alignment horizontal="left"/>
    </xf>
    <xf numFmtId="0" fontId="0" fillId="43" borderId="97" xfId="0" applyFill="1" applyBorder="1" applyAlignment="1">
      <alignment horizontal="left"/>
    </xf>
    <xf numFmtId="0" fontId="0" fillId="43" borderId="91" xfId="0" applyFill="1" applyBorder="1" applyAlignment="1">
      <alignment horizontal="left"/>
    </xf>
    <xf numFmtId="168" fontId="0" fillId="0" borderId="109" xfId="0" applyNumberFormat="1" applyBorder="1"/>
    <xf numFmtId="182" fontId="0" fillId="0" borderId="109" xfId="0" applyNumberFormat="1" applyFill="1" applyBorder="1"/>
    <xf numFmtId="182" fontId="12" fillId="0" borderId="109" xfId="0" applyNumberFormat="1" applyFont="1" applyFill="1" applyBorder="1"/>
    <xf numFmtId="1" fontId="12" fillId="0" borderId="0" xfId="0" applyNumberFormat="1" applyFont="1" applyBorder="1"/>
    <xf numFmtId="1" fontId="12" fillId="0" borderId="109" xfId="0" applyNumberFormat="1" applyFont="1" applyBorder="1"/>
    <xf numFmtId="186" fontId="12" fillId="2" borderId="36" xfId="2572" applyNumberFormat="1" applyFont="1" applyFill="1" applyBorder="1" applyProtection="1">
      <protection locked="0"/>
    </xf>
    <xf numFmtId="186" fontId="30" fillId="2" borderId="36" xfId="2572" applyNumberFormat="1" applyFill="1" applyBorder="1" applyProtection="1">
      <protection locked="0"/>
    </xf>
    <xf numFmtId="168" fontId="12" fillId="0" borderId="0" xfId="0" applyNumberFormat="1" applyFont="1" applyFill="1" applyBorder="1"/>
    <xf numFmtId="168" fontId="12" fillId="0" borderId="0" xfId="0" applyNumberFormat="1" applyFont="1"/>
    <xf numFmtId="0" fontId="30" fillId="0" borderId="0" xfId="0" applyFont="1" applyFill="1" applyBorder="1" applyAlignment="1">
      <alignment horizontal="left" vertical="center" wrapText="1"/>
    </xf>
    <xf numFmtId="170" fontId="0" fillId="0" borderId="0" xfId="0" applyNumberFormat="1" applyFill="1" applyBorder="1"/>
    <xf numFmtId="14" fontId="12" fillId="0" borderId="0" xfId="0" applyNumberFormat="1" applyFont="1"/>
    <xf numFmtId="43" fontId="68" fillId="36" borderId="36" xfId="2572" applyNumberFormat="1" applyFont="1" applyFill="1" applyBorder="1" applyProtection="1">
      <protection locked="0"/>
    </xf>
    <xf numFmtId="180" fontId="77" fillId="36" borderId="27" xfId="2572" applyNumberFormat="1" applyFont="1" applyFill="1" applyBorder="1" applyProtection="1">
      <protection locked="0"/>
    </xf>
    <xf numFmtId="0" fontId="0" fillId="36" borderId="0" xfId="0" applyFill="1" applyBorder="1"/>
    <xf numFmtId="2" fontId="0" fillId="36" borderId="0" xfId="0" applyNumberFormat="1" applyFill="1" applyBorder="1"/>
    <xf numFmtId="0" fontId="95" fillId="0" borderId="27" xfId="40426" applyFont="1" applyFill="1" applyBorder="1" applyAlignment="1">
      <alignment horizontal="left" wrapText="1"/>
    </xf>
    <xf numFmtId="0" fontId="42" fillId="0" borderId="21" xfId="0" applyFont="1" applyBorder="1"/>
    <xf numFmtId="0" fontId="12" fillId="0" borderId="21" xfId="0" applyFont="1" applyBorder="1"/>
    <xf numFmtId="0" fontId="0" fillId="36" borderId="21" xfId="0" applyFill="1" applyBorder="1"/>
    <xf numFmtId="0" fontId="0" fillId="36" borderId="18" xfId="0" applyFill="1" applyBorder="1"/>
    <xf numFmtId="0" fontId="0" fillId="0" borderId="0" xfId="0" applyFont="1" applyFill="1" applyBorder="1"/>
    <xf numFmtId="0" fontId="0" fillId="0" borderId="21" xfId="0" applyFill="1" applyBorder="1"/>
    <xf numFmtId="0" fontId="0" fillId="0" borderId="19" xfId="0" applyBorder="1"/>
    <xf numFmtId="0" fontId="0" fillId="0" borderId="20" xfId="0" applyBorder="1"/>
    <xf numFmtId="2" fontId="0" fillId="96" borderId="0" xfId="0" applyNumberFormat="1" applyFill="1" applyBorder="1"/>
    <xf numFmtId="0" fontId="12" fillId="0" borderId="109" xfId="0" applyFont="1" applyFill="1" applyBorder="1"/>
    <xf numFmtId="0" fontId="77" fillId="0" borderId="109" xfId="0" applyFont="1" applyFill="1" applyBorder="1"/>
    <xf numFmtId="2" fontId="124" fillId="36" borderId="0" xfId="0" applyNumberFormat="1" applyFont="1" applyFill="1" applyBorder="1"/>
    <xf numFmtId="169" fontId="120" fillId="0" borderId="76" xfId="0" applyNumberFormat="1" applyFont="1" applyBorder="1" applyAlignment="1">
      <alignment horizontal="center" vertical="center"/>
    </xf>
    <xf numFmtId="2" fontId="74" fillId="36" borderId="51" xfId="0" applyNumberFormat="1" applyFont="1" applyFill="1" applyBorder="1"/>
    <xf numFmtId="0" fontId="74" fillId="36" borderId="0" xfId="0" applyFont="1" applyFill="1"/>
    <xf numFmtId="2" fontId="0" fillId="36" borderId="29" xfId="0" applyNumberFormat="1" applyFill="1" applyBorder="1"/>
    <xf numFmtId="0" fontId="0" fillId="0" borderId="18" xfId="0" applyFill="1" applyBorder="1"/>
    <xf numFmtId="0" fontId="12" fillId="0" borderId="18" xfId="0" applyFont="1" applyFill="1" applyBorder="1"/>
    <xf numFmtId="0" fontId="77" fillId="0" borderId="0" xfId="0" applyFont="1" applyFill="1" applyBorder="1"/>
    <xf numFmtId="0" fontId="0" fillId="0" borderId="122" xfId="0" applyFill="1" applyBorder="1"/>
    <xf numFmtId="2" fontId="12" fillId="36" borderId="122" xfId="0" applyNumberFormat="1" applyFont="1" applyFill="1" applyBorder="1"/>
    <xf numFmtId="1" fontId="0" fillId="0" borderId="122" xfId="0" applyNumberFormat="1" applyFill="1" applyBorder="1"/>
    <xf numFmtId="1" fontId="77" fillId="0" borderId="122" xfId="0" applyNumberFormat="1" applyFont="1" applyBorder="1"/>
    <xf numFmtId="0" fontId="74" fillId="0" borderId="0" xfId="0" applyFont="1" applyFill="1"/>
    <xf numFmtId="0" fontId="74" fillId="0" borderId="0" xfId="0" applyFont="1" applyFill="1" applyBorder="1"/>
    <xf numFmtId="0" fontId="74" fillId="0" borderId="17" xfId="0" applyFont="1" applyBorder="1"/>
    <xf numFmtId="1" fontId="74" fillId="0" borderId="17" xfId="0" applyNumberFormat="1" applyFont="1" applyBorder="1"/>
    <xf numFmtId="2" fontId="74" fillId="0" borderId="0" xfId="0" applyNumberFormat="1" applyFont="1" applyFill="1"/>
    <xf numFmtId="1" fontId="74" fillId="0" borderId="0" xfId="0" applyNumberFormat="1" applyFont="1" applyBorder="1"/>
    <xf numFmtId="169" fontId="74" fillId="0" borderId="0" xfId="0" applyNumberFormat="1" applyFont="1"/>
    <xf numFmtId="169" fontId="74" fillId="0" borderId="0" xfId="0" applyNumberFormat="1" applyFont="1" applyBorder="1"/>
    <xf numFmtId="2" fontId="74" fillId="0" borderId="0" xfId="0" applyNumberFormat="1" applyFont="1" applyFill="1" applyBorder="1"/>
    <xf numFmtId="0" fontId="74" fillId="0" borderId="122" xfId="0" applyFont="1" applyBorder="1"/>
    <xf numFmtId="2" fontId="74" fillId="0" borderId="122" xfId="0" applyNumberFormat="1" applyFont="1" applyFill="1" applyBorder="1"/>
    <xf numFmtId="1" fontId="77" fillId="36" borderId="0" xfId="0" applyNumberFormat="1" applyFont="1" applyFill="1" applyBorder="1"/>
    <xf numFmtId="0" fontId="0" fillId="36" borderId="122" xfId="0" applyFill="1" applyBorder="1"/>
    <xf numFmtId="1" fontId="77" fillId="36" borderId="122" xfId="0" applyNumberFormat="1" applyFont="1" applyFill="1" applyBorder="1"/>
    <xf numFmtId="1" fontId="0" fillId="36" borderId="0" xfId="0" applyNumberFormat="1" applyFill="1"/>
    <xf numFmtId="182" fontId="12" fillId="36" borderId="0" xfId="0" applyNumberFormat="1" applyFont="1" applyFill="1" applyBorder="1"/>
    <xf numFmtId="0" fontId="12" fillId="36" borderId="0" xfId="0" applyFont="1" applyFill="1" applyBorder="1"/>
    <xf numFmtId="1" fontId="0" fillId="36" borderId="0" xfId="0" applyNumberFormat="1" applyFill="1" applyAlignment="1" applyProtection="1"/>
    <xf numFmtId="0" fontId="0" fillId="36" borderId="0" xfId="0" applyNumberFormat="1" applyFill="1" applyBorder="1"/>
    <xf numFmtId="169" fontId="12" fillId="36" borderId="0" xfId="0" applyNumberFormat="1" applyFont="1" applyFill="1" applyBorder="1"/>
    <xf numFmtId="1" fontId="12" fillId="36" borderId="0" xfId="0" applyNumberFormat="1" applyFont="1" applyFill="1" applyBorder="1"/>
    <xf numFmtId="168" fontId="0" fillId="36" borderId="0" xfId="0" applyNumberFormat="1" applyFill="1"/>
    <xf numFmtId="169" fontId="0" fillId="36" borderId="0" xfId="0" applyNumberFormat="1" applyFill="1"/>
    <xf numFmtId="0" fontId="74" fillId="36" borderId="0" xfId="0" applyFont="1" applyFill="1" applyBorder="1"/>
    <xf numFmtId="1" fontId="74" fillId="36" borderId="0" xfId="0" applyNumberFormat="1" applyFont="1" applyFill="1"/>
    <xf numFmtId="169" fontId="74" fillId="36" borderId="0" xfId="0" applyNumberFormat="1" applyFont="1" applyFill="1"/>
    <xf numFmtId="0" fontId="93" fillId="0" borderId="0" xfId="40427"/>
    <xf numFmtId="0" fontId="74" fillId="0" borderId="29" xfId="0" applyFont="1" applyBorder="1"/>
    <xf numFmtId="168" fontId="74" fillId="36" borderId="0" xfId="0" applyNumberFormat="1" applyFont="1" applyFill="1"/>
    <xf numFmtId="14" fontId="42" fillId="0" borderId="0" xfId="0" applyNumberFormat="1" applyFont="1"/>
    <xf numFmtId="210" fontId="74" fillId="0" borderId="0" xfId="849" applyNumberFormat="1" applyFont="1" applyFill="1" applyBorder="1"/>
    <xf numFmtId="0" fontId="0" fillId="0" borderId="0" xfId="0" applyAlignment="1">
      <alignment horizontal="center"/>
    </xf>
    <xf numFmtId="1" fontId="0" fillId="0" borderId="0" xfId="0" applyNumberFormat="1" applyAlignment="1">
      <alignment horizontal="center"/>
    </xf>
    <xf numFmtId="169" fontId="0" fillId="0" borderId="0" xfId="0" applyNumberFormat="1" applyAlignment="1">
      <alignment horizontal="center"/>
    </xf>
    <xf numFmtId="168" fontId="0" fillId="0" borderId="0" xfId="0" applyNumberFormat="1" applyAlignment="1">
      <alignment horizontal="center"/>
    </xf>
    <xf numFmtId="2" fontId="0" fillId="0" borderId="0" xfId="0" applyNumberFormat="1" applyAlignment="1">
      <alignment horizontal="center"/>
    </xf>
    <xf numFmtId="182" fontId="30" fillId="36" borderId="131" xfId="0" applyNumberFormat="1" applyFont="1" applyFill="1" applyBorder="1" applyAlignment="1">
      <alignment horizontal="left" vertical="center" wrapText="1"/>
    </xf>
    <xf numFmtId="0" fontId="12" fillId="0" borderId="0" xfId="0" applyFont="1" applyAlignment="1">
      <alignment horizontal="center"/>
    </xf>
    <xf numFmtId="2" fontId="12" fillId="0" borderId="0" xfId="0" applyNumberFormat="1" applyFont="1"/>
    <xf numFmtId="198" fontId="12" fillId="0" borderId="0" xfId="0" applyNumberFormat="1" applyFont="1"/>
    <xf numFmtId="1" fontId="36" fillId="0" borderId="0" xfId="0" applyNumberFormat="1" applyFont="1"/>
    <xf numFmtId="169" fontId="12" fillId="0" borderId="0" xfId="0" applyNumberFormat="1" applyFont="1"/>
    <xf numFmtId="1" fontId="0" fillId="0" borderId="0" xfId="0" applyNumberFormat="1" applyAlignment="1">
      <alignment horizontal="right"/>
    </xf>
    <xf numFmtId="0" fontId="0" fillId="0" borderId="122" xfId="0" applyBorder="1" applyAlignment="1">
      <alignment horizontal="center"/>
    </xf>
    <xf numFmtId="1" fontId="0" fillId="0" borderId="122" xfId="0" applyNumberFormat="1" applyBorder="1" applyAlignment="1">
      <alignment horizontal="center"/>
    </xf>
    <xf numFmtId="169" fontId="0" fillId="0" borderId="122" xfId="0" applyNumberFormat="1" applyBorder="1" applyAlignment="1">
      <alignment horizontal="center"/>
    </xf>
    <xf numFmtId="0" fontId="0" fillId="0" borderId="125" xfId="0" applyBorder="1" applyAlignment="1">
      <alignment horizontal="center"/>
    </xf>
    <xf numFmtId="0" fontId="12" fillId="0" borderId="125" xfId="0" applyFont="1" applyBorder="1"/>
    <xf numFmtId="0" fontId="0" fillId="0" borderId="27" xfId="0" applyBorder="1" applyAlignment="1">
      <alignment horizontal="center"/>
    </xf>
    <xf numFmtId="1" fontId="0" fillId="0" borderId="27" xfId="0" applyNumberFormat="1" applyBorder="1" applyAlignment="1">
      <alignment horizontal="center"/>
    </xf>
    <xf numFmtId="1" fontId="0" fillId="0" borderId="125" xfId="0" applyNumberFormat="1" applyBorder="1" applyAlignment="1">
      <alignment horizontal="center"/>
    </xf>
    <xf numFmtId="0" fontId="36" fillId="0" borderId="125" xfId="0" applyFont="1" applyBorder="1"/>
    <xf numFmtId="0" fontId="12" fillId="0" borderId="27" xfId="0" applyFont="1" applyBorder="1"/>
    <xf numFmtId="0" fontId="36" fillId="0" borderId="27" xfId="0" applyFont="1" applyBorder="1"/>
    <xf numFmtId="0" fontId="12" fillId="0" borderId="122" xfId="0" applyFont="1" applyBorder="1" applyAlignment="1">
      <alignment horizontal="center"/>
    </xf>
    <xf numFmtId="0" fontId="12" fillId="0" borderId="122" xfId="0" applyFont="1" applyBorder="1"/>
    <xf numFmtId="0" fontId="36" fillId="0" borderId="122" xfId="0" applyFont="1" applyBorder="1"/>
    <xf numFmtId="168" fontId="0" fillId="0" borderId="122" xfId="0" applyNumberFormat="1" applyBorder="1" applyAlignment="1">
      <alignment horizontal="center"/>
    </xf>
    <xf numFmtId="0" fontId="31" fillId="29" borderId="15" xfId="0" applyFont="1" applyFill="1" applyBorder="1" applyAlignment="1">
      <alignment horizontal="center" vertical="top" wrapText="1"/>
    </xf>
    <xf numFmtId="0" fontId="31" fillId="29" borderId="0" xfId="0" applyFont="1" applyFill="1" applyAlignment="1">
      <alignment horizontal="left" vertical="top" wrapText="1"/>
    </xf>
    <xf numFmtId="0" fontId="30" fillId="36" borderId="131" xfId="0" applyFont="1" applyFill="1" applyBorder="1" applyAlignment="1">
      <alignment horizontal="left" vertical="center" wrapText="1"/>
    </xf>
    <xf numFmtId="0" fontId="30" fillId="94" borderId="131" xfId="0" applyFont="1" applyFill="1" applyBorder="1" applyAlignment="1">
      <alignment horizontal="left" vertical="center" wrapText="1"/>
    </xf>
    <xf numFmtId="0" fontId="30" fillId="36" borderId="97" xfId="0" applyFont="1" applyFill="1" applyBorder="1" applyAlignment="1">
      <alignment horizontal="center" vertical="center" wrapText="1"/>
    </xf>
    <xf numFmtId="0" fontId="30" fillId="36" borderId="131" xfId="0" applyFont="1" applyFill="1" applyBorder="1" applyAlignment="1">
      <alignment horizontal="center" vertical="center" wrapText="1"/>
    </xf>
    <xf numFmtId="0" fontId="72" fillId="36" borderId="97" xfId="0" applyFont="1" applyFill="1" applyBorder="1" applyAlignment="1">
      <alignment horizontal="center" vertical="center" wrapText="1"/>
    </xf>
    <xf numFmtId="0" fontId="72" fillId="36" borderId="131" xfId="0" applyFont="1" applyFill="1" applyBorder="1" applyAlignment="1">
      <alignment horizontal="center" vertical="center" wrapText="1"/>
    </xf>
    <xf numFmtId="0" fontId="12" fillId="0" borderId="0" xfId="7380" applyAlignment="1">
      <alignment horizontal="center"/>
    </xf>
    <xf numFmtId="2" fontId="0" fillId="0" borderId="122" xfId="0" applyNumberFormat="1" applyBorder="1" applyAlignment="1">
      <alignment horizontal="center"/>
    </xf>
    <xf numFmtId="0" fontId="12" fillId="0" borderId="122" xfId="7380" applyBorder="1" applyAlignment="1">
      <alignment horizontal="center"/>
    </xf>
    <xf numFmtId="0" fontId="12" fillId="0" borderId="122" xfId="0" applyFont="1" applyBorder="1" applyAlignment="1">
      <alignment horizontal="right"/>
    </xf>
    <xf numFmtId="0" fontId="12" fillId="0" borderId="0" xfId="0" applyFont="1" applyAlignment="1">
      <alignment horizontal="right"/>
    </xf>
    <xf numFmtId="2" fontId="74" fillId="0" borderId="122" xfId="0" applyNumberFormat="1" applyFont="1" applyBorder="1" applyAlignment="1">
      <alignment horizontal="center"/>
    </xf>
    <xf numFmtId="2" fontId="74" fillId="0" borderId="0" xfId="0" applyNumberFormat="1" applyFont="1" applyAlignment="1">
      <alignment horizontal="center"/>
    </xf>
    <xf numFmtId="169" fontId="0" fillId="0" borderId="126" xfId="0" applyNumberFormat="1" applyBorder="1"/>
    <xf numFmtId="1" fontId="0" fillId="0" borderId="125" xfId="0" applyNumberFormat="1" applyBorder="1"/>
    <xf numFmtId="0" fontId="0" fillId="0" borderId="38" xfId="0" applyBorder="1"/>
    <xf numFmtId="0" fontId="12" fillId="0" borderId="113" xfId="0" applyFont="1" applyBorder="1"/>
    <xf numFmtId="0" fontId="0" fillId="0" borderId="118" xfId="0" applyBorder="1"/>
    <xf numFmtId="169" fontId="0" fillId="0" borderId="18" xfId="0" applyNumberFormat="1" applyBorder="1"/>
    <xf numFmtId="0" fontId="12" fillId="0" borderId="51" xfId="0" applyFont="1" applyBorder="1"/>
    <xf numFmtId="0" fontId="0" fillId="0" borderId="117" xfId="0" applyBorder="1"/>
    <xf numFmtId="0" fontId="12" fillId="0" borderId="132" xfId="0" applyFont="1" applyBorder="1"/>
    <xf numFmtId="0" fontId="12" fillId="0" borderId="123" xfId="0" applyFont="1" applyBorder="1"/>
    <xf numFmtId="0" fontId="0" fillId="0" borderId="129" xfId="0" applyBorder="1"/>
    <xf numFmtId="0" fontId="0" fillId="0" borderId="87" xfId="0" applyBorder="1"/>
    <xf numFmtId="1" fontId="12" fillId="0" borderId="0" xfId="0" applyNumberFormat="1" applyFont="1"/>
    <xf numFmtId="0" fontId="12" fillId="0" borderId="28" xfId="0" applyFont="1" applyBorder="1"/>
    <xf numFmtId="0" fontId="0" fillId="0" borderId="110" xfId="0" applyBorder="1"/>
    <xf numFmtId="0" fontId="0" fillId="0" borderId="115" xfId="0" applyBorder="1"/>
    <xf numFmtId="0" fontId="31" fillId="29" borderId="74" xfId="0" applyFont="1" applyFill="1" applyBorder="1" applyAlignment="1">
      <alignment horizontal="left" vertical="top" wrapText="1"/>
    </xf>
    <xf numFmtId="0" fontId="31" fillId="29" borderId="74" xfId="0" applyFont="1" applyFill="1" applyBorder="1" applyAlignment="1">
      <alignment horizontal="center" vertical="top" wrapText="1"/>
    </xf>
    <xf numFmtId="0" fontId="30" fillId="36" borderId="133" xfId="0" applyFont="1" applyFill="1" applyBorder="1" applyAlignment="1">
      <alignment horizontal="center" vertical="center" wrapText="1"/>
    </xf>
    <xf numFmtId="0" fontId="72" fillId="36" borderId="133" xfId="0" applyFont="1" applyFill="1" applyBorder="1" applyAlignment="1">
      <alignment horizontal="center" vertical="center" wrapText="1"/>
    </xf>
    <xf numFmtId="0" fontId="0" fillId="0" borderId="0" xfId="0" applyAlignment="1">
      <alignment horizontal="left" vertical="top"/>
    </xf>
    <xf numFmtId="0" fontId="12" fillId="0" borderId="0" xfId="0" applyFont="1" applyAlignment="1">
      <alignment horizontal="left" vertical="top"/>
    </xf>
    <xf numFmtId="1" fontId="12" fillId="0" borderId="122" xfId="0" applyNumberFormat="1" applyFont="1" applyBorder="1"/>
    <xf numFmtId="0" fontId="0" fillId="0" borderId="122" xfId="0" applyBorder="1" applyAlignment="1">
      <alignment horizontal="left" vertical="top"/>
    </xf>
    <xf numFmtId="1" fontId="36" fillId="0" borderId="122" xfId="0" applyNumberFormat="1" applyFont="1" applyBorder="1"/>
    <xf numFmtId="0" fontId="0" fillId="0" borderId="74" xfId="0" applyBorder="1"/>
    <xf numFmtId="169" fontId="74" fillId="97" borderId="52" xfId="0" applyNumberFormat="1" applyFont="1" applyFill="1" applyBorder="1" applyAlignment="1">
      <alignment horizontal="center" vertical="distributed"/>
    </xf>
    <xf numFmtId="169" fontId="74" fillId="97" borderId="51" xfId="0" applyNumberFormat="1" applyFont="1" applyFill="1" applyBorder="1" applyAlignment="1">
      <alignment horizontal="center" vertical="distributed"/>
    </xf>
    <xf numFmtId="169" fontId="48" fillId="97" borderId="52" xfId="0" applyNumberFormat="1" applyFont="1" applyFill="1" applyBorder="1" applyAlignment="1">
      <alignment horizontal="center" vertical="distributed"/>
    </xf>
    <xf numFmtId="169" fontId="48" fillId="97" borderId="51" xfId="0" applyNumberFormat="1" applyFont="1" applyFill="1" applyBorder="1" applyAlignment="1">
      <alignment horizontal="center" vertical="distributed"/>
    </xf>
    <xf numFmtId="169" fontId="12" fillId="97" borderId="134" xfId="0" applyNumberFormat="1" applyFont="1" applyFill="1" applyBorder="1" applyAlignment="1">
      <alignment horizontal="center" vertical="distributed"/>
    </xf>
    <xf numFmtId="169" fontId="12" fillId="97" borderId="113" xfId="0" applyNumberFormat="1" applyFont="1" applyFill="1" applyBorder="1" applyAlignment="1">
      <alignment horizontal="center" vertical="distributed"/>
    </xf>
    <xf numFmtId="169" fontId="12" fillId="97" borderId="52" xfId="0" applyNumberFormat="1" applyFont="1" applyFill="1" applyBorder="1" applyAlignment="1">
      <alignment horizontal="center" vertical="distributed"/>
    </xf>
    <xf numFmtId="169" fontId="12" fillId="97" borderId="51" xfId="0" applyNumberFormat="1" applyFont="1" applyFill="1" applyBorder="1" applyAlignment="1">
      <alignment horizontal="center" vertical="distributed"/>
    </xf>
    <xf numFmtId="169" fontId="187" fillId="97" borderId="52" xfId="0" applyNumberFormat="1" applyFont="1" applyFill="1" applyBorder="1" applyAlignment="1">
      <alignment horizontal="center" vertical="distributed"/>
    </xf>
    <xf numFmtId="169" fontId="48" fillId="97" borderId="113" xfId="0" applyNumberFormat="1" applyFont="1" applyFill="1" applyBorder="1" applyAlignment="1">
      <alignment horizontal="center" vertical="distributed"/>
    </xf>
    <xf numFmtId="10" fontId="0" fillId="0" borderId="0" xfId="0" applyNumberFormat="1"/>
    <xf numFmtId="1" fontId="74" fillId="0" borderId="0" xfId="0" applyNumberFormat="1" applyFont="1"/>
    <xf numFmtId="0" fontId="0" fillId="0" borderId="131" xfId="0" applyBorder="1" applyAlignment="1">
      <alignment horizontal="center"/>
    </xf>
    <xf numFmtId="9" fontId="0" fillId="0" borderId="0" xfId="0" applyNumberFormat="1"/>
    <xf numFmtId="177" fontId="0" fillId="0" borderId="0" xfId="0" applyNumberFormat="1" applyAlignment="1">
      <alignment horizontal="left" vertical="top"/>
    </xf>
    <xf numFmtId="169" fontId="0" fillId="0" borderId="0" xfId="0" applyNumberFormat="1" applyAlignment="1">
      <alignment horizontal="left" vertical="top"/>
    </xf>
    <xf numFmtId="1" fontId="42" fillId="0" borderId="0" xfId="0" applyNumberFormat="1" applyFont="1" applyAlignment="1">
      <alignment horizontal="left" vertical="top"/>
    </xf>
    <xf numFmtId="0" fontId="30" fillId="36" borderId="0" xfId="0" applyFont="1" applyFill="1" applyBorder="1" applyAlignment="1">
      <alignment horizontal="center" vertical="center" wrapText="1"/>
    </xf>
    <xf numFmtId="0" fontId="0" fillId="0" borderId="0" xfId="0" applyBorder="1" applyAlignment="1">
      <alignment horizontal="center"/>
    </xf>
    <xf numFmtId="179" fontId="78" fillId="30" borderId="21" xfId="2572" applyFont="1" applyFill="1" applyBorder="1"/>
    <xf numFmtId="179" fontId="188" fillId="2" borderId="21" xfId="2572" applyFont="1" applyFill="1" applyBorder="1"/>
    <xf numFmtId="190" fontId="189" fillId="2" borderId="36" xfId="2572" applyNumberFormat="1" applyFont="1" applyFill="1" applyBorder="1" applyProtection="1">
      <protection locked="0"/>
    </xf>
    <xf numFmtId="179" fontId="63" fillId="30" borderId="35" xfId="2572" applyFont="1" applyFill="1" applyBorder="1"/>
    <xf numFmtId="190" fontId="190" fillId="26" borderId="0" xfId="2572" applyNumberFormat="1" applyFont="1" applyFill="1"/>
    <xf numFmtId="0" fontId="0" fillId="74" borderId="0" xfId="0" applyFill="1"/>
    <xf numFmtId="0" fontId="0" fillId="74" borderId="0" xfId="0" applyFill="1" applyAlignment="1">
      <alignment horizontal="center"/>
    </xf>
    <xf numFmtId="169" fontId="0" fillId="74" borderId="0" xfId="0" applyNumberFormat="1" applyFill="1"/>
    <xf numFmtId="0" fontId="0" fillId="74" borderId="36" xfId="0" applyFill="1" applyBorder="1"/>
    <xf numFmtId="0" fontId="11" fillId="0" borderId="0" xfId="0" applyFont="1" applyAlignment="1">
      <alignment horizontal="right"/>
    </xf>
    <xf numFmtId="0" fontId="11" fillId="0" borderId="0" xfId="0" applyFont="1"/>
    <xf numFmtId="0" fontId="48" fillId="74" borderId="15" xfId="0" applyFont="1" applyFill="1" applyBorder="1" applyAlignment="1">
      <alignment horizontal="center" wrapText="1"/>
    </xf>
    <xf numFmtId="0" fontId="48" fillId="74" borderId="103" xfId="0" applyFont="1" applyFill="1" applyBorder="1" applyAlignment="1">
      <alignment horizontal="center" wrapText="1"/>
    </xf>
    <xf numFmtId="0" fontId="43" fillId="74" borderId="101" xfId="0" applyFont="1" applyFill="1" applyBorder="1" applyAlignment="1">
      <alignment horizontal="center" wrapText="1"/>
    </xf>
    <xf numFmtId="0" fontId="43" fillId="74" borderId="15" xfId="0" applyFont="1" applyFill="1" applyBorder="1" applyAlignment="1">
      <alignment horizontal="center" wrapText="1"/>
    </xf>
    <xf numFmtId="0" fontId="43" fillId="74" borderId="103" xfId="0" applyFont="1" applyFill="1" applyBorder="1" applyAlignment="1">
      <alignment horizontal="center" wrapText="1"/>
    </xf>
    <xf numFmtId="0" fontId="43" fillId="74" borderId="135" xfId="0" applyFont="1" applyFill="1" applyBorder="1" applyAlignment="1">
      <alignment horizontal="center" wrapText="1"/>
    </xf>
    <xf numFmtId="0" fontId="0" fillId="0" borderId="131" xfId="0" applyBorder="1"/>
    <xf numFmtId="1" fontId="0" fillId="0" borderId="131" xfId="0" applyNumberFormat="1" applyBorder="1"/>
    <xf numFmtId="185" fontId="12" fillId="0" borderId="0" xfId="0" applyNumberFormat="1" applyFont="1" applyBorder="1"/>
    <xf numFmtId="185" fontId="12" fillId="0" borderId="0" xfId="0" applyNumberFormat="1" applyFont="1" applyFill="1" applyBorder="1"/>
    <xf numFmtId="185" fontId="0" fillId="0" borderId="0" xfId="0" applyNumberFormat="1" applyFill="1"/>
    <xf numFmtId="0" fontId="42" fillId="34" borderId="0" xfId="0" applyFont="1" applyFill="1"/>
    <xf numFmtId="185" fontId="0" fillId="0" borderId="0" xfId="0" applyNumberFormat="1"/>
    <xf numFmtId="2" fontId="77" fillId="0" borderId="0" xfId="849" applyNumberFormat="1" applyFont="1" applyFill="1" applyBorder="1"/>
    <xf numFmtId="170" fontId="12" fillId="0" borderId="0" xfId="849" applyNumberFormat="1"/>
    <xf numFmtId="0" fontId="36" fillId="0" borderId="0" xfId="849" quotePrefix="1" applyFont="1" applyFill="1" applyBorder="1"/>
    <xf numFmtId="170" fontId="12" fillId="0" borderId="0" xfId="0" applyNumberFormat="1" applyFont="1" applyFill="1" applyBorder="1"/>
    <xf numFmtId="170" fontId="0" fillId="0" borderId="0" xfId="0" applyNumberFormat="1" applyFill="1"/>
    <xf numFmtId="170" fontId="12" fillId="36" borderId="0" xfId="0" applyNumberFormat="1" applyFont="1" applyFill="1" applyBorder="1"/>
    <xf numFmtId="0" fontId="12" fillId="0" borderId="71" xfId="0" applyFont="1" applyBorder="1" applyAlignment="1">
      <alignment horizontal="center" wrapText="1"/>
    </xf>
    <xf numFmtId="0" fontId="12" fillId="0" borderId="109" xfId="0" applyFont="1" applyBorder="1" applyAlignment="1">
      <alignment horizontal="center" wrapText="1"/>
    </xf>
    <xf numFmtId="0" fontId="12" fillId="0" borderId="107" xfId="0" applyFont="1" applyBorder="1" applyAlignment="1">
      <alignment horizontal="center" wrapText="1"/>
    </xf>
    <xf numFmtId="0" fontId="12" fillId="0" borderId="36" xfId="0" applyFont="1" applyBorder="1" applyAlignment="1">
      <alignment horizontal="center" wrapText="1"/>
    </xf>
    <xf numFmtId="0" fontId="12" fillId="0" borderId="0" xfId="0" applyFont="1" applyBorder="1" applyAlignment="1">
      <alignment horizontal="center" wrapText="1"/>
    </xf>
    <xf numFmtId="0" fontId="12" fillId="0" borderId="35" xfId="0" applyFont="1" applyBorder="1" applyAlignment="1">
      <alignment horizontal="center" wrapText="1"/>
    </xf>
    <xf numFmtId="0" fontId="0" fillId="43" borderId="41" xfId="0" applyFill="1" applyBorder="1" applyAlignment="1">
      <alignment horizontal="left"/>
    </xf>
    <xf numFmtId="0" fontId="0" fillId="43" borderId="24" xfId="0" applyFill="1" applyBorder="1" applyAlignment="1">
      <alignment horizontal="left"/>
    </xf>
    <xf numFmtId="0" fontId="0" fillId="43" borderId="42" xfId="0" applyFill="1" applyBorder="1" applyAlignment="1">
      <alignment horizontal="left"/>
    </xf>
    <xf numFmtId="0" fontId="0" fillId="43" borderId="93" xfId="0" applyFill="1" applyBorder="1" applyAlignment="1">
      <alignment horizontal="center"/>
    </xf>
    <xf numFmtId="0" fontId="0" fillId="43" borderId="91" xfId="0" applyFill="1" applyBorder="1" applyAlignment="1">
      <alignment horizontal="center"/>
    </xf>
    <xf numFmtId="0" fontId="12" fillId="43" borderId="36" xfId="0" applyFont="1" applyFill="1" applyBorder="1" applyAlignment="1">
      <alignment horizontal="center"/>
    </xf>
    <xf numFmtId="0" fontId="12" fillId="43" borderId="0" xfId="0" applyFont="1" applyFill="1" applyBorder="1" applyAlignment="1">
      <alignment horizontal="center"/>
    </xf>
    <xf numFmtId="169" fontId="173" fillId="0" borderId="73" xfId="0" applyNumberFormat="1" applyFont="1" applyBorder="1" applyAlignment="1">
      <alignment horizontal="center" vertical="center"/>
    </xf>
    <xf numFmtId="169" fontId="173" fillId="0" borderId="74" xfId="0" applyNumberFormat="1" applyFont="1" applyBorder="1" applyAlignment="1">
      <alignment horizontal="center" vertical="center"/>
    </xf>
    <xf numFmtId="169" fontId="173" fillId="0" borderId="119" xfId="0" applyNumberFormat="1" applyFont="1" applyBorder="1" applyAlignment="1">
      <alignment horizontal="center" vertical="center"/>
    </xf>
    <xf numFmtId="169" fontId="112" fillId="58" borderId="75" xfId="3108" applyNumberFormat="1" applyBorder="1" applyAlignment="1">
      <alignment horizontal="center" vertical="center"/>
    </xf>
    <xf numFmtId="169" fontId="112" fillId="58" borderId="80" xfId="3108" applyNumberFormat="1" applyBorder="1" applyAlignment="1">
      <alignment horizontal="center" vertical="center"/>
    </xf>
    <xf numFmtId="169" fontId="112" fillId="58" borderId="81" xfId="3108" applyNumberFormat="1" applyBorder="1" applyAlignment="1">
      <alignment horizontal="center" vertical="center"/>
    </xf>
    <xf numFmtId="169" fontId="170" fillId="0" borderId="73" xfId="0" applyNumberFormat="1" applyFont="1" applyBorder="1" applyAlignment="1">
      <alignment horizontal="center" vertical="center"/>
    </xf>
    <xf numFmtId="169" fontId="170" fillId="0" borderId="74" xfId="0" applyNumberFormat="1" applyFont="1" applyBorder="1" applyAlignment="1">
      <alignment horizontal="center" vertical="center"/>
    </xf>
    <xf numFmtId="1" fontId="170" fillId="0" borderId="26" xfId="0" applyNumberFormat="1" applyFont="1" applyBorder="1" applyAlignment="1">
      <alignment horizontal="center" vertical="center"/>
    </xf>
    <xf numFmtId="1" fontId="170" fillId="0" borderId="27" xfId="0" applyNumberFormat="1" applyFont="1" applyBorder="1" applyAlignment="1">
      <alignment horizontal="center" vertical="center"/>
    </xf>
    <xf numFmtId="1" fontId="170" fillId="0" borderId="28" xfId="0" applyNumberFormat="1" applyFont="1" applyBorder="1" applyAlignment="1">
      <alignment horizontal="center" vertical="center"/>
    </xf>
    <xf numFmtId="169" fontId="112" fillId="30" borderId="75" xfId="3108" applyNumberFormat="1" applyFill="1" applyBorder="1" applyAlignment="1">
      <alignment horizontal="center" vertical="center"/>
    </xf>
    <xf numFmtId="169" fontId="112" fillId="30" borderId="80" xfId="3108" applyNumberFormat="1" applyFill="1" applyBorder="1" applyAlignment="1">
      <alignment horizontal="center" vertical="center"/>
    </xf>
    <xf numFmtId="169" fontId="112" fillId="30" borderId="81" xfId="3108" applyNumberFormat="1" applyFill="1" applyBorder="1" applyAlignment="1">
      <alignment horizontal="center" vertical="center"/>
    </xf>
    <xf numFmtId="0" fontId="130" fillId="0" borderId="0" xfId="0" applyFont="1" applyAlignment="1">
      <alignment horizontal="left" vertical="center" wrapText="1"/>
    </xf>
    <xf numFmtId="169" fontId="179" fillId="40" borderId="0" xfId="0" applyNumberFormat="1" applyFont="1" applyFill="1" applyBorder="1" applyAlignment="1">
      <alignment horizontal="left" vertical="center"/>
    </xf>
    <xf numFmtId="169" fontId="179" fillId="40" borderId="29" xfId="0" applyNumberFormat="1" applyFont="1" applyFill="1" applyBorder="1" applyAlignment="1">
      <alignment horizontal="left" vertical="center"/>
    </xf>
    <xf numFmtId="0" fontId="170" fillId="49" borderId="92" xfId="3126" applyFont="1" applyBorder="1" applyAlignment="1">
      <alignment horizontal="center"/>
    </xf>
    <xf numFmtId="169" fontId="2" fillId="0" borderId="75" xfId="3108" applyNumberFormat="1" applyFont="1" applyFill="1" applyBorder="1" applyAlignment="1">
      <alignment horizontal="center" vertical="center"/>
    </xf>
    <xf numFmtId="169" fontId="2" fillId="0" borderId="80" xfId="3108" applyNumberFormat="1" applyFont="1" applyFill="1" applyBorder="1" applyAlignment="1">
      <alignment horizontal="center" vertical="center"/>
    </xf>
    <xf numFmtId="169" fontId="2" fillId="0" borderId="96" xfId="3108" applyNumberFormat="1" applyFont="1" applyFill="1" applyBorder="1" applyAlignment="1">
      <alignment horizontal="center" vertical="center"/>
    </xf>
    <xf numFmtId="0" fontId="175" fillId="0" borderId="0" xfId="3115" applyFont="1" applyBorder="1" applyAlignment="1">
      <alignment horizontal="center"/>
    </xf>
    <xf numFmtId="0" fontId="2" fillId="45" borderId="92" xfId="3118" applyFont="1" applyBorder="1" applyAlignment="1">
      <alignment horizontal="center"/>
    </xf>
    <xf numFmtId="169" fontId="112" fillId="58" borderId="75" xfId="3108" applyNumberFormat="1" applyFont="1" applyBorder="1" applyAlignment="1">
      <alignment horizontal="center" vertical="center"/>
    </xf>
    <xf numFmtId="169" fontId="112" fillId="58" borderId="80" xfId="3108" applyNumberFormat="1" applyFont="1" applyBorder="1" applyAlignment="1">
      <alignment horizontal="center" vertical="center"/>
    </xf>
    <xf numFmtId="169" fontId="112" fillId="58" borderId="96" xfId="3108" applyNumberFormat="1" applyFont="1" applyBorder="1" applyAlignment="1">
      <alignment horizontal="center" vertical="center"/>
    </xf>
    <xf numFmtId="169" fontId="170" fillId="0" borderId="75" xfId="0" applyNumberFormat="1" applyFont="1" applyFill="1" applyBorder="1" applyAlignment="1">
      <alignment horizontal="center" vertical="center"/>
    </xf>
    <xf numFmtId="169" fontId="170" fillId="0" borderId="80" xfId="0" applyNumberFormat="1" applyFont="1" applyFill="1" applyBorder="1" applyAlignment="1">
      <alignment horizontal="center" vertical="center"/>
    </xf>
    <xf numFmtId="169" fontId="170" fillId="0" borderId="96" xfId="0" applyNumberFormat="1" applyFont="1" applyFill="1" applyBorder="1" applyAlignment="1">
      <alignment horizontal="center" vertical="center"/>
    </xf>
    <xf numFmtId="0" fontId="170" fillId="0" borderId="73" xfId="0" applyFont="1" applyBorder="1" applyAlignment="1">
      <alignment horizontal="center" vertical="center"/>
    </xf>
    <xf numFmtId="0" fontId="170" fillId="0" borderId="74" xfId="0" applyFont="1" applyBorder="1" applyAlignment="1">
      <alignment horizontal="center" vertical="center"/>
    </xf>
    <xf numFmtId="0" fontId="170" fillId="0" borderId="108" xfId="0" applyFont="1" applyBorder="1" applyAlignment="1">
      <alignment horizontal="center" vertical="center"/>
    </xf>
    <xf numFmtId="169" fontId="170" fillId="2" borderId="75" xfId="0" applyNumberFormat="1" applyFont="1" applyFill="1" applyBorder="1" applyAlignment="1">
      <alignment horizontal="center" vertical="center"/>
    </xf>
    <xf numFmtId="169" fontId="170" fillId="2" borderId="80" xfId="0" applyNumberFormat="1" applyFont="1" applyFill="1" applyBorder="1" applyAlignment="1">
      <alignment horizontal="center" vertical="center"/>
    </xf>
    <xf numFmtId="169" fontId="170" fillId="2" borderId="96" xfId="0" applyNumberFormat="1" applyFont="1" applyFill="1" applyBorder="1" applyAlignment="1">
      <alignment horizontal="center" vertical="center"/>
    </xf>
    <xf numFmtId="2" fontId="170" fillId="2" borderId="75" xfId="0" applyNumberFormat="1" applyFont="1" applyFill="1" applyBorder="1" applyAlignment="1">
      <alignment horizontal="center" vertical="center"/>
    </xf>
    <xf numFmtId="2" fontId="170" fillId="2" borderId="80" xfId="0" applyNumberFormat="1" applyFont="1" applyFill="1" applyBorder="1" applyAlignment="1">
      <alignment horizontal="center" vertical="center"/>
    </xf>
    <xf numFmtId="2" fontId="170" fillId="2" borderId="26" xfId="0" applyNumberFormat="1" applyFont="1" applyFill="1" applyBorder="1" applyAlignment="1">
      <alignment horizontal="center" vertical="center"/>
    </xf>
    <xf numFmtId="2" fontId="170" fillId="2" borderId="21" xfId="0" applyNumberFormat="1" applyFont="1" applyFill="1" applyBorder="1" applyAlignment="1">
      <alignment horizontal="center" vertical="center"/>
    </xf>
    <xf numFmtId="2" fontId="170" fillId="2" borderId="19" xfId="0" applyNumberFormat="1" applyFont="1" applyFill="1" applyBorder="1" applyAlignment="1">
      <alignment horizontal="center" vertical="center"/>
    </xf>
    <xf numFmtId="2" fontId="170" fillId="2" borderId="96" xfId="0" applyNumberFormat="1" applyFont="1" applyFill="1" applyBorder="1" applyAlignment="1">
      <alignment horizontal="center" vertical="center"/>
    </xf>
    <xf numFmtId="2" fontId="112" fillId="58" borderId="98" xfId="3108" applyNumberFormat="1" applyBorder="1" applyAlignment="1">
      <alignment horizontal="center" vertical="center"/>
    </xf>
    <xf numFmtId="2" fontId="112" fillId="58" borderId="80" xfId="3108" applyNumberFormat="1" applyBorder="1" applyAlignment="1">
      <alignment horizontal="center" vertical="center"/>
    </xf>
    <xf numFmtId="2" fontId="112" fillId="58" borderId="99" xfId="3108" applyNumberFormat="1" applyBorder="1" applyAlignment="1">
      <alignment horizontal="center" vertical="center"/>
    </xf>
    <xf numFmtId="2" fontId="112" fillId="58" borderId="75" xfId="3108" applyNumberFormat="1" applyBorder="1" applyAlignment="1">
      <alignment horizontal="center" vertical="center"/>
    </xf>
    <xf numFmtId="2" fontId="112" fillId="58" borderId="96" xfId="3108" applyNumberFormat="1" applyBorder="1" applyAlignment="1">
      <alignment horizontal="center" vertical="center"/>
    </xf>
    <xf numFmtId="2" fontId="112" fillId="58" borderId="26" xfId="3108" applyNumberFormat="1" applyBorder="1" applyAlignment="1">
      <alignment horizontal="center" vertical="center"/>
    </xf>
    <xf numFmtId="2" fontId="112" fillId="58" borderId="19" xfId="3108" applyNumberFormat="1" applyBorder="1" applyAlignment="1">
      <alignment horizontal="center" vertical="center"/>
    </xf>
    <xf numFmtId="2" fontId="112" fillId="58" borderId="115" xfId="3108" applyNumberFormat="1" applyBorder="1" applyAlignment="1">
      <alignment horizontal="center" vertical="center"/>
    </xf>
    <xf numFmtId="2" fontId="112" fillId="58" borderId="117" xfId="3108" applyNumberFormat="1" applyBorder="1" applyAlignment="1">
      <alignment horizontal="center" vertical="center"/>
    </xf>
    <xf numFmtId="2" fontId="112" fillId="58" borderId="27" xfId="3108" applyNumberFormat="1" applyBorder="1" applyAlignment="1">
      <alignment horizontal="center" vertical="center"/>
    </xf>
    <xf numFmtId="2" fontId="112" fillId="58" borderId="0" xfId="3108" applyNumberFormat="1" applyBorder="1" applyAlignment="1">
      <alignment horizontal="center" vertical="center"/>
    </xf>
    <xf numFmtId="2" fontId="112" fillId="58" borderId="30" xfId="3108" applyNumberFormat="1" applyBorder="1" applyAlignment="1">
      <alignment horizontal="center" vertical="center"/>
    </xf>
    <xf numFmtId="2" fontId="112" fillId="58" borderId="35" xfId="3108" applyNumberFormat="1" applyBorder="1" applyAlignment="1">
      <alignment horizontal="center" vertical="center"/>
    </xf>
    <xf numFmtId="2" fontId="112" fillId="58" borderId="28" xfId="3108" applyNumberFormat="1" applyBorder="1" applyAlignment="1">
      <alignment horizontal="center" vertical="center"/>
    </xf>
    <xf numFmtId="2" fontId="112" fillId="58" borderId="20" xfId="3108" applyNumberFormat="1" applyBorder="1" applyAlignment="1">
      <alignment horizontal="center" vertical="center"/>
    </xf>
    <xf numFmtId="2" fontId="112" fillId="30" borderId="0" xfId="3108" applyNumberFormat="1" applyFill="1" applyBorder="1" applyAlignment="1">
      <alignment horizontal="center" vertical="center"/>
    </xf>
    <xf numFmtId="2" fontId="112" fillId="30" borderId="18" xfId="3108" applyNumberFormat="1" applyFill="1" applyBorder="1" applyAlignment="1">
      <alignment horizontal="center" vertical="center"/>
    </xf>
    <xf numFmtId="2" fontId="112" fillId="30" borderId="117" xfId="3108" applyNumberFormat="1" applyFill="1" applyBorder="1" applyAlignment="1">
      <alignment horizontal="center" vertical="center"/>
    </xf>
    <xf numFmtId="2" fontId="170" fillId="0" borderId="98" xfId="3108" applyNumberFormat="1" applyFont="1" applyFill="1" applyBorder="1" applyAlignment="1">
      <alignment horizontal="center" vertical="center"/>
    </xf>
    <xf numFmtId="2" fontId="170" fillId="0" borderId="80" xfId="3108" applyNumberFormat="1" applyFont="1" applyFill="1" applyBorder="1" applyAlignment="1">
      <alignment horizontal="center" vertical="center"/>
    </xf>
    <xf numFmtId="2" fontId="170" fillId="0" borderId="99" xfId="3108" applyNumberFormat="1" applyFont="1" applyFill="1" applyBorder="1" applyAlignment="1">
      <alignment horizontal="center" vertical="center"/>
    </xf>
    <xf numFmtId="2" fontId="170" fillId="0" borderId="75" xfId="3108" applyNumberFormat="1" applyFont="1" applyFill="1" applyBorder="1" applyAlignment="1">
      <alignment horizontal="center" vertical="center"/>
    </xf>
    <xf numFmtId="2" fontId="170" fillId="0" borderId="96" xfId="3108" applyNumberFormat="1" applyFont="1" applyFill="1" applyBorder="1" applyAlignment="1">
      <alignment horizontal="center" vertical="center"/>
    </xf>
    <xf numFmtId="2" fontId="172" fillId="0" borderId="75" xfId="3108" applyNumberFormat="1" applyFont="1" applyFill="1" applyBorder="1" applyAlignment="1">
      <alignment horizontal="center" vertical="center"/>
    </xf>
    <xf numFmtId="2" fontId="172" fillId="0" borderId="96" xfId="3108" applyNumberFormat="1" applyFont="1" applyFill="1" applyBorder="1" applyAlignment="1">
      <alignment horizontal="center" vertical="center"/>
    </xf>
    <xf numFmtId="2" fontId="172" fillId="0" borderId="26" xfId="3108" applyNumberFormat="1" applyFont="1" applyFill="1" applyBorder="1" applyAlignment="1">
      <alignment horizontal="center" vertical="center"/>
    </xf>
    <xf numFmtId="2" fontId="172" fillId="0" borderId="28" xfId="3108" applyNumberFormat="1" applyFont="1" applyFill="1" applyBorder="1" applyAlignment="1">
      <alignment horizontal="center" vertical="center"/>
    </xf>
    <xf numFmtId="2" fontId="172" fillId="0" borderId="19" xfId="3108" applyNumberFormat="1" applyFont="1" applyFill="1" applyBorder="1" applyAlignment="1">
      <alignment horizontal="center" vertical="center"/>
    </xf>
    <xf numFmtId="2" fontId="172" fillId="0" borderId="20" xfId="3108" applyNumberFormat="1" applyFont="1" applyFill="1" applyBorder="1" applyAlignment="1">
      <alignment horizontal="center" vertical="center"/>
    </xf>
    <xf numFmtId="2" fontId="112" fillId="58" borderId="21" xfId="3108" applyNumberFormat="1" applyBorder="1" applyAlignment="1">
      <alignment horizontal="center" vertical="center"/>
    </xf>
    <xf numFmtId="2" fontId="112" fillId="58" borderId="18" xfId="3108" applyNumberFormat="1" applyBorder="1" applyAlignment="1">
      <alignment horizontal="center" vertical="center"/>
    </xf>
    <xf numFmtId="2" fontId="172" fillId="0" borderId="98" xfId="3108" applyNumberFormat="1" applyFont="1" applyFill="1" applyBorder="1" applyAlignment="1">
      <alignment horizontal="center" vertical="center"/>
    </xf>
    <xf numFmtId="2" fontId="172" fillId="0" borderId="99" xfId="3108" applyNumberFormat="1" applyFont="1" applyFill="1" applyBorder="1" applyAlignment="1">
      <alignment horizontal="center" vertical="center"/>
    </xf>
    <xf numFmtId="2" fontId="172" fillId="0" borderId="22" xfId="3108" applyNumberFormat="1" applyFont="1" applyFill="1" applyBorder="1" applyAlignment="1">
      <alignment horizontal="center" vertical="center"/>
    </xf>
    <xf numFmtId="2" fontId="172" fillId="0" borderId="112" xfId="3108" applyNumberFormat="1" applyFont="1" applyFill="1" applyBorder="1" applyAlignment="1">
      <alignment horizontal="center" vertical="center"/>
    </xf>
    <xf numFmtId="2" fontId="112" fillId="30" borderId="35" xfId="3108" applyNumberFormat="1" applyFill="1" applyBorder="1" applyAlignment="1">
      <alignment horizontal="center" vertical="center"/>
    </xf>
    <xf numFmtId="2" fontId="112" fillId="30" borderId="124" xfId="3108" applyNumberFormat="1" applyFill="1" applyBorder="1" applyAlignment="1">
      <alignment horizontal="center" vertical="center"/>
    </xf>
    <xf numFmtId="2" fontId="112" fillId="30" borderId="125" xfId="3108" applyNumberFormat="1" applyFill="1" applyBorder="1" applyAlignment="1">
      <alignment horizontal="center" vertical="center"/>
    </xf>
    <xf numFmtId="2" fontId="112" fillId="30" borderId="118" xfId="3108" applyNumberFormat="1" applyFill="1" applyBorder="1" applyAlignment="1">
      <alignment horizontal="center" vertical="center"/>
    </xf>
    <xf numFmtId="2" fontId="112" fillId="30" borderId="126" xfId="3108" applyNumberFormat="1" applyFill="1" applyBorder="1" applyAlignment="1">
      <alignment horizontal="center" vertical="center"/>
    </xf>
    <xf numFmtId="0" fontId="12" fillId="26" borderId="0" xfId="0" applyFont="1" applyFill="1" applyBorder="1" applyAlignment="1">
      <alignment horizontal="left" vertical="top" wrapText="1"/>
    </xf>
    <xf numFmtId="0" fontId="0" fillId="26" borderId="0" xfId="0" applyFill="1" applyBorder="1" applyAlignment="1">
      <alignment horizontal="left" vertical="top" wrapText="1"/>
    </xf>
    <xf numFmtId="0" fontId="12" fillId="43" borderId="41" xfId="849" applyFill="1" applyBorder="1" applyAlignment="1">
      <alignment horizontal="center"/>
    </xf>
    <xf numFmtId="0" fontId="12" fillId="43" borderId="24" xfId="849" applyFill="1" applyBorder="1" applyAlignment="1">
      <alignment horizontal="center"/>
    </xf>
    <xf numFmtId="0" fontId="12" fillId="43" borderId="42" xfId="849" applyFill="1" applyBorder="1" applyAlignment="1">
      <alignment horizontal="center"/>
    </xf>
    <xf numFmtId="0" fontId="12" fillId="43" borderId="41" xfId="849" applyFill="1" applyBorder="1" applyAlignment="1">
      <alignment horizontal="left"/>
    </xf>
    <xf numFmtId="0" fontId="12" fillId="43" borderId="24" xfId="849" applyFill="1" applyBorder="1" applyAlignment="1">
      <alignment horizontal="left"/>
    </xf>
    <xf numFmtId="0" fontId="12" fillId="43" borderId="42" xfId="849" applyFill="1" applyBorder="1" applyAlignment="1">
      <alignment horizontal="left"/>
    </xf>
    <xf numFmtId="49" fontId="12" fillId="30" borderId="21" xfId="2572" applyNumberFormat="1" applyFont="1" applyFill="1" applyBorder="1" applyAlignment="1">
      <alignment horizontal="left" vertical="top" wrapText="1"/>
    </xf>
    <xf numFmtId="49" fontId="12" fillId="30" borderId="0" xfId="2572" applyNumberFormat="1" applyFont="1" applyFill="1" applyBorder="1" applyAlignment="1">
      <alignment horizontal="left" vertical="top" wrapText="1"/>
    </xf>
    <xf numFmtId="49" fontId="12" fillId="30" borderId="18" xfId="2572" applyNumberFormat="1" applyFont="1" applyFill="1" applyBorder="1" applyAlignment="1">
      <alignment horizontal="left" vertical="top" wrapText="1"/>
    </xf>
    <xf numFmtId="49" fontId="12" fillId="30" borderId="19" xfId="2572" applyNumberFormat="1" applyFont="1" applyFill="1" applyBorder="1" applyAlignment="1">
      <alignment horizontal="left" vertical="top" wrapText="1"/>
    </xf>
    <xf numFmtId="49" fontId="12" fillId="30" borderId="29" xfId="2572" applyNumberFormat="1" applyFont="1" applyFill="1" applyBorder="1" applyAlignment="1">
      <alignment horizontal="left" vertical="top" wrapText="1"/>
    </xf>
    <xf numFmtId="49" fontId="12" fillId="30" borderId="20" xfId="2572" applyNumberFormat="1" applyFont="1" applyFill="1" applyBorder="1" applyAlignment="1">
      <alignment horizontal="left" vertical="top" wrapText="1"/>
    </xf>
    <xf numFmtId="49" fontId="30" fillId="41" borderId="0" xfId="2572" applyNumberFormat="1" applyFill="1" applyBorder="1" applyAlignment="1">
      <alignment horizontal="left" vertical="top" wrapText="1"/>
    </xf>
    <xf numFmtId="179" fontId="12" fillId="30" borderId="21" xfId="2572" applyFont="1" applyFill="1" applyBorder="1" applyAlignment="1">
      <alignment horizontal="left" wrapText="1"/>
    </xf>
    <xf numFmtId="179" fontId="12" fillId="30" borderId="0" xfId="2572" applyFont="1" applyFill="1" applyBorder="1" applyAlignment="1">
      <alignment horizontal="left" wrapText="1"/>
    </xf>
    <xf numFmtId="179" fontId="12" fillId="30" borderId="18" xfId="2572" applyFont="1" applyFill="1" applyBorder="1" applyAlignment="1">
      <alignment horizontal="left" wrapText="1"/>
    </xf>
    <xf numFmtId="179" fontId="12" fillId="30" borderId="21" xfId="2572" applyFont="1" applyFill="1" applyBorder="1" applyAlignment="1">
      <alignment horizontal="left" vertical="top" wrapText="1"/>
    </xf>
    <xf numFmtId="179" fontId="12" fillId="30" borderId="0" xfId="2572" applyFont="1" applyFill="1" applyBorder="1" applyAlignment="1">
      <alignment horizontal="left" vertical="top" wrapText="1"/>
    </xf>
    <xf numFmtId="179" fontId="12" fillId="30" borderId="18" xfId="2572" applyFont="1" applyFill="1" applyBorder="1" applyAlignment="1">
      <alignment horizontal="left" vertical="top" wrapText="1"/>
    </xf>
    <xf numFmtId="179" fontId="30" fillId="2" borderId="18" xfId="2572" applyFill="1" applyBorder="1" applyAlignment="1">
      <alignment horizontal="left" wrapText="1"/>
    </xf>
    <xf numFmtId="49" fontId="30" fillId="30" borderId="21" xfId="2572" applyNumberFormat="1" applyFill="1" applyBorder="1" applyAlignment="1">
      <alignment horizontal="left" vertical="top" wrapText="1"/>
    </xf>
    <xf numFmtId="49" fontId="30" fillId="30" borderId="0" xfId="2572" applyNumberFormat="1" applyFill="1" applyBorder="1" applyAlignment="1">
      <alignment horizontal="left" vertical="top" wrapText="1"/>
    </xf>
    <xf numFmtId="49" fontId="30" fillId="30" borderId="18" xfId="2572" applyNumberFormat="1" applyFill="1" applyBorder="1" applyAlignment="1">
      <alignment horizontal="left" vertical="top" wrapText="1"/>
    </xf>
    <xf numFmtId="0" fontId="0" fillId="43" borderId="93" xfId="0" applyFill="1" applyBorder="1" applyAlignment="1">
      <alignment horizontal="left"/>
    </xf>
    <xf numFmtId="0" fontId="0" fillId="43" borderId="97" xfId="0" applyFill="1" applyBorder="1" applyAlignment="1">
      <alignment horizontal="left"/>
    </xf>
    <xf numFmtId="0" fontId="0" fillId="43" borderId="91" xfId="0" applyFill="1" applyBorder="1" applyAlignment="1">
      <alignment horizontal="left"/>
    </xf>
  </cellXfs>
  <cellStyles count="40428">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xfId="40423" builtinId="3"/>
    <cellStyle name="Comma 10" xfId="2013" xr:uid="{00000000-0005-0000-0000-000062680000}"/>
    <cellStyle name="Comma 11" xfId="3141" xr:uid="{00000000-0005-0000-0000-000063680000}"/>
    <cellStyle name="Comma 11 2" xfId="23141" xr:uid="{00000000-0005-0000-0000-000064680000}"/>
    <cellStyle name="Comma 12" xfId="39045" xr:uid="{00000000-0005-0000-0000-000065680000}"/>
    <cellStyle name="Comma 2" xfId="38" xr:uid="{00000000-0005-0000-0000-000066680000}"/>
    <cellStyle name="Comma 2 10" xfId="21245" xr:uid="{00000000-0005-0000-0000-000067680000}"/>
    <cellStyle name="Comma 2 11" xfId="39046" xr:uid="{00000000-0005-0000-0000-000068680000}"/>
    <cellStyle name="Comma 2 2" xfId="39" xr:uid="{00000000-0005-0000-0000-000069680000}"/>
    <cellStyle name="Comma 2 2 2" xfId="11193" xr:uid="{00000000-0005-0000-0000-00006A680000}"/>
    <cellStyle name="Comma 2 2 2 2" xfId="20237" xr:uid="{00000000-0005-0000-0000-00006B680000}"/>
    <cellStyle name="Comma 2 2 2 2 2" xfId="21200" xr:uid="{00000000-0005-0000-0000-00006C680000}"/>
    <cellStyle name="Comma 2 2 2 3" xfId="21174" xr:uid="{00000000-0005-0000-0000-00006D680000}"/>
    <cellStyle name="Comma 2 2 2 4" xfId="18972" xr:uid="{00000000-0005-0000-0000-00006E680000}"/>
    <cellStyle name="Comma 2 2 3" xfId="11959" xr:uid="{00000000-0005-0000-0000-00006F680000}"/>
    <cellStyle name="Comma 2 2 3 2" xfId="21173" xr:uid="{00000000-0005-0000-0000-000070680000}"/>
    <cellStyle name="Comma 2 2 3 3" xfId="30148" xr:uid="{00000000-0005-0000-0000-000071680000}"/>
    <cellStyle name="Comma 2 2 4" xfId="3143" xr:uid="{00000000-0005-0000-0000-000072680000}"/>
    <cellStyle name="Comma 2 2 4 2" xfId="23143" xr:uid="{00000000-0005-0000-0000-000073680000}"/>
    <cellStyle name="Comma 2 2 5" xfId="21246" xr:uid="{00000000-0005-0000-0000-000074680000}"/>
    <cellStyle name="Comma 2 2 6" xfId="39047" xr:uid="{00000000-0005-0000-0000-000075680000}"/>
    <cellStyle name="Comma 2 3" xfId="40" xr:uid="{00000000-0005-0000-0000-000076680000}"/>
    <cellStyle name="Comma 2 3 2" xfId="41" xr:uid="{00000000-0005-0000-0000-000077680000}"/>
    <cellStyle name="Comma 2 3 2 2" xfId="11195" xr:uid="{00000000-0005-0000-0000-000078680000}"/>
    <cellStyle name="Comma 2 3 2 3" xfId="11961" xr:uid="{00000000-0005-0000-0000-000079680000}"/>
    <cellStyle name="Comma 2 3 2 3 2" xfId="30150" xr:uid="{00000000-0005-0000-0000-00007A680000}"/>
    <cellStyle name="Comma 2 3 2 4" xfId="3145" xr:uid="{00000000-0005-0000-0000-00007B680000}"/>
    <cellStyle name="Comma 2 3 2 4 2" xfId="23145" xr:uid="{00000000-0005-0000-0000-00007C680000}"/>
    <cellStyle name="Comma 2 3 2 5" xfId="21248" xr:uid="{00000000-0005-0000-0000-00007D680000}"/>
    <cellStyle name="Comma 2 3 2 6" xfId="39049" xr:uid="{00000000-0005-0000-0000-00007E680000}"/>
    <cellStyle name="Comma 2 3 3" xfId="11194" xr:uid="{00000000-0005-0000-0000-00007F680000}"/>
    <cellStyle name="Comma 2 3 3 2" xfId="20239" xr:uid="{00000000-0005-0000-0000-000080680000}"/>
    <cellStyle name="Comma 2 3 3 2 2" xfId="21202" xr:uid="{00000000-0005-0000-0000-000081680000}"/>
    <cellStyle name="Comma 2 3 3 3" xfId="21176" xr:uid="{00000000-0005-0000-0000-000082680000}"/>
    <cellStyle name="Comma 2 3 3 4" xfId="18974" xr:uid="{00000000-0005-0000-0000-000083680000}"/>
    <cellStyle name="Comma 2 3 4" xfId="11960" xr:uid="{00000000-0005-0000-0000-000084680000}"/>
    <cellStyle name="Comma 2 3 4 2" xfId="21201" xr:uid="{00000000-0005-0000-0000-000085680000}"/>
    <cellStyle name="Comma 2 3 4 3" xfId="20238" xr:uid="{00000000-0005-0000-0000-000086680000}"/>
    <cellStyle name="Comma 2 3 4 4" xfId="30149" xr:uid="{00000000-0005-0000-0000-000087680000}"/>
    <cellStyle name="Comma 2 3 5" xfId="21175" xr:uid="{00000000-0005-0000-0000-000088680000}"/>
    <cellStyle name="Comma 2 3 6" xfId="18973" xr:uid="{00000000-0005-0000-0000-000089680000}"/>
    <cellStyle name="Comma 2 3 7" xfId="3144" xr:uid="{00000000-0005-0000-0000-00008A680000}"/>
    <cellStyle name="Comma 2 3 7 2" xfId="23144" xr:uid="{00000000-0005-0000-0000-00008B680000}"/>
    <cellStyle name="Comma 2 3 8" xfId="21247" xr:uid="{00000000-0005-0000-0000-00008C680000}"/>
    <cellStyle name="Comma 2 3 9" xfId="39048" xr:uid="{00000000-0005-0000-0000-00008D680000}"/>
    <cellStyle name="Comma 2 4" xfId="42" xr:uid="{00000000-0005-0000-0000-00008E680000}"/>
    <cellStyle name="Comma 2 4 2" xfId="43" xr:uid="{00000000-0005-0000-0000-00008F680000}"/>
    <cellStyle name="Comma 2 4 2 2" xfId="11183" xr:uid="{00000000-0005-0000-0000-000090680000}"/>
    <cellStyle name="Comma 2 4 2 2 2" xfId="18957" xr:uid="{00000000-0005-0000-0000-000091680000}"/>
    <cellStyle name="Comma 2 4 2 2 2 2" xfId="37116" xr:uid="{00000000-0005-0000-0000-000092680000}"/>
    <cellStyle name="Comma 2 4 2 2 3" xfId="30115" xr:uid="{00000000-0005-0000-0000-000093680000}"/>
    <cellStyle name="Comma 2 4 2 3" xfId="12297" xr:uid="{00000000-0005-0000-0000-000094680000}"/>
    <cellStyle name="Comma 2 4 2 3 2" xfId="30467" xr:uid="{00000000-0005-0000-0000-000095680000}"/>
    <cellStyle name="Comma 2 4 2 4" xfId="21177" xr:uid="{00000000-0005-0000-0000-000096680000}"/>
    <cellStyle name="Comma 2 4 2 5" xfId="3490" xr:uid="{00000000-0005-0000-0000-000097680000}"/>
    <cellStyle name="Comma 2 4 2 5 2" xfId="23465" xr:uid="{00000000-0005-0000-0000-000098680000}"/>
    <cellStyle name="Comma 2 4 2 6" xfId="21250" xr:uid="{00000000-0005-0000-0000-000099680000}"/>
    <cellStyle name="Comma 2 4 2 7" xfId="39381" xr:uid="{00000000-0005-0000-0000-00009A680000}"/>
    <cellStyle name="Comma 2 4 2 8" xfId="39450" xr:uid="{00000000-0005-0000-0000-00009B680000}"/>
    <cellStyle name="Comma 2 4 2 9" xfId="39937" xr:uid="{00000000-0005-0000-0000-00009C680000}"/>
    <cellStyle name="Comma 2 4 3" xfId="11151" xr:uid="{00000000-0005-0000-0000-00009D680000}"/>
    <cellStyle name="Comma 2 4 3 2" xfId="18926" xr:uid="{00000000-0005-0000-0000-00009E680000}"/>
    <cellStyle name="Comma 2 4 3 2 2" xfId="37085" xr:uid="{00000000-0005-0000-0000-00009F680000}"/>
    <cellStyle name="Comma 2 4 3 3" xfId="30084" xr:uid="{00000000-0005-0000-0000-0000A0680000}"/>
    <cellStyle name="Comma 2 4 4" xfId="11196" xr:uid="{00000000-0005-0000-0000-0000A1680000}"/>
    <cellStyle name="Comma 2 4 5" xfId="11962" xr:uid="{00000000-0005-0000-0000-0000A2680000}"/>
    <cellStyle name="Comma 2 4 5 2" xfId="30151" xr:uid="{00000000-0005-0000-0000-0000A3680000}"/>
    <cellStyle name="Comma 2 4 6" xfId="3146" xr:uid="{00000000-0005-0000-0000-0000A4680000}"/>
    <cellStyle name="Comma 2 4 6 2" xfId="23146" xr:uid="{00000000-0005-0000-0000-0000A5680000}"/>
    <cellStyle name="Comma 2 4 7" xfId="21249" xr:uid="{00000000-0005-0000-0000-0000A6680000}"/>
    <cellStyle name="Comma 2 4 8" xfId="39050" xr:uid="{00000000-0005-0000-0000-0000A7680000}"/>
    <cellStyle name="Comma 2 5" xfId="11192" xr:uid="{00000000-0005-0000-0000-0000A8680000}"/>
    <cellStyle name="Comma 2 5 2" xfId="21178" xr:uid="{00000000-0005-0000-0000-0000A9680000}"/>
    <cellStyle name="Comma 2 5 3" xfId="18975" xr:uid="{00000000-0005-0000-0000-0000AA680000}"/>
    <cellStyle name="Comma 2 6" xfId="11958" xr:uid="{00000000-0005-0000-0000-0000AB680000}"/>
    <cellStyle name="Comma 2 6 2" xfId="18977" xr:uid="{00000000-0005-0000-0000-0000AC680000}"/>
    <cellStyle name="Comma 2 6 2 2" xfId="37129" xr:uid="{00000000-0005-0000-0000-0000AD680000}"/>
    <cellStyle name="Comma 2 6 2 3" xfId="38084" xr:uid="{00000000-0005-0000-0000-0000AE680000}"/>
    <cellStyle name="Comma 2 6 3" xfId="18976" xr:uid="{00000000-0005-0000-0000-0000AF680000}"/>
    <cellStyle name="Comma 2 6 3 2" xfId="37128" xr:uid="{00000000-0005-0000-0000-0000B0680000}"/>
    <cellStyle name="Comma 2 6 4" xfId="30147" xr:uid="{00000000-0005-0000-0000-0000B1680000}"/>
    <cellStyle name="Comma 2 6 5" xfId="38083" xr:uid="{00000000-0005-0000-0000-0000B2680000}"/>
    <cellStyle name="Comma 2 7" xfId="21221" xr:uid="{00000000-0005-0000-0000-0000B3680000}"/>
    <cellStyle name="Comma 2 7 2" xfId="38072" xr:uid="{00000000-0005-0000-0000-0000B4680000}"/>
    <cellStyle name="Comma 2 7 3" xfId="39027" xr:uid="{00000000-0005-0000-0000-0000B5680000}"/>
    <cellStyle name="Comma 2 8" xfId="21172" xr:uid="{00000000-0005-0000-0000-0000B6680000}"/>
    <cellStyle name="Comma 2 9" xfId="3142" xr:uid="{00000000-0005-0000-0000-0000B7680000}"/>
    <cellStyle name="Comma 2 9 2" xfId="23142" xr:uid="{00000000-0005-0000-0000-0000B8680000}"/>
    <cellStyle name="Comma 3" xfId="44" xr:uid="{00000000-0005-0000-0000-0000B9680000}"/>
    <cellStyle name="Comma 3 2" xfId="2014" xr:uid="{00000000-0005-0000-0000-0000BA680000}"/>
    <cellStyle name="Comma 3 2 2" xfId="18979" xr:uid="{00000000-0005-0000-0000-0000BB680000}"/>
    <cellStyle name="Comma 3 2 2 2" xfId="21181" xr:uid="{00000000-0005-0000-0000-0000BC680000}"/>
    <cellStyle name="Comma 3 2 3" xfId="21180" xr:uid="{00000000-0005-0000-0000-0000BD680000}"/>
    <cellStyle name="Comma 3 2 4" xfId="18978" xr:uid="{00000000-0005-0000-0000-0000BE680000}"/>
    <cellStyle name="Comma 3 2 5" xfId="3463" xr:uid="{00000000-0005-0000-0000-0000BF680000}"/>
    <cellStyle name="Comma 3 3" xfId="3491" xr:uid="{00000000-0005-0000-0000-0000C0680000}"/>
    <cellStyle name="Comma 3 3 2" xfId="12298" xr:uid="{00000000-0005-0000-0000-0000C1680000}"/>
    <cellStyle name="Comma 3 3 2 2" xfId="21204" xr:uid="{00000000-0005-0000-0000-0000C2680000}"/>
    <cellStyle name="Comma 3 3 2 2 2" xfId="38060" xr:uid="{00000000-0005-0000-0000-0000C3680000}"/>
    <cellStyle name="Comma 3 3 2 2 3" xfId="39015" xr:uid="{00000000-0005-0000-0000-0000C4680000}"/>
    <cellStyle name="Comma 3 3 2 3" xfId="20241" xr:uid="{00000000-0005-0000-0000-0000C5680000}"/>
    <cellStyle name="Comma 3 3 2 3 2" xfId="37741" xr:uid="{00000000-0005-0000-0000-0000C6680000}"/>
    <cellStyle name="Comma 3 3 2 4" xfId="30468" xr:uid="{00000000-0005-0000-0000-0000C7680000}"/>
    <cellStyle name="Comma 3 3 2 5" xfId="38696" xr:uid="{00000000-0005-0000-0000-0000C8680000}"/>
    <cellStyle name="Comma 3 3 3" xfId="21182" xr:uid="{00000000-0005-0000-0000-0000C9680000}"/>
    <cellStyle name="Comma 3 3 3 2" xfId="38050" xr:uid="{00000000-0005-0000-0000-0000CA680000}"/>
    <cellStyle name="Comma 3 3 3 3" xfId="39005" xr:uid="{00000000-0005-0000-0000-0000CB680000}"/>
    <cellStyle name="Comma 3 3 4" xfId="18980" xr:uid="{00000000-0005-0000-0000-0000CC680000}"/>
    <cellStyle name="Comma 3 3 4 2" xfId="37130" xr:uid="{00000000-0005-0000-0000-0000CD680000}"/>
    <cellStyle name="Comma 3 3 5" xfId="23466" xr:uid="{00000000-0005-0000-0000-0000CE680000}"/>
    <cellStyle name="Comma 3 3 6" xfId="38085" xr:uid="{00000000-0005-0000-0000-0000CF680000}"/>
    <cellStyle name="Comma 3 3 7" xfId="39382" xr:uid="{00000000-0005-0000-0000-0000D0680000}"/>
    <cellStyle name="Comma 3 4" xfId="11963" xr:uid="{00000000-0005-0000-0000-0000D1680000}"/>
    <cellStyle name="Comma 3 4 2" xfId="21203" xr:uid="{00000000-0005-0000-0000-0000D2680000}"/>
    <cellStyle name="Comma 3 4 3" xfId="20240" xr:uid="{00000000-0005-0000-0000-0000D3680000}"/>
    <cellStyle name="Comma 3 4 4" xfId="30152" xr:uid="{00000000-0005-0000-0000-0000D4680000}"/>
    <cellStyle name="Comma 3 5" xfId="21223" xr:uid="{00000000-0005-0000-0000-0000D5680000}"/>
    <cellStyle name="Comma 3 5 2" xfId="38074" xr:uid="{00000000-0005-0000-0000-0000D6680000}"/>
    <cellStyle name="Comma 3 5 3" xfId="39029" xr:uid="{00000000-0005-0000-0000-0000D7680000}"/>
    <cellStyle name="Comma 3 6" xfId="21179" xr:uid="{00000000-0005-0000-0000-0000D8680000}"/>
    <cellStyle name="Comma 3 7" xfId="3147" xr:uid="{00000000-0005-0000-0000-0000D9680000}"/>
    <cellStyle name="Comma 3 7 2" xfId="23147" xr:uid="{00000000-0005-0000-0000-0000DA680000}"/>
    <cellStyle name="Comma 3 8" xfId="21251" xr:uid="{00000000-0005-0000-0000-0000DB680000}"/>
    <cellStyle name="Comma 3 9" xfId="39051" xr:uid="{00000000-0005-0000-0000-0000DC680000}"/>
    <cellStyle name="Comma 4" xfId="45" xr:uid="{00000000-0005-0000-0000-0000DD680000}"/>
    <cellStyle name="Comma 4 2" xfId="46" xr:uid="{00000000-0005-0000-0000-0000DE680000}"/>
    <cellStyle name="Comma 4 2 2" xfId="18983" xr:uid="{00000000-0005-0000-0000-0000DF680000}"/>
    <cellStyle name="Comma 4 2 2 2" xfId="21185" xr:uid="{00000000-0005-0000-0000-0000E0680000}"/>
    <cellStyle name="Comma 4 2 3" xfId="21184" xr:uid="{00000000-0005-0000-0000-0000E1680000}"/>
    <cellStyle name="Comma 4 2 4" xfId="18982" xr:uid="{00000000-0005-0000-0000-0000E2680000}"/>
    <cellStyle name="Comma 4 3" xfId="11197" xr:uid="{00000000-0005-0000-0000-0000E3680000}"/>
    <cellStyle name="Comma 4 3 2" xfId="20243" xr:uid="{00000000-0005-0000-0000-0000E4680000}"/>
    <cellStyle name="Comma 4 3 2 2" xfId="21206" xr:uid="{00000000-0005-0000-0000-0000E5680000}"/>
    <cellStyle name="Comma 4 3 2 2 2" xfId="38061" xr:uid="{00000000-0005-0000-0000-0000E6680000}"/>
    <cellStyle name="Comma 4 3 2 2 3" xfId="39016" xr:uid="{00000000-0005-0000-0000-0000E7680000}"/>
    <cellStyle name="Comma 4 3 2 3" xfId="37742" xr:uid="{00000000-0005-0000-0000-0000E8680000}"/>
    <cellStyle name="Comma 4 3 2 4" xfId="38697" xr:uid="{00000000-0005-0000-0000-0000E9680000}"/>
    <cellStyle name="Comma 4 3 3" xfId="21186" xr:uid="{00000000-0005-0000-0000-0000EA680000}"/>
    <cellStyle name="Comma 4 3 3 2" xfId="38051" xr:uid="{00000000-0005-0000-0000-0000EB680000}"/>
    <cellStyle name="Comma 4 3 3 3" xfId="39006" xr:uid="{00000000-0005-0000-0000-0000EC680000}"/>
    <cellStyle name="Comma 4 3 4" xfId="18984" xr:uid="{00000000-0005-0000-0000-0000ED680000}"/>
    <cellStyle name="Comma 4 3 4 2" xfId="37131" xr:uid="{00000000-0005-0000-0000-0000EE680000}"/>
    <cellStyle name="Comma 4 3 5" xfId="38086" xr:uid="{00000000-0005-0000-0000-0000EF680000}"/>
    <cellStyle name="Comma 4 4" xfId="11964" xr:uid="{00000000-0005-0000-0000-0000F0680000}"/>
    <cellStyle name="Comma 4 4 2" xfId="20244" xr:uid="{00000000-0005-0000-0000-0000F1680000}"/>
    <cellStyle name="Comma 4 4 2 2" xfId="21207" xr:uid="{00000000-0005-0000-0000-0000F2680000}"/>
    <cellStyle name="Comma 4 4 3" xfId="21187" xr:uid="{00000000-0005-0000-0000-0000F3680000}"/>
    <cellStyle name="Comma 4 4 4" xfId="18985" xr:uid="{00000000-0005-0000-0000-0000F4680000}"/>
    <cellStyle name="Comma 4 5" xfId="20242" xr:uid="{00000000-0005-0000-0000-0000F5680000}"/>
    <cellStyle name="Comma 4 5 2" xfId="21205" xr:uid="{00000000-0005-0000-0000-0000F6680000}"/>
    <cellStyle name="Comma 4 6" xfId="21183" xr:uid="{00000000-0005-0000-0000-0000F7680000}"/>
    <cellStyle name="Comma 4 7" xfId="18981" xr:uid="{00000000-0005-0000-0000-0000F8680000}"/>
    <cellStyle name="Comma 4 8" xfId="21252" xr:uid="{00000000-0005-0000-0000-0000F9680000}"/>
    <cellStyle name="Comma 5" xfId="47" xr:uid="{00000000-0005-0000-0000-0000FA680000}"/>
    <cellStyle name="Comma 5 2" xfId="2015" xr:uid="{00000000-0005-0000-0000-0000FB680000}"/>
    <cellStyle name="Comma 5 2 2" xfId="21208" xr:uid="{00000000-0005-0000-0000-0000FC680000}"/>
    <cellStyle name="Comma 5 2 3" xfId="20245" xr:uid="{00000000-0005-0000-0000-0000FD680000}"/>
    <cellStyle name="Comma 5 2 4" xfId="18919" xr:uid="{00000000-0005-0000-0000-0000FE680000}"/>
    <cellStyle name="Comma 5 2 4 2" xfId="37079" xr:uid="{00000000-0005-0000-0000-0000FF680000}"/>
    <cellStyle name="Comma 5 2 5" xfId="22097" xr:uid="{00000000-0005-0000-0000-000000690000}"/>
    <cellStyle name="Comma 5 3" xfId="21188" xr:uid="{00000000-0005-0000-0000-000001690000}"/>
    <cellStyle name="Comma 5 4" xfId="18986" xr:uid="{00000000-0005-0000-0000-000002690000}"/>
    <cellStyle name="Comma 5 5" xfId="11070" xr:uid="{00000000-0005-0000-0000-000003690000}"/>
    <cellStyle name="Comma 5 5 2" xfId="30078" xr:uid="{00000000-0005-0000-0000-000004690000}"/>
    <cellStyle name="Comma 5 6" xfId="21253" xr:uid="{00000000-0005-0000-0000-000005690000}"/>
    <cellStyle name="Comma 6" xfId="48" xr:uid="{00000000-0005-0000-0000-000006690000}"/>
    <cellStyle name="Comma 6 2" xfId="2016" xr:uid="{00000000-0005-0000-0000-000007690000}"/>
    <cellStyle name="Comma 6 2 2" xfId="21209" xr:uid="{00000000-0005-0000-0000-000008690000}"/>
    <cellStyle name="Comma 6 2 3" xfId="20246" xr:uid="{00000000-0005-0000-0000-000009690000}"/>
    <cellStyle name="Comma 6 3" xfId="21189" xr:uid="{00000000-0005-0000-0000-00000A690000}"/>
    <cellStyle name="Comma 6 4" xfId="11198" xr:uid="{00000000-0005-0000-0000-00000B690000}"/>
    <cellStyle name="Comma 6 5" xfId="21254" xr:uid="{00000000-0005-0000-0000-00000C690000}"/>
    <cellStyle name="Comma 7" xfId="2017" xr:uid="{00000000-0005-0000-0000-00000D690000}"/>
    <cellStyle name="Comma 7 2" xfId="21171" xr:uid="{00000000-0005-0000-0000-00000E690000}"/>
    <cellStyle name="Comma 7 2 2" xfId="21218" xr:uid="{00000000-0005-0000-0000-00000F690000}"/>
    <cellStyle name="Comma 7 2 2 2" xfId="38069" xr:uid="{00000000-0005-0000-0000-000010690000}"/>
    <cellStyle name="Comma 7 2 2 3" xfId="39024" xr:uid="{00000000-0005-0000-0000-000011690000}"/>
    <cellStyle name="Comma 7 2 3" xfId="38049" xr:uid="{00000000-0005-0000-0000-000012690000}"/>
    <cellStyle name="Comma 7 2 4" xfId="39004" xr:uid="{00000000-0005-0000-0000-000013690000}"/>
    <cellStyle name="Comma 7 3" xfId="21199" xr:uid="{00000000-0005-0000-0000-000014690000}"/>
    <cellStyle name="Comma 7 3 2" xfId="38059" xr:uid="{00000000-0005-0000-0000-000015690000}"/>
    <cellStyle name="Comma 7 3 3" xfId="39014" xr:uid="{00000000-0005-0000-0000-000016690000}"/>
    <cellStyle name="Comma 7 4" xfId="20168" xr:uid="{00000000-0005-0000-0000-000017690000}"/>
    <cellStyle name="Comma 7 4 2" xfId="37680" xr:uid="{00000000-0005-0000-0000-000018690000}"/>
    <cellStyle name="Comma 7 5" xfId="11957" xr:uid="{00000000-0005-0000-0000-000019690000}"/>
    <cellStyle name="Comma 7 5 2" xfId="30146" xr:uid="{00000000-0005-0000-0000-00001A690000}"/>
    <cellStyle name="Comma 7 6" xfId="38635" xr:uid="{00000000-0005-0000-0000-00001B690000}"/>
    <cellStyle name="Comma 8" xfId="2018" xr:uid="{00000000-0005-0000-0000-00001C690000}"/>
    <cellStyle name="Comma 9" xfId="2019" xr:uid="{00000000-0005-0000-0000-00001D690000}"/>
    <cellStyle name="Comma 9 2" xfId="2020" xr:uid="{00000000-0005-0000-0000-00001E690000}"/>
    <cellStyle name="Comma 9 2 2" xfId="2021" xr:uid="{00000000-0005-0000-0000-00001F690000}"/>
    <cellStyle name="Comma 9 2 2 2" xfId="2022" xr:uid="{00000000-0005-0000-0000-000020690000}"/>
    <cellStyle name="Comma 9 2 2 2 2" xfId="22101" xr:uid="{00000000-0005-0000-0000-000021690000}"/>
    <cellStyle name="Comma 9 2 2 3" xfId="22100" xr:uid="{00000000-0005-0000-0000-000022690000}"/>
    <cellStyle name="Comma 9 2 3" xfId="2023" xr:uid="{00000000-0005-0000-0000-000023690000}"/>
    <cellStyle name="Comma 9 2 3 2" xfId="2024" xr:uid="{00000000-0005-0000-0000-000024690000}"/>
    <cellStyle name="Comma 9 2 3 2 2" xfId="22103" xr:uid="{00000000-0005-0000-0000-000025690000}"/>
    <cellStyle name="Comma 9 2 3 3" xfId="22102" xr:uid="{00000000-0005-0000-0000-000026690000}"/>
    <cellStyle name="Comma 9 2 4" xfId="2025" xr:uid="{00000000-0005-0000-0000-000027690000}"/>
    <cellStyle name="Comma 9 2 4 2" xfId="22104" xr:uid="{00000000-0005-0000-0000-000028690000}"/>
    <cellStyle name="Comma 9 2 5" xfId="22099" xr:uid="{00000000-0005-0000-0000-000029690000}"/>
    <cellStyle name="Comma 9 3" xfId="2026" xr:uid="{00000000-0005-0000-0000-00002A690000}"/>
    <cellStyle name="Comma 9 3 2" xfId="2027" xr:uid="{00000000-0005-0000-0000-00002B690000}"/>
    <cellStyle name="Comma 9 3 2 2" xfId="22106" xr:uid="{00000000-0005-0000-0000-00002C690000}"/>
    <cellStyle name="Comma 9 3 3" xfId="22105" xr:uid="{00000000-0005-0000-0000-00002D690000}"/>
    <cellStyle name="Comma 9 4" xfId="2028" xr:uid="{00000000-0005-0000-0000-00002E690000}"/>
    <cellStyle name="Comma 9 4 2" xfId="2029" xr:uid="{00000000-0005-0000-0000-00002F690000}"/>
    <cellStyle name="Comma 9 4 2 2" xfId="22108" xr:uid="{00000000-0005-0000-0000-000030690000}"/>
    <cellStyle name="Comma 9 4 3" xfId="22107" xr:uid="{00000000-0005-0000-0000-000031690000}"/>
    <cellStyle name="Comma 9 5" xfId="2030" xr:uid="{00000000-0005-0000-0000-000032690000}"/>
    <cellStyle name="Comma 9 5 2" xfId="2031" xr:uid="{00000000-0005-0000-0000-000033690000}"/>
    <cellStyle name="Comma 9 5 2 2" xfId="22110" xr:uid="{00000000-0005-0000-0000-000034690000}"/>
    <cellStyle name="Comma 9 5 3" xfId="22109" xr:uid="{00000000-0005-0000-0000-000035690000}"/>
    <cellStyle name="Comma 9 6" xfId="2032" xr:uid="{00000000-0005-0000-0000-000036690000}"/>
    <cellStyle name="Comma 9 6 2" xfId="22111" xr:uid="{00000000-0005-0000-0000-000037690000}"/>
    <cellStyle name="Comma 9 7" xfId="22098" xr:uid="{00000000-0005-0000-0000-000038690000}"/>
    <cellStyle name="Comma0" xfId="7299" xr:uid="{00000000-0005-0000-0000-000039690000}"/>
    <cellStyle name="Comma0 - Type3" xfId="49" xr:uid="{00000000-0005-0000-0000-00003A690000}"/>
    <cellStyle name="Comma0 - Typografi1" xfId="7300" xr:uid="{00000000-0005-0000-0000-00003B690000}"/>
    <cellStyle name="Comma0 - Typografi1 2" xfId="7301" xr:uid="{00000000-0005-0000-0000-00003C690000}"/>
    <cellStyle name="Comma0 - Typografi1 2 2" xfId="7302" xr:uid="{00000000-0005-0000-0000-00003D690000}"/>
    <cellStyle name="Comma0 - Typografi1 2 2 2" xfId="11077" xr:uid="{00000000-0005-0000-0000-00003E690000}"/>
    <cellStyle name="Comma0 - Typografi1 2 3" xfId="11076" xr:uid="{00000000-0005-0000-0000-00003F690000}"/>
    <cellStyle name="Comma0 - Typografi1 3" xfId="7303" xr:uid="{00000000-0005-0000-0000-000040690000}"/>
    <cellStyle name="Comma0 - Typografi1 3 2" xfId="11078" xr:uid="{00000000-0005-0000-0000-000041690000}"/>
    <cellStyle name="Comma0 - Typografi1 4" xfId="7304" xr:uid="{00000000-0005-0000-0000-000042690000}"/>
    <cellStyle name="Comma0 - Typografi1 4 2" xfId="11079" xr:uid="{00000000-0005-0000-0000-000043690000}"/>
    <cellStyle name="Comma0 - Typografi1 5" xfId="11075" xr:uid="{00000000-0005-0000-0000-000044690000}"/>
    <cellStyle name="Comma0 10" xfId="11051" xr:uid="{00000000-0005-0000-0000-000045690000}"/>
    <cellStyle name="Comma0 11" xfId="11059" xr:uid="{00000000-0005-0000-0000-000046690000}"/>
    <cellStyle name="Comma0 12" xfId="11043" xr:uid="{00000000-0005-0000-0000-000047690000}"/>
    <cellStyle name="Comma0 13" xfId="8312" xr:uid="{00000000-0005-0000-0000-000048690000}"/>
    <cellStyle name="Comma0 14" xfId="11052" xr:uid="{00000000-0005-0000-0000-000049690000}"/>
    <cellStyle name="Comma0 15" xfId="11042" xr:uid="{00000000-0005-0000-0000-00004A690000}"/>
    <cellStyle name="Comma0 16" xfId="11048" xr:uid="{00000000-0005-0000-0000-00004B690000}"/>
    <cellStyle name="Comma0 2" xfId="9707" xr:uid="{00000000-0005-0000-0000-00004C690000}"/>
    <cellStyle name="Comma0 3" xfId="11053" xr:uid="{00000000-0005-0000-0000-00004D690000}"/>
    <cellStyle name="Comma0 4" xfId="11058" xr:uid="{00000000-0005-0000-0000-00004E690000}"/>
    <cellStyle name="Comma0 5" xfId="11055" xr:uid="{00000000-0005-0000-0000-00004F690000}"/>
    <cellStyle name="Comma0 6" xfId="11039" xr:uid="{00000000-0005-0000-0000-000050690000}"/>
    <cellStyle name="Comma0 7" xfId="11049" xr:uid="{00000000-0005-0000-0000-000051690000}"/>
    <cellStyle name="Comma0 8" xfId="11047" xr:uid="{00000000-0005-0000-0000-000052690000}"/>
    <cellStyle name="Comma0 9" xfId="11063" xr:uid="{00000000-0005-0000-0000-000053690000}"/>
    <cellStyle name="Comma1 - Typografi1" xfId="7305" xr:uid="{00000000-0005-0000-0000-000054690000}"/>
    <cellStyle name="Currency0" xfId="7306" xr:uid="{00000000-0005-0000-0000-000055690000}"/>
    <cellStyle name="Currency0 2" xfId="9708" xr:uid="{00000000-0005-0000-0000-000056690000}"/>
    <cellStyle name="CustomizationCells" xfId="50" xr:uid="{00000000-0005-0000-0000-000057690000}"/>
    <cellStyle name="CustomizationCells 2" xfId="11965" xr:uid="{00000000-0005-0000-0000-000058690000}"/>
    <cellStyle name="CustomizationCells 3" xfId="20131" xr:uid="{00000000-0005-0000-0000-000059690000}"/>
    <cellStyle name="Date" xfId="7307" xr:uid="{00000000-0005-0000-0000-00005A690000}"/>
    <cellStyle name="Date - Typografi3" xfId="7308" xr:uid="{00000000-0005-0000-0000-00005B690000}"/>
    <cellStyle name="Date 10" xfId="11061" xr:uid="{00000000-0005-0000-0000-00005C690000}"/>
    <cellStyle name="Date 11" xfId="11046" xr:uid="{00000000-0005-0000-0000-00005D690000}"/>
    <cellStyle name="Date 12" xfId="11044" xr:uid="{00000000-0005-0000-0000-00005E690000}"/>
    <cellStyle name="Date 13" xfId="11041" xr:uid="{00000000-0005-0000-0000-00005F690000}"/>
    <cellStyle name="Date 14" xfId="11060" xr:uid="{00000000-0005-0000-0000-000060690000}"/>
    <cellStyle name="Date 15" xfId="11050" xr:uid="{00000000-0005-0000-0000-000061690000}"/>
    <cellStyle name="Date 16" xfId="11057" xr:uid="{00000000-0005-0000-0000-000062690000}"/>
    <cellStyle name="Date 2" xfId="9709" xr:uid="{00000000-0005-0000-0000-000063690000}"/>
    <cellStyle name="Date 3" xfId="11054" xr:uid="{00000000-0005-0000-0000-000064690000}"/>
    <cellStyle name="Date 4" xfId="11038" xr:uid="{00000000-0005-0000-0000-000065690000}"/>
    <cellStyle name="Date 5" xfId="11056" xr:uid="{00000000-0005-0000-0000-000066690000}"/>
    <cellStyle name="Date 6" xfId="11040" xr:uid="{00000000-0005-0000-0000-000067690000}"/>
    <cellStyle name="Date 7" xfId="11064" xr:uid="{00000000-0005-0000-0000-000068690000}"/>
    <cellStyle name="Date 8" xfId="11045" xr:uid="{00000000-0005-0000-0000-000069690000}"/>
    <cellStyle name="Date 9" xfId="11062" xr:uid="{00000000-0005-0000-0000-00006A690000}"/>
    <cellStyle name="Euro" xfId="51" xr:uid="{00000000-0005-0000-0000-00006B690000}"/>
    <cellStyle name="Euro 10" xfId="52" xr:uid="{00000000-0005-0000-0000-00006C690000}"/>
    <cellStyle name="Euro 10 2" xfId="53" xr:uid="{00000000-0005-0000-0000-00006D690000}"/>
    <cellStyle name="Euro 10 2 2" xfId="3492" xr:uid="{00000000-0005-0000-0000-00006E690000}"/>
    <cellStyle name="Euro 10 3" xfId="54" xr:uid="{00000000-0005-0000-0000-00006F690000}"/>
    <cellStyle name="Euro 10 3 2" xfId="55" xr:uid="{00000000-0005-0000-0000-000070690000}"/>
    <cellStyle name="Euro 10 3 3" xfId="18988" xr:uid="{00000000-0005-0000-0000-000071690000}"/>
    <cellStyle name="Euro 10 3 3 2" xfId="20248" xr:uid="{00000000-0005-0000-0000-000072690000}"/>
    <cellStyle name="Euro 10 3 4" xfId="20247" xr:uid="{00000000-0005-0000-0000-000073690000}"/>
    <cellStyle name="Euro 10 3 5" xfId="18987" xr:uid="{00000000-0005-0000-0000-000074690000}"/>
    <cellStyle name="Euro 10 4" xfId="56" xr:uid="{00000000-0005-0000-0000-000075690000}"/>
    <cellStyle name="Euro 10 4 2" xfId="18990" xr:uid="{00000000-0005-0000-0000-000076690000}"/>
    <cellStyle name="Euro 10 4 2 2" xfId="20250" xr:uid="{00000000-0005-0000-0000-000077690000}"/>
    <cellStyle name="Euro 10 4 3" xfId="20249" xr:uid="{00000000-0005-0000-0000-000078690000}"/>
    <cellStyle name="Euro 10 4 4" xfId="18989" xr:uid="{00000000-0005-0000-0000-000079690000}"/>
    <cellStyle name="Euro 10 4 5" xfId="11199" xr:uid="{00000000-0005-0000-0000-00007A690000}"/>
    <cellStyle name="Euro 10 5" xfId="57" xr:uid="{00000000-0005-0000-0000-00007B690000}"/>
    <cellStyle name="Euro 10 5 2" xfId="11200" xr:uid="{00000000-0005-0000-0000-00007C690000}"/>
    <cellStyle name="Euro 10 6" xfId="58" xr:uid="{00000000-0005-0000-0000-00007D690000}"/>
    <cellStyle name="Euro 10 6 2" xfId="21255" xr:uid="{00000000-0005-0000-0000-00007E690000}"/>
    <cellStyle name="Euro 11" xfId="59" xr:uid="{00000000-0005-0000-0000-00007F690000}"/>
    <cellStyle name="Euro 11 2" xfId="60" xr:uid="{00000000-0005-0000-0000-000080690000}"/>
    <cellStyle name="Euro 11 2 2" xfId="3493" xr:uid="{00000000-0005-0000-0000-000081690000}"/>
    <cellStyle name="Euro 11 3" xfId="61" xr:uid="{00000000-0005-0000-0000-000082690000}"/>
    <cellStyle name="Euro 11 3 2" xfId="62" xr:uid="{00000000-0005-0000-0000-000083690000}"/>
    <cellStyle name="Euro 11 3 3" xfId="18992" xr:uid="{00000000-0005-0000-0000-000084690000}"/>
    <cellStyle name="Euro 11 3 3 2" xfId="20252" xr:uid="{00000000-0005-0000-0000-000085690000}"/>
    <cellStyle name="Euro 11 3 4" xfId="20251" xr:uid="{00000000-0005-0000-0000-000086690000}"/>
    <cellStyle name="Euro 11 3 5" xfId="18991" xr:uid="{00000000-0005-0000-0000-000087690000}"/>
    <cellStyle name="Euro 11 4" xfId="63" xr:uid="{00000000-0005-0000-0000-000088690000}"/>
    <cellStyle name="Euro 11 4 2" xfId="18994" xr:uid="{00000000-0005-0000-0000-000089690000}"/>
    <cellStyle name="Euro 11 4 2 2" xfId="20254" xr:uid="{00000000-0005-0000-0000-00008A690000}"/>
    <cellStyle name="Euro 11 4 3" xfId="20253" xr:uid="{00000000-0005-0000-0000-00008B690000}"/>
    <cellStyle name="Euro 11 4 4" xfId="18993" xr:uid="{00000000-0005-0000-0000-00008C690000}"/>
    <cellStyle name="Euro 11 4 5" xfId="11201" xr:uid="{00000000-0005-0000-0000-00008D690000}"/>
    <cellStyle name="Euro 11 5" xfId="64" xr:uid="{00000000-0005-0000-0000-00008E690000}"/>
    <cellStyle name="Euro 11 5 2" xfId="11202" xr:uid="{00000000-0005-0000-0000-00008F690000}"/>
    <cellStyle name="Euro 11 6" xfId="65" xr:uid="{00000000-0005-0000-0000-000090690000}"/>
    <cellStyle name="Euro 11 6 2" xfId="21256" xr:uid="{00000000-0005-0000-0000-000091690000}"/>
    <cellStyle name="Euro 12" xfId="66" xr:uid="{00000000-0005-0000-0000-000092690000}"/>
    <cellStyle name="Euro 12 2" xfId="67" xr:uid="{00000000-0005-0000-0000-000093690000}"/>
    <cellStyle name="Euro 12 2 2" xfId="3494" xr:uid="{00000000-0005-0000-0000-000094690000}"/>
    <cellStyle name="Euro 12 3" xfId="68" xr:uid="{00000000-0005-0000-0000-000095690000}"/>
    <cellStyle name="Euro 12 3 2" xfId="69" xr:uid="{00000000-0005-0000-0000-000096690000}"/>
    <cellStyle name="Euro 12 3 3" xfId="18996" xr:uid="{00000000-0005-0000-0000-000097690000}"/>
    <cellStyle name="Euro 12 3 3 2" xfId="20256" xr:uid="{00000000-0005-0000-0000-000098690000}"/>
    <cellStyle name="Euro 12 3 4" xfId="20255" xr:uid="{00000000-0005-0000-0000-000099690000}"/>
    <cellStyle name="Euro 12 3 5" xfId="18995" xr:uid="{00000000-0005-0000-0000-00009A690000}"/>
    <cellStyle name="Euro 12 4" xfId="70" xr:uid="{00000000-0005-0000-0000-00009B690000}"/>
    <cellStyle name="Euro 12 4 2" xfId="18998" xr:uid="{00000000-0005-0000-0000-00009C690000}"/>
    <cellStyle name="Euro 12 4 2 2" xfId="20258" xr:uid="{00000000-0005-0000-0000-00009D690000}"/>
    <cellStyle name="Euro 12 4 3" xfId="20257" xr:uid="{00000000-0005-0000-0000-00009E690000}"/>
    <cellStyle name="Euro 12 4 4" xfId="18997" xr:uid="{00000000-0005-0000-0000-00009F690000}"/>
    <cellStyle name="Euro 12 4 5" xfId="11203" xr:uid="{00000000-0005-0000-0000-0000A0690000}"/>
    <cellStyle name="Euro 12 5" xfId="71" xr:uid="{00000000-0005-0000-0000-0000A1690000}"/>
    <cellStyle name="Euro 12 5 2" xfId="11204" xr:uid="{00000000-0005-0000-0000-0000A2690000}"/>
    <cellStyle name="Euro 12 6" xfId="72" xr:uid="{00000000-0005-0000-0000-0000A3690000}"/>
    <cellStyle name="Euro 12 6 2" xfId="21257" xr:uid="{00000000-0005-0000-0000-0000A4690000}"/>
    <cellStyle name="Euro 13" xfId="73" xr:uid="{00000000-0005-0000-0000-0000A5690000}"/>
    <cellStyle name="Euro 13 2" xfId="74" xr:uid="{00000000-0005-0000-0000-0000A6690000}"/>
    <cellStyle name="Euro 13 2 2" xfId="3495" xr:uid="{00000000-0005-0000-0000-0000A7690000}"/>
    <cellStyle name="Euro 13 3" xfId="75" xr:uid="{00000000-0005-0000-0000-0000A8690000}"/>
    <cellStyle name="Euro 13 3 2" xfId="76" xr:uid="{00000000-0005-0000-0000-0000A9690000}"/>
    <cellStyle name="Euro 13 3 3" xfId="19000" xr:uid="{00000000-0005-0000-0000-0000AA690000}"/>
    <cellStyle name="Euro 13 3 3 2" xfId="20260" xr:uid="{00000000-0005-0000-0000-0000AB690000}"/>
    <cellStyle name="Euro 13 3 4" xfId="20259" xr:uid="{00000000-0005-0000-0000-0000AC690000}"/>
    <cellStyle name="Euro 13 3 5" xfId="18999" xr:uid="{00000000-0005-0000-0000-0000AD690000}"/>
    <cellStyle name="Euro 13 4" xfId="77" xr:uid="{00000000-0005-0000-0000-0000AE690000}"/>
    <cellStyle name="Euro 13 4 2" xfId="19002" xr:uid="{00000000-0005-0000-0000-0000AF690000}"/>
    <cellStyle name="Euro 13 4 2 2" xfId="20262" xr:uid="{00000000-0005-0000-0000-0000B0690000}"/>
    <cellStyle name="Euro 13 4 3" xfId="20261" xr:uid="{00000000-0005-0000-0000-0000B1690000}"/>
    <cellStyle name="Euro 13 4 4" xfId="19001" xr:uid="{00000000-0005-0000-0000-0000B2690000}"/>
    <cellStyle name="Euro 13 4 5" xfId="11205" xr:uid="{00000000-0005-0000-0000-0000B3690000}"/>
    <cellStyle name="Euro 13 5" xfId="78" xr:uid="{00000000-0005-0000-0000-0000B4690000}"/>
    <cellStyle name="Euro 13 5 2" xfId="11206" xr:uid="{00000000-0005-0000-0000-0000B5690000}"/>
    <cellStyle name="Euro 13 6" xfId="79" xr:uid="{00000000-0005-0000-0000-0000B6690000}"/>
    <cellStyle name="Euro 13 6 2" xfId="21258" xr:uid="{00000000-0005-0000-0000-0000B7690000}"/>
    <cellStyle name="Euro 14" xfId="80" xr:uid="{00000000-0005-0000-0000-0000B8690000}"/>
    <cellStyle name="Euro 14 2" xfId="81" xr:uid="{00000000-0005-0000-0000-0000B9690000}"/>
    <cellStyle name="Euro 14 2 2" xfId="3496" xr:uid="{00000000-0005-0000-0000-0000BA690000}"/>
    <cellStyle name="Euro 14 3" xfId="82" xr:uid="{00000000-0005-0000-0000-0000BB690000}"/>
    <cellStyle name="Euro 14 3 2" xfId="83" xr:uid="{00000000-0005-0000-0000-0000BC690000}"/>
    <cellStyle name="Euro 14 3 3" xfId="19005" xr:uid="{00000000-0005-0000-0000-0000BD690000}"/>
    <cellStyle name="Euro 14 3 3 2" xfId="20264" xr:uid="{00000000-0005-0000-0000-0000BE690000}"/>
    <cellStyle name="Euro 14 3 4" xfId="20263" xr:uid="{00000000-0005-0000-0000-0000BF690000}"/>
    <cellStyle name="Euro 14 3 5" xfId="19004" xr:uid="{00000000-0005-0000-0000-0000C0690000}"/>
    <cellStyle name="Euro 14 4" xfId="84" xr:uid="{00000000-0005-0000-0000-0000C1690000}"/>
    <cellStyle name="Euro 14 4 2" xfId="19007" xr:uid="{00000000-0005-0000-0000-0000C2690000}"/>
    <cellStyle name="Euro 14 4 2 2" xfId="20266" xr:uid="{00000000-0005-0000-0000-0000C3690000}"/>
    <cellStyle name="Euro 14 4 3" xfId="20265" xr:uid="{00000000-0005-0000-0000-0000C4690000}"/>
    <cellStyle name="Euro 14 4 4" xfId="19006" xr:uid="{00000000-0005-0000-0000-0000C5690000}"/>
    <cellStyle name="Euro 14 4 5" xfId="11207" xr:uid="{00000000-0005-0000-0000-0000C6690000}"/>
    <cellStyle name="Euro 14 5" xfId="85" xr:uid="{00000000-0005-0000-0000-0000C7690000}"/>
    <cellStyle name="Euro 14 5 2" xfId="11208" xr:uid="{00000000-0005-0000-0000-0000C8690000}"/>
    <cellStyle name="Euro 14 6" xfId="86" xr:uid="{00000000-0005-0000-0000-0000C9690000}"/>
    <cellStyle name="Euro 14 6 2" xfId="21259" xr:uid="{00000000-0005-0000-0000-0000CA690000}"/>
    <cellStyle name="Euro 15" xfId="87" xr:uid="{00000000-0005-0000-0000-0000CB690000}"/>
    <cellStyle name="Euro 15 2" xfId="88" xr:uid="{00000000-0005-0000-0000-0000CC690000}"/>
    <cellStyle name="Euro 15 2 2" xfId="3497" xr:uid="{00000000-0005-0000-0000-0000CD690000}"/>
    <cellStyle name="Euro 15 3" xfId="89" xr:uid="{00000000-0005-0000-0000-0000CE690000}"/>
    <cellStyle name="Euro 15 3 2" xfId="90" xr:uid="{00000000-0005-0000-0000-0000CF690000}"/>
    <cellStyle name="Euro 15 3 3" xfId="19009" xr:uid="{00000000-0005-0000-0000-0000D0690000}"/>
    <cellStyle name="Euro 15 3 3 2" xfId="20268" xr:uid="{00000000-0005-0000-0000-0000D1690000}"/>
    <cellStyle name="Euro 15 3 4" xfId="20267" xr:uid="{00000000-0005-0000-0000-0000D2690000}"/>
    <cellStyle name="Euro 15 3 5" xfId="19008" xr:uid="{00000000-0005-0000-0000-0000D3690000}"/>
    <cellStyle name="Euro 15 4" xfId="91" xr:uid="{00000000-0005-0000-0000-0000D4690000}"/>
    <cellStyle name="Euro 15 4 2" xfId="19011" xr:uid="{00000000-0005-0000-0000-0000D5690000}"/>
    <cellStyle name="Euro 15 4 2 2" xfId="20270" xr:uid="{00000000-0005-0000-0000-0000D6690000}"/>
    <cellStyle name="Euro 15 4 3" xfId="20269" xr:uid="{00000000-0005-0000-0000-0000D7690000}"/>
    <cellStyle name="Euro 15 4 4" xfId="19010" xr:uid="{00000000-0005-0000-0000-0000D8690000}"/>
    <cellStyle name="Euro 15 4 5" xfId="11209" xr:uid="{00000000-0005-0000-0000-0000D9690000}"/>
    <cellStyle name="Euro 15 5" xfId="92" xr:uid="{00000000-0005-0000-0000-0000DA690000}"/>
    <cellStyle name="Euro 15 5 2" xfId="11210" xr:uid="{00000000-0005-0000-0000-0000DB690000}"/>
    <cellStyle name="Euro 15 6" xfId="93" xr:uid="{00000000-0005-0000-0000-0000DC690000}"/>
    <cellStyle name="Euro 15 6 2" xfId="21260" xr:uid="{00000000-0005-0000-0000-0000DD690000}"/>
    <cellStyle name="Euro 16" xfId="94" xr:uid="{00000000-0005-0000-0000-0000DE690000}"/>
    <cellStyle name="Euro 16 2" xfId="95" xr:uid="{00000000-0005-0000-0000-0000DF690000}"/>
    <cellStyle name="Euro 16 2 2" xfId="3498" xr:uid="{00000000-0005-0000-0000-0000E0690000}"/>
    <cellStyle name="Euro 16 3" xfId="96" xr:uid="{00000000-0005-0000-0000-0000E1690000}"/>
    <cellStyle name="Euro 16 3 2" xfId="97" xr:uid="{00000000-0005-0000-0000-0000E2690000}"/>
    <cellStyle name="Euro 16 3 3" xfId="19013" xr:uid="{00000000-0005-0000-0000-0000E3690000}"/>
    <cellStyle name="Euro 16 3 3 2" xfId="20272" xr:uid="{00000000-0005-0000-0000-0000E4690000}"/>
    <cellStyle name="Euro 16 3 4" xfId="20271" xr:uid="{00000000-0005-0000-0000-0000E5690000}"/>
    <cellStyle name="Euro 16 3 5" xfId="19012" xr:uid="{00000000-0005-0000-0000-0000E6690000}"/>
    <cellStyle name="Euro 16 4" xfId="98" xr:uid="{00000000-0005-0000-0000-0000E7690000}"/>
    <cellStyle name="Euro 16 4 2" xfId="19015" xr:uid="{00000000-0005-0000-0000-0000E8690000}"/>
    <cellStyle name="Euro 16 4 2 2" xfId="20274" xr:uid="{00000000-0005-0000-0000-0000E9690000}"/>
    <cellStyle name="Euro 16 4 3" xfId="20273" xr:uid="{00000000-0005-0000-0000-0000EA690000}"/>
    <cellStyle name="Euro 16 4 4" xfId="19014" xr:uid="{00000000-0005-0000-0000-0000EB690000}"/>
    <cellStyle name="Euro 16 4 5" xfId="11211" xr:uid="{00000000-0005-0000-0000-0000EC690000}"/>
    <cellStyle name="Euro 16 5" xfId="99" xr:uid="{00000000-0005-0000-0000-0000ED690000}"/>
    <cellStyle name="Euro 16 5 2" xfId="11212" xr:uid="{00000000-0005-0000-0000-0000EE690000}"/>
    <cellStyle name="Euro 16 6" xfId="100" xr:uid="{00000000-0005-0000-0000-0000EF690000}"/>
    <cellStyle name="Euro 16 6 2" xfId="21261" xr:uid="{00000000-0005-0000-0000-0000F0690000}"/>
    <cellStyle name="Euro 17" xfId="101" xr:uid="{00000000-0005-0000-0000-0000F1690000}"/>
    <cellStyle name="Euro 17 2" xfId="102" xr:uid="{00000000-0005-0000-0000-0000F2690000}"/>
    <cellStyle name="Euro 17 2 2" xfId="3499" xr:uid="{00000000-0005-0000-0000-0000F3690000}"/>
    <cellStyle name="Euro 17 3" xfId="103" xr:uid="{00000000-0005-0000-0000-0000F4690000}"/>
    <cellStyle name="Euro 17 3 2" xfId="104" xr:uid="{00000000-0005-0000-0000-0000F5690000}"/>
    <cellStyle name="Euro 17 3 3" xfId="19017" xr:uid="{00000000-0005-0000-0000-0000F6690000}"/>
    <cellStyle name="Euro 17 3 3 2" xfId="20276" xr:uid="{00000000-0005-0000-0000-0000F7690000}"/>
    <cellStyle name="Euro 17 3 4" xfId="20275" xr:uid="{00000000-0005-0000-0000-0000F8690000}"/>
    <cellStyle name="Euro 17 3 5" xfId="19016" xr:uid="{00000000-0005-0000-0000-0000F9690000}"/>
    <cellStyle name="Euro 17 4" xfId="105" xr:uid="{00000000-0005-0000-0000-0000FA690000}"/>
    <cellStyle name="Euro 17 4 2" xfId="19019" xr:uid="{00000000-0005-0000-0000-0000FB690000}"/>
    <cellStyle name="Euro 17 4 2 2" xfId="20278" xr:uid="{00000000-0005-0000-0000-0000FC690000}"/>
    <cellStyle name="Euro 17 4 3" xfId="20277" xr:uid="{00000000-0005-0000-0000-0000FD690000}"/>
    <cellStyle name="Euro 17 4 4" xfId="19018" xr:uid="{00000000-0005-0000-0000-0000FE690000}"/>
    <cellStyle name="Euro 17 4 5" xfId="11213" xr:uid="{00000000-0005-0000-0000-0000FF690000}"/>
    <cellStyle name="Euro 17 5" xfId="106" xr:uid="{00000000-0005-0000-0000-0000006A0000}"/>
    <cellStyle name="Euro 17 5 2" xfId="11214" xr:uid="{00000000-0005-0000-0000-0000016A0000}"/>
    <cellStyle name="Euro 17 6" xfId="107" xr:uid="{00000000-0005-0000-0000-0000026A0000}"/>
    <cellStyle name="Euro 17 6 2" xfId="21262" xr:uid="{00000000-0005-0000-0000-0000036A0000}"/>
    <cellStyle name="Euro 18" xfId="108" xr:uid="{00000000-0005-0000-0000-0000046A0000}"/>
    <cellStyle name="Euro 18 2" xfId="109" xr:uid="{00000000-0005-0000-0000-0000056A0000}"/>
    <cellStyle name="Euro 18 2 2" xfId="3500" xr:uid="{00000000-0005-0000-0000-0000066A0000}"/>
    <cellStyle name="Euro 18 3" xfId="110" xr:uid="{00000000-0005-0000-0000-0000076A0000}"/>
    <cellStyle name="Euro 18 3 2" xfId="111" xr:uid="{00000000-0005-0000-0000-0000086A0000}"/>
    <cellStyle name="Euro 18 3 3" xfId="19021" xr:uid="{00000000-0005-0000-0000-0000096A0000}"/>
    <cellStyle name="Euro 18 3 3 2" xfId="20280" xr:uid="{00000000-0005-0000-0000-00000A6A0000}"/>
    <cellStyle name="Euro 18 3 4" xfId="20279" xr:uid="{00000000-0005-0000-0000-00000B6A0000}"/>
    <cellStyle name="Euro 18 3 5" xfId="19020" xr:uid="{00000000-0005-0000-0000-00000C6A0000}"/>
    <cellStyle name="Euro 18 4" xfId="112" xr:uid="{00000000-0005-0000-0000-00000D6A0000}"/>
    <cellStyle name="Euro 18 4 2" xfId="19023" xr:uid="{00000000-0005-0000-0000-00000E6A0000}"/>
    <cellStyle name="Euro 18 4 2 2" xfId="20282" xr:uid="{00000000-0005-0000-0000-00000F6A0000}"/>
    <cellStyle name="Euro 18 4 3" xfId="20281" xr:uid="{00000000-0005-0000-0000-0000106A0000}"/>
    <cellStyle name="Euro 18 4 4" xfId="19022" xr:uid="{00000000-0005-0000-0000-0000116A0000}"/>
    <cellStyle name="Euro 18 4 5" xfId="11215" xr:uid="{00000000-0005-0000-0000-0000126A0000}"/>
    <cellStyle name="Euro 18 5" xfId="113" xr:uid="{00000000-0005-0000-0000-0000136A0000}"/>
    <cellStyle name="Euro 18 5 2" xfId="11216" xr:uid="{00000000-0005-0000-0000-0000146A0000}"/>
    <cellStyle name="Euro 18 6" xfId="114" xr:uid="{00000000-0005-0000-0000-0000156A0000}"/>
    <cellStyle name="Euro 18 6 2" xfId="21263" xr:uid="{00000000-0005-0000-0000-0000166A0000}"/>
    <cellStyle name="Euro 19" xfId="115" xr:uid="{00000000-0005-0000-0000-0000176A0000}"/>
    <cellStyle name="Euro 19 2" xfId="116" xr:uid="{00000000-0005-0000-0000-0000186A0000}"/>
    <cellStyle name="Euro 19 2 2" xfId="3501" xr:uid="{00000000-0005-0000-0000-0000196A0000}"/>
    <cellStyle name="Euro 19 3" xfId="117" xr:uid="{00000000-0005-0000-0000-00001A6A0000}"/>
    <cellStyle name="Euro 19 3 2" xfId="118" xr:uid="{00000000-0005-0000-0000-00001B6A0000}"/>
    <cellStyle name="Euro 19 3 3" xfId="19025" xr:uid="{00000000-0005-0000-0000-00001C6A0000}"/>
    <cellStyle name="Euro 19 3 3 2" xfId="20284" xr:uid="{00000000-0005-0000-0000-00001D6A0000}"/>
    <cellStyle name="Euro 19 3 4" xfId="20283" xr:uid="{00000000-0005-0000-0000-00001E6A0000}"/>
    <cellStyle name="Euro 19 3 5" xfId="19024" xr:uid="{00000000-0005-0000-0000-00001F6A0000}"/>
    <cellStyle name="Euro 19 4" xfId="119" xr:uid="{00000000-0005-0000-0000-0000206A0000}"/>
    <cellStyle name="Euro 19 4 2" xfId="19027" xr:uid="{00000000-0005-0000-0000-0000216A0000}"/>
    <cellStyle name="Euro 19 4 2 2" xfId="20286" xr:uid="{00000000-0005-0000-0000-0000226A0000}"/>
    <cellStyle name="Euro 19 4 3" xfId="20285" xr:uid="{00000000-0005-0000-0000-0000236A0000}"/>
    <cellStyle name="Euro 19 4 4" xfId="19026" xr:uid="{00000000-0005-0000-0000-0000246A0000}"/>
    <cellStyle name="Euro 19 4 5" xfId="11217" xr:uid="{00000000-0005-0000-0000-0000256A0000}"/>
    <cellStyle name="Euro 19 5" xfId="120" xr:uid="{00000000-0005-0000-0000-0000266A0000}"/>
    <cellStyle name="Euro 19 5 2" xfId="11218" xr:uid="{00000000-0005-0000-0000-0000276A0000}"/>
    <cellStyle name="Euro 19 6" xfId="121" xr:uid="{00000000-0005-0000-0000-0000286A0000}"/>
    <cellStyle name="Euro 19 6 2" xfId="21264" xr:uid="{00000000-0005-0000-0000-0000296A0000}"/>
    <cellStyle name="Euro 2" xfId="122" xr:uid="{00000000-0005-0000-0000-00002A6A0000}"/>
    <cellStyle name="Euro 2 2" xfId="123" xr:uid="{00000000-0005-0000-0000-00002B6A0000}"/>
    <cellStyle name="Euro 2 2 2" xfId="3502" xr:uid="{00000000-0005-0000-0000-00002C6A0000}"/>
    <cellStyle name="Euro 2 3" xfId="124" xr:uid="{00000000-0005-0000-0000-00002D6A0000}"/>
    <cellStyle name="Euro 2 3 2" xfId="125" xr:uid="{00000000-0005-0000-0000-00002E6A0000}"/>
    <cellStyle name="Euro 2 3 3" xfId="19029" xr:uid="{00000000-0005-0000-0000-00002F6A0000}"/>
    <cellStyle name="Euro 2 3 3 2" xfId="20288" xr:uid="{00000000-0005-0000-0000-0000306A0000}"/>
    <cellStyle name="Euro 2 3 4" xfId="20287" xr:uid="{00000000-0005-0000-0000-0000316A0000}"/>
    <cellStyle name="Euro 2 3 5" xfId="19028" xr:uid="{00000000-0005-0000-0000-0000326A0000}"/>
    <cellStyle name="Euro 2 4" xfId="126" xr:uid="{00000000-0005-0000-0000-0000336A0000}"/>
    <cellStyle name="Euro 2 4 2" xfId="11219" xr:uid="{00000000-0005-0000-0000-0000346A0000}"/>
    <cellStyle name="Euro 2 4 2 2" xfId="20290" xr:uid="{00000000-0005-0000-0000-0000356A0000}"/>
    <cellStyle name="Euro 2 4 2 3" xfId="19031" xr:uid="{00000000-0005-0000-0000-0000366A0000}"/>
    <cellStyle name="Euro 2 4 3" xfId="18921" xr:uid="{00000000-0005-0000-0000-0000376A0000}"/>
    <cellStyle name="Euro 2 4 3 2" xfId="20289" xr:uid="{00000000-0005-0000-0000-0000386A0000}"/>
    <cellStyle name="Euro 2 4 4" xfId="19030" xr:uid="{00000000-0005-0000-0000-0000396A0000}"/>
    <cellStyle name="Euro 2 4 5" xfId="11080" xr:uid="{00000000-0005-0000-0000-00003A6A0000}"/>
    <cellStyle name="Euro 2 5" xfId="127" xr:uid="{00000000-0005-0000-0000-00003B6A0000}"/>
    <cellStyle name="Euro 2 5 2" xfId="11220" xr:uid="{00000000-0005-0000-0000-00003C6A0000}"/>
    <cellStyle name="Euro 2 6" xfId="128" xr:uid="{00000000-0005-0000-0000-00003D6A0000}"/>
    <cellStyle name="Euro 2 6 2" xfId="21265" xr:uid="{00000000-0005-0000-0000-00003E6A0000}"/>
    <cellStyle name="Euro 20" xfId="129" xr:uid="{00000000-0005-0000-0000-00003F6A0000}"/>
    <cellStyle name="Euro 20 2" xfId="130" xr:uid="{00000000-0005-0000-0000-0000406A0000}"/>
    <cellStyle name="Euro 20 2 2" xfId="3503" xr:uid="{00000000-0005-0000-0000-0000416A0000}"/>
    <cellStyle name="Euro 20 3" xfId="131" xr:uid="{00000000-0005-0000-0000-0000426A0000}"/>
    <cellStyle name="Euro 20 3 2" xfId="132" xr:uid="{00000000-0005-0000-0000-0000436A0000}"/>
    <cellStyle name="Euro 20 3 3" xfId="19033" xr:uid="{00000000-0005-0000-0000-0000446A0000}"/>
    <cellStyle name="Euro 20 3 3 2" xfId="20292" xr:uid="{00000000-0005-0000-0000-0000456A0000}"/>
    <cellStyle name="Euro 20 3 4" xfId="20291" xr:uid="{00000000-0005-0000-0000-0000466A0000}"/>
    <cellStyle name="Euro 20 3 5" xfId="19032" xr:uid="{00000000-0005-0000-0000-0000476A0000}"/>
    <cellStyle name="Euro 20 4" xfId="133" xr:uid="{00000000-0005-0000-0000-0000486A0000}"/>
    <cellStyle name="Euro 20 4 2" xfId="19035" xr:uid="{00000000-0005-0000-0000-0000496A0000}"/>
    <cellStyle name="Euro 20 4 2 2" xfId="20294" xr:uid="{00000000-0005-0000-0000-00004A6A0000}"/>
    <cellStyle name="Euro 20 4 3" xfId="20293" xr:uid="{00000000-0005-0000-0000-00004B6A0000}"/>
    <cellStyle name="Euro 20 4 4" xfId="19034" xr:uid="{00000000-0005-0000-0000-00004C6A0000}"/>
    <cellStyle name="Euro 20 4 5" xfId="11221" xr:uid="{00000000-0005-0000-0000-00004D6A0000}"/>
    <cellStyle name="Euro 20 5" xfId="134" xr:uid="{00000000-0005-0000-0000-00004E6A0000}"/>
    <cellStyle name="Euro 20 5 2" xfId="11222" xr:uid="{00000000-0005-0000-0000-00004F6A0000}"/>
    <cellStyle name="Euro 20 6" xfId="135" xr:uid="{00000000-0005-0000-0000-0000506A0000}"/>
    <cellStyle name="Euro 20 6 2" xfId="21266" xr:uid="{00000000-0005-0000-0000-0000516A0000}"/>
    <cellStyle name="Euro 21" xfId="136" xr:uid="{00000000-0005-0000-0000-0000526A0000}"/>
    <cellStyle name="Euro 21 2" xfId="137" xr:uid="{00000000-0005-0000-0000-0000536A0000}"/>
    <cellStyle name="Euro 21 2 2" xfId="3504" xr:uid="{00000000-0005-0000-0000-0000546A0000}"/>
    <cellStyle name="Euro 21 3" xfId="138" xr:uid="{00000000-0005-0000-0000-0000556A0000}"/>
    <cellStyle name="Euro 21 3 2" xfId="139" xr:uid="{00000000-0005-0000-0000-0000566A0000}"/>
    <cellStyle name="Euro 21 3 3" xfId="19037" xr:uid="{00000000-0005-0000-0000-0000576A0000}"/>
    <cellStyle name="Euro 21 3 3 2" xfId="20296" xr:uid="{00000000-0005-0000-0000-0000586A0000}"/>
    <cellStyle name="Euro 21 3 4" xfId="20295" xr:uid="{00000000-0005-0000-0000-0000596A0000}"/>
    <cellStyle name="Euro 21 3 5" xfId="19036" xr:uid="{00000000-0005-0000-0000-00005A6A0000}"/>
    <cellStyle name="Euro 21 4" xfId="140" xr:uid="{00000000-0005-0000-0000-00005B6A0000}"/>
    <cellStyle name="Euro 21 4 2" xfId="19039" xr:uid="{00000000-0005-0000-0000-00005C6A0000}"/>
    <cellStyle name="Euro 21 4 2 2" xfId="20298" xr:uid="{00000000-0005-0000-0000-00005D6A0000}"/>
    <cellStyle name="Euro 21 4 3" xfId="20297" xr:uid="{00000000-0005-0000-0000-00005E6A0000}"/>
    <cellStyle name="Euro 21 4 4" xfId="19038" xr:uid="{00000000-0005-0000-0000-00005F6A0000}"/>
    <cellStyle name="Euro 21 4 5" xfId="11223" xr:uid="{00000000-0005-0000-0000-0000606A0000}"/>
    <cellStyle name="Euro 21 5" xfId="141" xr:uid="{00000000-0005-0000-0000-0000616A0000}"/>
    <cellStyle name="Euro 21 5 2" xfId="11224" xr:uid="{00000000-0005-0000-0000-0000626A0000}"/>
    <cellStyle name="Euro 21 6" xfId="142" xr:uid="{00000000-0005-0000-0000-0000636A0000}"/>
    <cellStyle name="Euro 21 6 2" xfId="21267" xr:uid="{00000000-0005-0000-0000-0000646A0000}"/>
    <cellStyle name="Euro 22" xfId="143" xr:uid="{00000000-0005-0000-0000-0000656A0000}"/>
    <cellStyle name="Euro 22 2" xfId="144" xr:uid="{00000000-0005-0000-0000-0000666A0000}"/>
    <cellStyle name="Euro 22 2 2" xfId="3505" xr:uid="{00000000-0005-0000-0000-0000676A0000}"/>
    <cellStyle name="Euro 22 3" xfId="145" xr:uid="{00000000-0005-0000-0000-0000686A0000}"/>
    <cellStyle name="Euro 22 3 2" xfId="146" xr:uid="{00000000-0005-0000-0000-0000696A0000}"/>
    <cellStyle name="Euro 22 3 3" xfId="19041" xr:uid="{00000000-0005-0000-0000-00006A6A0000}"/>
    <cellStyle name="Euro 22 3 3 2" xfId="20300" xr:uid="{00000000-0005-0000-0000-00006B6A0000}"/>
    <cellStyle name="Euro 22 3 4" xfId="20299" xr:uid="{00000000-0005-0000-0000-00006C6A0000}"/>
    <cellStyle name="Euro 22 3 5" xfId="19040" xr:uid="{00000000-0005-0000-0000-00006D6A0000}"/>
    <cellStyle name="Euro 22 4" xfId="147" xr:uid="{00000000-0005-0000-0000-00006E6A0000}"/>
    <cellStyle name="Euro 22 4 2" xfId="19043" xr:uid="{00000000-0005-0000-0000-00006F6A0000}"/>
    <cellStyle name="Euro 22 4 2 2" xfId="20302" xr:uid="{00000000-0005-0000-0000-0000706A0000}"/>
    <cellStyle name="Euro 22 4 3" xfId="20301" xr:uid="{00000000-0005-0000-0000-0000716A0000}"/>
    <cellStyle name="Euro 22 4 4" xfId="19042" xr:uid="{00000000-0005-0000-0000-0000726A0000}"/>
    <cellStyle name="Euro 22 4 5" xfId="11225" xr:uid="{00000000-0005-0000-0000-0000736A0000}"/>
    <cellStyle name="Euro 22 5" xfId="148" xr:uid="{00000000-0005-0000-0000-0000746A0000}"/>
    <cellStyle name="Euro 22 5 2" xfId="11226" xr:uid="{00000000-0005-0000-0000-0000756A0000}"/>
    <cellStyle name="Euro 22 6" xfId="149" xr:uid="{00000000-0005-0000-0000-0000766A0000}"/>
    <cellStyle name="Euro 22 6 2" xfId="21268" xr:uid="{00000000-0005-0000-0000-0000776A0000}"/>
    <cellStyle name="Euro 23" xfId="150" xr:uid="{00000000-0005-0000-0000-0000786A0000}"/>
    <cellStyle name="Euro 23 2" xfId="151" xr:uid="{00000000-0005-0000-0000-0000796A0000}"/>
    <cellStyle name="Euro 23 2 2" xfId="3506" xr:uid="{00000000-0005-0000-0000-00007A6A0000}"/>
    <cellStyle name="Euro 23 3" xfId="152" xr:uid="{00000000-0005-0000-0000-00007B6A0000}"/>
    <cellStyle name="Euro 23 3 2" xfId="153" xr:uid="{00000000-0005-0000-0000-00007C6A0000}"/>
    <cellStyle name="Euro 23 3 3" xfId="19045" xr:uid="{00000000-0005-0000-0000-00007D6A0000}"/>
    <cellStyle name="Euro 23 3 3 2" xfId="20304" xr:uid="{00000000-0005-0000-0000-00007E6A0000}"/>
    <cellStyle name="Euro 23 3 4" xfId="20303" xr:uid="{00000000-0005-0000-0000-00007F6A0000}"/>
    <cellStyle name="Euro 23 3 5" xfId="19044" xr:uid="{00000000-0005-0000-0000-0000806A0000}"/>
    <cellStyle name="Euro 23 4" xfId="154" xr:uid="{00000000-0005-0000-0000-0000816A0000}"/>
    <cellStyle name="Euro 23 4 2" xfId="19047" xr:uid="{00000000-0005-0000-0000-0000826A0000}"/>
    <cellStyle name="Euro 23 4 2 2" xfId="20306" xr:uid="{00000000-0005-0000-0000-0000836A0000}"/>
    <cellStyle name="Euro 23 4 3" xfId="20305" xr:uid="{00000000-0005-0000-0000-0000846A0000}"/>
    <cellStyle name="Euro 23 4 4" xfId="19046" xr:uid="{00000000-0005-0000-0000-0000856A0000}"/>
    <cellStyle name="Euro 23 4 5" xfId="11227" xr:uid="{00000000-0005-0000-0000-0000866A0000}"/>
    <cellStyle name="Euro 23 5" xfId="155" xr:uid="{00000000-0005-0000-0000-0000876A0000}"/>
    <cellStyle name="Euro 23 5 2" xfId="11228" xr:uid="{00000000-0005-0000-0000-0000886A0000}"/>
    <cellStyle name="Euro 23 6" xfId="156" xr:uid="{00000000-0005-0000-0000-0000896A0000}"/>
    <cellStyle name="Euro 23 6 2" xfId="21269" xr:uid="{00000000-0005-0000-0000-00008A6A0000}"/>
    <cellStyle name="Euro 24" xfId="157" xr:uid="{00000000-0005-0000-0000-00008B6A0000}"/>
    <cellStyle name="Euro 24 2" xfId="158" xr:uid="{00000000-0005-0000-0000-00008C6A0000}"/>
    <cellStyle name="Euro 24 2 2" xfId="3507" xr:uid="{00000000-0005-0000-0000-00008D6A0000}"/>
    <cellStyle name="Euro 24 3" xfId="159" xr:uid="{00000000-0005-0000-0000-00008E6A0000}"/>
    <cellStyle name="Euro 24 3 2" xfId="160" xr:uid="{00000000-0005-0000-0000-00008F6A0000}"/>
    <cellStyle name="Euro 24 3 3" xfId="19049" xr:uid="{00000000-0005-0000-0000-0000906A0000}"/>
    <cellStyle name="Euro 24 3 3 2" xfId="20308" xr:uid="{00000000-0005-0000-0000-0000916A0000}"/>
    <cellStyle name="Euro 24 3 4" xfId="20307" xr:uid="{00000000-0005-0000-0000-0000926A0000}"/>
    <cellStyle name="Euro 24 3 5" xfId="19048" xr:uid="{00000000-0005-0000-0000-0000936A0000}"/>
    <cellStyle name="Euro 24 4" xfId="161" xr:uid="{00000000-0005-0000-0000-0000946A0000}"/>
    <cellStyle name="Euro 24 4 2" xfId="19051" xr:uid="{00000000-0005-0000-0000-0000956A0000}"/>
    <cellStyle name="Euro 24 4 2 2" xfId="20310" xr:uid="{00000000-0005-0000-0000-0000966A0000}"/>
    <cellStyle name="Euro 24 4 3" xfId="20309" xr:uid="{00000000-0005-0000-0000-0000976A0000}"/>
    <cellStyle name="Euro 24 4 4" xfId="19050" xr:uid="{00000000-0005-0000-0000-0000986A0000}"/>
    <cellStyle name="Euro 24 4 5" xfId="11229" xr:uid="{00000000-0005-0000-0000-0000996A0000}"/>
    <cellStyle name="Euro 24 5" xfId="162" xr:uid="{00000000-0005-0000-0000-00009A6A0000}"/>
    <cellStyle name="Euro 24 5 2" xfId="11230" xr:uid="{00000000-0005-0000-0000-00009B6A0000}"/>
    <cellStyle name="Euro 24 6" xfId="163" xr:uid="{00000000-0005-0000-0000-00009C6A0000}"/>
    <cellStyle name="Euro 24 6 2" xfId="21270" xr:uid="{00000000-0005-0000-0000-00009D6A0000}"/>
    <cellStyle name="Euro 25" xfId="164" xr:uid="{00000000-0005-0000-0000-00009E6A0000}"/>
    <cellStyle name="Euro 25 2" xfId="165" xr:uid="{00000000-0005-0000-0000-00009F6A0000}"/>
    <cellStyle name="Euro 25 2 2" xfId="3508" xr:uid="{00000000-0005-0000-0000-0000A06A0000}"/>
    <cellStyle name="Euro 25 3" xfId="166" xr:uid="{00000000-0005-0000-0000-0000A16A0000}"/>
    <cellStyle name="Euro 25 3 2" xfId="167" xr:uid="{00000000-0005-0000-0000-0000A26A0000}"/>
    <cellStyle name="Euro 25 3 3" xfId="19053" xr:uid="{00000000-0005-0000-0000-0000A36A0000}"/>
    <cellStyle name="Euro 25 3 3 2" xfId="20312" xr:uid="{00000000-0005-0000-0000-0000A46A0000}"/>
    <cellStyle name="Euro 25 3 4" xfId="20311" xr:uid="{00000000-0005-0000-0000-0000A56A0000}"/>
    <cellStyle name="Euro 25 3 5" xfId="19052" xr:uid="{00000000-0005-0000-0000-0000A66A0000}"/>
    <cellStyle name="Euro 25 4" xfId="168" xr:uid="{00000000-0005-0000-0000-0000A76A0000}"/>
    <cellStyle name="Euro 25 4 2" xfId="19055" xr:uid="{00000000-0005-0000-0000-0000A86A0000}"/>
    <cellStyle name="Euro 25 4 2 2" xfId="20314" xr:uid="{00000000-0005-0000-0000-0000A96A0000}"/>
    <cellStyle name="Euro 25 4 3" xfId="20313" xr:uid="{00000000-0005-0000-0000-0000AA6A0000}"/>
    <cellStyle name="Euro 25 4 4" xfId="19054" xr:uid="{00000000-0005-0000-0000-0000AB6A0000}"/>
    <cellStyle name="Euro 25 4 5" xfId="11231" xr:uid="{00000000-0005-0000-0000-0000AC6A0000}"/>
    <cellStyle name="Euro 25 5" xfId="169" xr:uid="{00000000-0005-0000-0000-0000AD6A0000}"/>
    <cellStyle name="Euro 25 5 2" xfId="11232" xr:uid="{00000000-0005-0000-0000-0000AE6A0000}"/>
    <cellStyle name="Euro 25 6" xfId="170" xr:uid="{00000000-0005-0000-0000-0000AF6A0000}"/>
    <cellStyle name="Euro 25 6 2" xfId="21271" xr:uid="{00000000-0005-0000-0000-0000B06A0000}"/>
    <cellStyle name="Euro 26" xfId="171" xr:uid="{00000000-0005-0000-0000-0000B16A0000}"/>
    <cellStyle name="Euro 26 2" xfId="172" xr:uid="{00000000-0005-0000-0000-0000B26A0000}"/>
    <cellStyle name="Euro 26 2 2" xfId="3509" xr:uid="{00000000-0005-0000-0000-0000B36A0000}"/>
    <cellStyle name="Euro 26 3" xfId="173" xr:uid="{00000000-0005-0000-0000-0000B46A0000}"/>
    <cellStyle name="Euro 26 3 2" xfId="174" xr:uid="{00000000-0005-0000-0000-0000B56A0000}"/>
    <cellStyle name="Euro 26 3 3" xfId="19057" xr:uid="{00000000-0005-0000-0000-0000B66A0000}"/>
    <cellStyle name="Euro 26 3 3 2" xfId="20316" xr:uid="{00000000-0005-0000-0000-0000B76A0000}"/>
    <cellStyle name="Euro 26 3 4" xfId="20315" xr:uid="{00000000-0005-0000-0000-0000B86A0000}"/>
    <cellStyle name="Euro 26 3 5" xfId="19056" xr:uid="{00000000-0005-0000-0000-0000B96A0000}"/>
    <cellStyle name="Euro 26 4" xfId="175" xr:uid="{00000000-0005-0000-0000-0000BA6A0000}"/>
    <cellStyle name="Euro 26 4 2" xfId="19059" xr:uid="{00000000-0005-0000-0000-0000BB6A0000}"/>
    <cellStyle name="Euro 26 4 2 2" xfId="20318" xr:uid="{00000000-0005-0000-0000-0000BC6A0000}"/>
    <cellStyle name="Euro 26 4 3" xfId="20317" xr:uid="{00000000-0005-0000-0000-0000BD6A0000}"/>
    <cellStyle name="Euro 26 4 4" xfId="19058" xr:uid="{00000000-0005-0000-0000-0000BE6A0000}"/>
    <cellStyle name="Euro 26 4 5" xfId="11233" xr:uid="{00000000-0005-0000-0000-0000BF6A0000}"/>
    <cellStyle name="Euro 26 5" xfId="176" xr:uid="{00000000-0005-0000-0000-0000C06A0000}"/>
    <cellStyle name="Euro 26 5 2" xfId="11234" xr:uid="{00000000-0005-0000-0000-0000C16A0000}"/>
    <cellStyle name="Euro 26 6" xfId="177" xr:uid="{00000000-0005-0000-0000-0000C26A0000}"/>
    <cellStyle name="Euro 26 6 2" xfId="21272" xr:uid="{00000000-0005-0000-0000-0000C36A0000}"/>
    <cellStyle name="Euro 27" xfId="178" xr:uid="{00000000-0005-0000-0000-0000C46A0000}"/>
    <cellStyle name="Euro 27 2" xfId="179" xr:uid="{00000000-0005-0000-0000-0000C56A0000}"/>
    <cellStyle name="Euro 27 2 2" xfId="3510" xr:uid="{00000000-0005-0000-0000-0000C66A0000}"/>
    <cellStyle name="Euro 27 3" xfId="180" xr:uid="{00000000-0005-0000-0000-0000C76A0000}"/>
    <cellStyle name="Euro 27 3 2" xfId="181" xr:uid="{00000000-0005-0000-0000-0000C86A0000}"/>
    <cellStyle name="Euro 27 3 3" xfId="19061" xr:uid="{00000000-0005-0000-0000-0000C96A0000}"/>
    <cellStyle name="Euro 27 3 3 2" xfId="20320" xr:uid="{00000000-0005-0000-0000-0000CA6A0000}"/>
    <cellStyle name="Euro 27 3 4" xfId="20319" xr:uid="{00000000-0005-0000-0000-0000CB6A0000}"/>
    <cellStyle name="Euro 27 3 5" xfId="19060" xr:uid="{00000000-0005-0000-0000-0000CC6A0000}"/>
    <cellStyle name="Euro 27 4" xfId="182" xr:uid="{00000000-0005-0000-0000-0000CD6A0000}"/>
    <cellStyle name="Euro 27 4 2" xfId="19063" xr:uid="{00000000-0005-0000-0000-0000CE6A0000}"/>
    <cellStyle name="Euro 27 4 2 2" xfId="20322" xr:uid="{00000000-0005-0000-0000-0000CF6A0000}"/>
    <cellStyle name="Euro 27 4 3" xfId="20321" xr:uid="{00000000-0005-0000-0000-0000D06A0000}"/>
    <cellStyle name="Euro 27 4 4" xfId="19062" xr:uid="{00000000-0005-0000-0000-0000D16A0000}"/>
    <cellStyle name="Euro 27 4 5" xfId="11235" xr:uid="{00000000-0005-0000-0000-0000D26A0000}"/>
    <cellStyle name="Euro 27 5" xfId="183" xr:uid="{00000000-0005-0000-0000-0000D36A0000}"/>
    <cellStyle name="Euro 27 5 2" xfId="11236" xr:uid="{00000000-0005-0000-0000-0000D46A0000}"/>
    <cellStyle name="Euro 27 6" xfId="184" xr:uid="{00000000-0005-0000-0000-0000D56A0000}"/>
    <cellStyle name="Euro 27 6 2" xfId="21273" xr:uid="{00000000-0005-0000-0000-0000D66A0000}"/>
    <cellStyle name="Euro 28" xfId="185" xr:uid="{00000000-0005-0000-0000-0000D76A0000}"/>
    <cellStyle name="Euro 28 2" xfId="186" xr:uid="{00000000-0005-0000-0000-0000D86A0000}"/>
    <cellStyle name="Euro 28 2 2" xfId="3511" xr:uid="{00000000-0005-0000-0000-0000D96A0000}"/>
    <cellStyle name="Euro 28 3" xfId="187" xr:uid="{00000000-0005-0000-0000-0000DA6A0000}"/>
    <cellStyle name="Euro 28 3 2" xfId="188" xr:uid="{00000000-0005-0000-0000-0000DB6A0000}"/>
    <cellStyle name="Euro 28 3 3" xfId="19065" xr:uid="{00000000-0005-0000-0000-0000DC6A0000}"/>
    <cellStyle name="Euro 28 3 3 2" xfId="20324" xr:uid="{00000000-0005-0000-0000-0000DD6A0000}"/>
    <cellStyle name="Euro 28 3 4" xfId="20323" xr:uid="{00000000-0005-0000-0000-0000DE6A0000}"/>
    <cellStyle name="Euro 28 3 5" xfId="19064" xr:uid="{00000000-0005-0000-0000-0000DF6A0000}"/>
    <cellStyle name="Euro 28 4" xfId="189" xr:uid="{00000000-0005-0000-0000-0000E06A0000}"/>
    <cellStyle name="Euro 28 4 2" xfId="19067" xr:uid="{00000000-0005-0000-0000-0000E16A0000}"/>
    <cellStyle name="Euro 28 4 2 2" xfId="20326" xr:uid="{00000000-0005-0000-0000-0000E26A0000}"/>
    <cellStyle name="Euro 28 4 3" xfId="20325" xr:uid="{00000000-0005-0000-0000-0000E36A0000}"/>
    <cellStyle name="Euro 28 4 4" xfId="19066" xr:uid="{00000000-0005-0000-0000-0000E46A0000}"/>
    <cellStyle name="Euro 28 4 5" xfId="11237" xr:uid="{00000000-0005-0000-0000-0000E56A0000}"/>
    <cellStyle name="Euro 28 5" xfId="190" xr:uid="{00000000-0005-0000-0000-0000E66A0000}"/>
    <cellStyle name="Euro 28 5 2" xfId="11238" xr:uid="{00000000-0005-0000-0000-0000E76A0000}"/>
    <cellStyle name="Euro 28 6" xfId="191" xr:uid="{00000000-0005-0000-0000-0000E86A0000}"/>
    <cellStyle name="Euro 28 6 2" xfId="21274" xr:uid="{00000000-0005-0000-0000-0000E96A0000}"/>
    <cellStyle name="Euro 29" xfId="192" xr:uid="{00000000-0005-0000-0000-0000EA6A0000}"/>
    <cellStyle name="Euro 29 2" xfId="193" xr:uid="{00000000-0005-0000-0000-0000EB6A0000}"/>
    <cellStyle name="Euro 29 2 2" xfId="3512" xr:uid="{00000000-0005-0000-0000-0000EC6A0000}"/>
    <cellStyle name="Euro 29 3" xfId="194" xr:uid="{00000000-0005-0000-0000-0000ED6A0000}"/>
    <cellStyle name="Euro 29 3 2" xfId="195" xr:uid="{00000000-0005-0000-0000-0000EE6A0000}"/>
    <cellStyle name="Euro 29 3 3" xfId="19069" xr:uid="{00000000-0005-0000-0000-0000EF6A0000}"/>
    <cellStyle name="Euro 29 3 3 2" xfId="20328" xr:uid="{00000000-0005-0000-0000-0000F06A0000}"/>
    <cellStyle name="Euro 29 3 4" xfId="20327" xr:uid="{00000000-0005-0000-0000-0000F16A0000}"/>
    <cellStyle name="Euro 29 3 5" xfId="19068" xr:uid="{00000000-0005-0000-0000-0000F26A0000}"/>
    <cellStyle name="Euro 29 4" xfId="196" xr:uid="{00000000-0005-0000-0000-0000F36A0000}"/>
    <cellStyle name="Euro 29 4 2" xfId="19071" xr:uid="{00000000-0005-0000-0000-0000F46A0000}"/>
    <cellStyle name="Euro 29 4 2 2" xfId="20330" xr:uid="{00000000-0005-0000-0000-0000F56A0000}"/>
    <cellStyle name="Euro 29 4 3" xfId="20329" xr:uid="{00000000-0005-0000-0000-0000F66A0000}"/>
    <cellStyle name="Euro 29 4 4" xfId="19070" xr:uid="{00000000-0005-0000-0000-0000F76A0000}"/>
    <cellStyle name="Euro 29 4 5" xfId="11239" xr:uid="{00000000-0005-0000-0000-0000F86A0000}"/>
    <cellStyle name="Euro 29 5" xfId="197" xr:uid="{00000000-0005-0000-0000-0000F96A0000}"/>
    <cellStyle name="Euro 29 5 2" xfId="11240" xr:uid="{00000000-0005-0000-0000-0000FA6A0000}"/>
    <cellStyle name="Euro 29 6" xfId="198" xr:uid="{00000000-0005-0000-0000-0000FB6A0000}"/>
    <cellStyle name="Euro 29 6 2" xfId="21275" xr:uid="{00000000-0005-0000-0000-0000FC6A0000}"/>
    <cellStyle name="Euro 3" xfId="199" xr:uid="{00000000-0005-0000-0000-0000FD6A0000}"/>
    <cellStyle name="Euro 3 2" xfId="200" xr:uid="{00000000-0005-0000-0000-0000FE6A0000}"/>
    <cellStyle name="Euro 3 2 2" xfId="3513" xr:uid="{00000000-0005-0000-0000-0000FF6A0000}"/>
    <cellStyle name="Euro 3 3" xfId="201" xr:uid="{00000000-0005-0000-0000-0000006B0000}"/>
    <cellStyle name="Euro 3 3 2" xfId="202" xr:uid="{00000000-0005-0000-0000-0000016B0000}"/>
    <cellStyle name="Euro 3 3 3" xfId="19073" xr:uid="{00000000-0005-0000-0000-0000026B0000}"/>
    <cellStyle name="Euro 3 3 3 2" xfId="20332" xr:uid="{00000000-0005-0000-0000-0000036B0000}"/>
    <cellStyle name="Euro 3 3 4" xfId="20331" xr:uid="{00000000-0005-0000-0000-0000046B0000}"/>
    <cellStyle name="Euro 3 3 5" xfId="19072" xr:uid="{00000000-0005-0000-0000-0000056B0000}"/>
    <cellStyle name="Euro 3 4" xfId="203" xr:uid="{00000000-0005-0000-0000-0000066B0000}"/>
    <cellStyle name="Euro 3 4 2" xfId="19075" xr:uid="{00000000-0005-0000-0000-0000076B0000}"/>
    <cellStyle name="Euro 3 4 2 2" xfId="20334" xr:uid="{00000000-0005-0000-0000-0000086B0000}"/>
    <cellStyle name="Euro 3 4 3" xfId="20333" xr:uid="{00000000-0005-0000-0000-0000096B0000}"/>
    <cellStyle name="Euro 3 4 4" xfId="19074" xr:uid="{00000000-0005-0000-0000-00000A6B0000}"/>
    <cellStyle name="Euro 3 4 5" xfId="11241" xr:uid="{00000000-0005-0000-0000-00000B6B0000}"/>
    <cellStyle name="Euro 3 5" xfId="204" xr:uid="{00000000-0005-0000-0000-00000C6B0000}"/>
    <cellStyle name="Euro 3 5 2" xfId="11242" xr:uid="{00000000-0005-0000-0000-00000D6B0000}"/>
    <cellStyle name="Euro 3 6" xfId="205" xr:uid="{00000000-0005-0000-0000-00000E6B0000}"/>
    <cellStyle name="Euro 3 6 2" xfId="21276" xr:uid="{00000000-0005-0000-0000-00000F6B0000}"/>
    <cellStyle name="Euro 30" xfId="206" xr:uid="{00000000-0005-0000-0000-0000106B0000}"/>
    <cellStyle name="Euro 30 2" xfId="207" xr:uid="{00000000-0005-0000-0000-0000116B0000}"/>
    <cellStyle name="Euro 30 2 2" xfId="3514" xr:uid="{00000000-0005-0000-0000-0000126B0000}"/>
    <cellStyle name="Euro 30 3" xfId="208" xr:uid="{00000000-0005-0000-0000-0000136B0000}"/>
    <cellStyle name="Euro 30 3 2" xfId="209" xr:uid="{00000000-0005-0000-0000-0000146B0000}"/>
    <cellStyle name="Euro 30 3 3" xfId="19077" xr:uid="{00000000-0005-0000-0000-0000156B0000}"/>
    <cellStyle name="Euro 30 3 3 2" xfId="20336" xr:uid="{00000000-0005-0000-0000-0000166B0000}"/>
    <cellStyle name="Euro 30 3 4" xfId="20335" xr:uid="{00000000-0005-0000-0000-0000176B0000}"/>
    <cellStyle name="Euro 30 3 5" xfId="19076" xr:uid="{00000000-0005-0000-0000-0000186B0000}"/>
    <cellStyle name="Euro 30 4" xfId="210" xr:uid="{00000000-0005-0000-0000-0000196B0000}"/>
    <cellStyle name="Euro 30 4 2" xfId="19079" xr:uid="{00000000-0005-0000-0000-00001A6B0000}"/>
    <cellStyle name="Euro 30 4 2 2" xfId="20338" xr:uid="{00000000-0005-0000-0000-00001B6B0000}"/>
    <cellStyle name="Euro 30 4 3" xfId="20337" xr:uid="{00000000-0005-0000-0000-00001C6B0000}"/>
    <cellStyle name="Euro 30 4 4" xfId="19078" xr:uid="{00000000-0005-0000-0000-00001D6B0000}"/>
    <cellStyle name="Euro 30 4 5" xfId="11243" xr:uid="{00000000-0005-0000-0000-00001E6B0000}"/>
    <cellStyle name="Euro 30 5" xfId="211" xr:uid="{00000000-0005-0000-0000-00001F6B0000}"/>
    <cellStyle name="Euro 30 5 2" xfId="11244" xr:uid="{00000000-0005-0000-0000-0000206B0000}"/>
    <cellStyle name="Euro 30 6" xfId="212" xr:uid="{00000000-0005-0000-0000-0000216B0000}"/>
    <cellStyle name="Euro 30 6 2" xfId="21277" xr:uid="{00000000-0005-0000-0000-0000226B0000}"/>
    <cellStyle name="Euro 31" xfId="213" xr:uid="{00000000-0005-0000-0000-0000236B0000}"/>
    <cellStyle name="Euro 31 2" xfId="214" xr:uid="{00000000-0005-0000-0000-0000246B0000}"/>
    <cellStyle name="Euro 31 2 2" xfId="3515" xr:uid="{00000000-0005-0000-0000-0000256B0000}"/>
    <cellStyle name="Euro 31 3" xfId="215" xr:uid="{00000000-0005-0000-0000-0000266B0000}"/>
    <cellStyle name="Euro 31 3 2" xfId="216" xr:uid="{00000000-0005-0000-0000-0000276B0000}"/>
    <cellStyle name="Euro 31 3 3" xfId="19081" xr:uid="{00000000-0005-0000-0000-0000286B0000}"/>
    <cellStyle name="Euro 31 3 3 2" xfId="20340" xr:uid="{00000000-0005-0000-0000-0000296B0000}"/>
    <cellStyle name="Euro 31 3 4" xfId="20339" xr:uid="{00000000-0005-0000-0000-00002A6B0000}"/>
    <cellStyle name="Euro 31 3 5" xfId="19080" xr:uid="{00000000-0005-0000-0000-00002B6B0000}"/>
    <cellStyle name="Euro 31 4" xfId="217" xr:uid="{00000000-0005-0000-0000-00002C6B0000}"/>
    <cellStyle name="Euro 31 4 2" xfId="19083" xr:uid="{00000000-0005-0000-0000-00002D6B0000}"/>
    <cellStyle name="Euro 31 4 2 2" xfId="20342" xr:uid="{00000000-0005-0000-0000-00002E6B0000}"/>
    <cellStyle name="Euro 31 4 3" xfId="20341" xr:uid="{00000000-0005-0000-0000-00002F6B0000}"/>
    <cellStyle name="Euro 31 4 4" xfId="19082" xr:uid="{00000000-0005-0000-0000-0000306B0000}"/>
    <cellStyle name="Euro 31 4 5" xfId="11245" xr:uid="{00000000-0005-0000-0000-0000316B0000}"/>
    <cellStyle name="Euro 31 5" xfId="218" xr:uid="{00000000-0005-0000-0000-0000326B0000}"/>
    <cellStyle name="Euro 31 5 2" xfId="11246" xr:uid="{00000000-0005-0000-0000-0000336B0000}"/>
    <cellStyle name="Euro 31 6" xfId="219" xr:uid="{00000000-0005-0000-0000-0000346B0000}"/>
    <cellStyle name="Euro 31 6 2" xfId="21278" xr:uid="{00000000-0005-0000-0000-0000356B0000}"/>
    <cellStyle name="Euro 32" xfId="220" xr:uid="{00000000-0005-0000-0000-0000366B0000}"/>
    <cellStyle name="Euro 32 2" xfId="221" xr:uid="{00000000-0005-0000-0000-0000376B0000}"/>
    <cellStyle name="Euro 32 2 2" xfId="3516" xr:uid="{00000000-0005-0000-0000-0000386B0000}"/>
    <cellStyle name="Euro 32 3" xfId="222" xr:uid="{00000000-0005-0000-0000-0000396B0000}"/>
    <cellStyle name="Euro 32 3 2" xfId="223" xr:uid="{00000000-0005-0000-0000-00003A6B0000}"/>
    <cellStyle name="Euro 32 3 3" xfId="19085" xr:uid="{00000000-0005-0000-0000-00003B6B0000}"/>
    <cellStyle name="Euro 32 3 3 2" xfId="20344" xr:uid="{00000000-0005-0000-0000-00003C6B0000}"/>
    <cellStyle name="Euro 32 3 4" xfId="20343" xr:uid="{00000000-0005-0000-0000-00003D6B0000}"/>
    <cellStyle name="Euro 32 3 5" xfId="19084" xr:uid="{00000000-0005-0000-0000-00003E6B0000}"/>
    <cellStyle name="Euro 32 4" xfId="224" xr:uid="{00000000-0005-0000-0000-00003F6B0000}"/>
    <cellStyle name="Euro 32 4 2" xfId="19087" xr:uid="{00000000-0005-0000-0000-0000406B0000}"/>
    <cellStyle name="Euro 32 4 2 2" xfId="20346" xr:uid="{00000000-0005-0000-0000-0000416B0000}"/>
    <cellStyle name="Euro 32 4 3" xfId="20345" xr:uid="{00000000-0005-0000-0000-0000426B0000}"/>
    <cellStyle name="Euro 32 4 4" xfId="19086" xr:uid="{00000000-0005-0000-0000-0000436B0000}"/>
    <cellStyle name="Euro 32 4 5" xfId="11247" xr:uid="{00000000-0005-0000-0000-0000446B0000}"/>
    <cellStyle name="Euro 32 5" xfId="225" xr:uid="{00000000-0005-0000-0000-0000456B0000}"/>
    <cellStyle name="Euro 32 5 2" xfId="11248" xr:uid="{00000000-0005-0000-0000-0000466B0000}"/>
    <cellStyle name="Euro 32 6" xfId="226" xr:uid="{00000000-0005-0000-0000-0000476B0000}"/>
    <cellStyle name="Euro 32 6 2" xfId="21279" xr:uid="{00000000-0005-0000-0000-0000486B0000}"/>
    <cellStyle name="Euro 33" xfId="227" xr:uid="{00000000-0005-0000-0000-0000496B0000}"/>
    <cellStyle name="Euro 33 2" xfId="228" xr:uid="{00000000-0005-0000-0000-00004A6B0000}"/>
    <cellStyle name="Euro 33 2 2" xfId="3517" xr:uid="{00000000-0005-0000-0000-00004B6B0000}"/>
    <cellStyle name="Euro 33 3" xfId="229" xr:uid="{00000000-0005-0000-0000-00004C6B0000}"/>
    <cellStyle name="Euro 33 3 2" xfId="230" xr:uid="{00000000-0005-0000-0000-00004D6B0000}"/>
    <cellStyle name="Euro 33 3 3" xfId="19089" xr:uid="{00000000-0005-0000-0000-00004E6B0000}"/>
    <cellStyle name="Euro 33 3 3 2" xfId="20348" xr:uid="{00000000-0005-0000-0000-00004F6B0000}"/>
    <cellStyle name="Euro 33 3 4" xfId="20347" xr:uid="{00000000-0005-0000-0000-0000506B0000}"/>
    <cellStyle name="Euro 33 3 5" xfId="19088" xr:uid="{00000000-0005-0000-0000-0000516B0000}"/>
    <cellStyle name="Euro 33 4" xfId="231" xr:uid="{00000000-0005-0000-0000-0000526B0000}"/>
    <cellStyle name="Euro 33 4 2" xfId="19091" xr:uid="{00000000-0005-0000-0000-0000536B0000}"/>
    <cellStyle name="Euro 33 4 2 2" xfId="20350" xr:uid="{00000000-0005-0000-0000-0000546B0000}"/>
    <cellStyle name="Euro 33 4 3" xfId="20349" xr:uid="{00000000-0005-0000-0000-0000556B0000}"/>
    <cellStyle name="Euro 33 4 4" xfId="19090" xr:uid="{00000000-0005-0000-0000-0000566B0000}"/>
    <cellStyle name="Euro 33 4 5" xfId="11249" xr:uid="{00000000-0005-0000-0000-0000576B0000}"/>
    <cellStyle name="Euro 33 5" xfId="232" xr:uid="{00000000-0005-0000-0000-0000586B0000}"/>
    <cellStyle name="Euro 33 5 2" xfId="11250" xr:uid="{00000000-0005-0000-0000-0000596B0000}"/>
    <cellStyle name="Euro 33 6" xfId="233" xr:uid="{00000000-0005-0000-0000-00005A6B0000}"/>
    <cellStyle name="Euro 33 6 2" xfId="21280" xr:uid="{00000000-0005-0000-0000-00005B6B0000}"/>
    <cellStyle name="Euro 34" xfId="234" xr:uid="{00000000-0005-0000-0000-00005C6B0000}"/>
    <cellStyle name="Euro 34 2" xfId="235" xr:uid="{00000000-0005-0000-0000-00005D6B0000}"/>
    <cellStyle name="Euro 34 2 2" xfId="3518" xr:uid="{00000000-0005-0000-0000-00005E6B0000}"/>
    <cellStyle name="Euro 34 3" xfId="236" xr:uid="{00000000-0005-0000-0000-00005F6B0000}"/>
    <cellStyle name="Euro 34 3 2" xfId="237" xr:uid="{00000000-0005-0000-0000-0000606B0000}"/>
    <cellStyle name="Euro 34 3 3" xfId="19093" xr:uid="{00000000-0005-0000-0000-0000616B0000}"/>
    <cellStyle name="Euro 34 3 3 2" xfId="20352" xr:uid="{00000000-0005-0000-0000-0000626B0000}"/>
    <cellStyle name="Euro 34 3 4" xfId="20351" xr:uid="{00000000-0005-0000-0000-0000636B0000}"/>
    <cellStyle name="Euro 34 3 5" xfId="19092" xr:uid="{00000000-0005-0000-0000-0000646B0000}"/>
    <cellStyle name="Euro 34 4" xfId="238" xr:uid="{00000000-0005-0000-0000-0000656B0000}"/>
    <cellStyle name="Euro 34 4 2" xfId="19095" xr:uid="{00000000-0005-0000-0000-0000666B0000}"/>
    <cellStyle name="Euro 34 4 2 2" xfId="20354" xr:uid="{00000000-0005-0000-0000-0000676B0000}"/>
    <cellStyle name="Euro 34 4 3" xfId="20353" xr:uid="{00000000-0005-0000-0000-0000686B0000}"/>
    <cellStyle name="Euro 34 4 4" xfId="19094" xr:uid="{00000000-0005-0000-0000-0000696B0000}"/>
    <cellStyle name="Euro 34 4 5" xfId="11251" xr:uid="{00000000-0005-0000-0000-00006A6B0000}"/>
    <cellStyle name="Euro 34 5" xfId="239" xr:uid="{00000000-0005-0000-0000-00006B6B0000}"/>
    <cellStyle name="Euro 34 5 2" xfId="11252" xr:uid="{00000000-0005-0000-0000-00006C6B0000}"/>
    <cellStyle name="Euro 34 6" xfId="240" xr:uid="{00000000-0005-0000-0000-00006D6B0000}"/>
    <cellStyle name="Euro 34 6 2" xfId="21281" xr:uid="{00000000-0005-0000-0000-00006E6B0000}"/>
    <cellStyle name="Euro 35" xfId="241" xr:uid="{00000000-0005-0000-0000-00006F6B0000}"/>
    <cellStyle name="Euro 35 2" xfId="242" xr:uid="{00000000-0005-0000-0000-0000706B0000}"/>
    <cellStyle name="Euro 35 2 2" xfId="3519" xr:uid="{00000000-0005-0000-0000-0000716B0000}"/>
    <cellStyle name="Euro 35 3" xfId="243" xr:uid="{00000000-0005-0000-0000-0000726B0000}"/>
    <cellStyle name="Euro 35 3 2" xfId="244" xr:uid="{00000000-0005-0000-0000-0000736B0000}"/>
    <cellStyle name="Euro 35 3 3" xfId="19097" xr:uid="{00000000-0005-0000-0000-0000746B0000}"/>
    <cellStyle name="Euro 35 3 3 2" xfId="20356" xr:uid="{00000000-0005-0000-0000-0000756B0000}"/>
    <cellStyle name="Euro 35 3 4" xfId="20355" xr:uid="{00000000-0005-0000-0000-0000766B0000}"/>
    <cellStyle name="Euro 35 3 5" xfId="19096" xr:uid="{00000000-0005-0000-0000-0000776B0000}"/>
    <cellStyle name="Euro 35 4" xfId="245" xr:uid="{00000000-0005-0000-0000-0000786B0000}"/>
    <cellStyle name="Euro 35 4 2" xfId="19099" xr:uid="{00000000-0005-0000-0000-0000796B0000}"/>
    <cellStyle name="Euro 35 4 2 2" xfId="20358" xr:uid="{00000000-0005-0000-0000-00007A6B0000}"/>
    <cellStyle name="Euro 35 4 3" xfId="20357" xr:uid="{00000000-0005-0000-0000-00007B6B0000}"/>
    <cellStyle name="Euro 35 4 4" xfId="19098" xr:uid="{00000000-0005-0000-0000-00007C6B0000}"/>
    <cellStyle name="Euro 35 4 5" xfId="11253" xr:uid="{00000000-0005-0000-0000-00007D6B0000}"/>
    <cellStyle name="Euro 35 5" xfId="246" xr:uid="{00000000-0005-0000-0000-00007E6B0000}"/>
    <cellStyle name="Euro 35 5 2" xfId="11254" xr:uid="{00000000-0005-0000-0000-00007F6B0000}"/>
    <cellStyle name="Euro 35 6" xfId="247" xr:uid="{00000000-0005-0000-0000-0000806B0000}"/>
    <cellStyle name="Euro 35 6 2" xfId="21282" xr:uid="{00000000-0005-0000-0000-0000816B0000}"/>
    <cellStyle name="Euro 36" xfId="248" xr:uid="{00000000-0005-0000-0000-0000826B0000}"/>
    <cellStyle name="Euro 36 2" xfId="249" xr:uid="{00000000-0005-0000-0000-0000836B0000}"/>
    <cellStyle name="Euro 36 2 2" xfId="3520" xr:uid="{00000000-0005-0000-0000-0000846B0000}"/>
    <cellStyle name="Euro 36 3" xfId="250" xr:uid="{00000000-0005-0000-0000-0000856B0000}"/>
    <cellStyle name="Euro 36 3 2" xfId="251" xr:uid="{00000000-0005-0000-0000-0000866B0000}"/>
    <cellStyle name="Euro 36 3 3" xfId="19101" xr:uid="{00000000-0005-0000-0000-0000876B0000}"/>
    <cellStyle name="Euro 36 3 3 2" xfId="20360" xr:uid="{00000000-0005-0000-0000-0000886B0000}"/>
    <cellStyle name="Euro 36 3 4" xfId="20359" xr:uid="{00000000-0005-0000-0000-0000896B0000}"/>
    <cellStyle name="Euro 36 3 5" xfId="19100" xr:uid="{00000000-0005-0000-0000-00008A6B0000}"/>
    <cellStyle name="Euro 36 4" xfId="252" xr:uid="{00000000-0005-0000-0000-00008B6B0000}"/>
    <cellStyle name="Euro 36 4 2" xfId="19103" xr:uid="{00000000-0005-0000-0000-00008C6B0000}"/>
    <cellStyle name="Euro 36 4 2 2" xfId="20362" xr:uid="{00000000-0005-0000-0000-00008D6B0000}"/>
    <cellStyle name="Euro 36 4 3" xfId="20361" xr:uid="{00000000-0005-0000-0000-00008E6B0000}"/>
    <cellStyle name="Euro 36 4 4" xfId="19102" xr:uid="{00000000-0005-0000-0000-00008F6B0000}"/>
    <cellStyle name="Euro 36 4 5" xfId="11255" xr:uid="{00000000-0005-0000-0000-0000906B0000}"/>
    <cellStyle name="Euro 36 5" xfId="253" xr:uid="{00000000-0005-0000-0000-0000916B0000}"/>
    <cellStyle name="Euro 36 5 2" xfId="11256" xr:uid="{00000000-0005-0000-0000-0000926B0000}"/>
    <cellStyle name="Euro 36 6" xfId="254" xr:uid="{00000000-0005-0000-0000-0000936B0000}"/>
    <cellStyle name="Euro 36 6 2" xfId="21283" xr:uid="{00000000-0005-0000-0000-0000946B0000}"/>
    <cellStyle name="Euro 37" xfId="255" xr:uid="{00000000-0005-0000-0000-0000956B0000}"/>
    <cellStyle name="Euro 37 2" xfId="256" xr:uid="{00000000-0005-0000-0000-0000966B0000}"/>
    <cellStyle name="Euro 37 2 2" xfId="3521" xr:uid="{00000000-0005-0000-0000-0000976B0000}"/>
    <cellStyle name="Euro 37 3" xfId="257" xr:uid="{00000000-0005-0000-0000-0000986B0000}"/>
    <cellStyle name="Euro 37 3 2" xfId="258" xr:uid="{00000000-0005-0000-0000-0000996B0000}"/>
    <cellStyle name="Euro 37 3 3" xfId="19105" xr:uid="{00000000-0005-0000-0000-00009A6B0000}"/>
    <cellStyle name="Euro 37 3 3 2" xfId="20364" xr:uid="{00000000-0005-0000-0000-00009B6B0000}"/>
    <cellStyle name="Euro 37 3 4" xfId="20363" xr:uid="{00000000-0005-0000-0000-00009C6B0000}"/>
    <cellStyle name="Euro 37 3 5" xfId="19104" xr:uid="{00000000-0005-0000-0000-00009D6B0000}"/>
    <cellStyle name="Euro 37 4" xfId="259" xr:uid="{00000000-0005-0000-0000-00009E6B0000}"/>
    <cellStyle name="Euro 37 4 2" xfId="19107" xr:uid="{00000000-0005-0000-0000-00009F6B0000}"/>
    <cellStyle name="Euro 37 4 2 2" xfId="20366" xr:uid="{00000000-0005-0000-0000-0000A06B0000}"/>
    <cellStyle name="Euro 37 4 3" xfId="20365" xr:uid="{00000000-0005-0000-0000-0000A16B0000}"/>
    <cellStyle name="Euro 37 4 4" xfId="19106" xr:uid="{00000000-0005-0000-0000-0000A26B0000}"/>
    <cellStyle name="Euro 37 4 5" xfId="11257" xr:uid="{00000000-0005-0000-0000-0000A36B0000}"/>
    <cellStyle name="Euro 37 5" xfId="260" xr:uid="{00000000-0005-0000-0000-0000A46B0000}"/>
    <cellStyle name="Euro 37 5 2" xfId="11258" xr:uid="{00000000-0005-0000-0000-0000A56B0000}"/>
    <cellStyle name="Euro 37 6" xfId="261" xr:uid="{00000000-0005-0000-0000-0000A66B0000}"/>
    <cellStyle name="Euro 37 6 2" xfId="21284" xr:uid="{00000000-0005-0000-0000-0000A76B0000}"/>
    <cellStyle name="Euro 38" xfId="262" xr:uid="{00000000-0005-0000-0000-0000A86B0000}"/>
    <cellStyle name="Euro 38 2" xfId="263" xr:uid="{00000000-0005-0000-0000-0000A96B0000}"/>
    <cellStyle name="Euro 38 2 2" xfId="3522" xr:uid="{00000000-0005-0000-0000-0000AA6B0000}"/>
    <cellStyle name="Euro 38 3" xfId="264" xr:uid="{00000000-0005-0000-0000-0000AB6B0000}"/>
    <cellStyle name="Euro 38 3 2" xfId="265" xr:uid="{00000000-0005-0000-0000-0000AC6B0000}"/>
    <cellStyle name="Euro 38 3 3" xfId="19109" xr:uid="{00000000-0005-0000-0000-0000AD6B0000}"/>
    <cellStyle name="Euro 38 3 3 2" xfId="20368" xr:uid="{00000000-0005-0000-0000-0000AE6B0000}"/>
    <cellStyle name="Euro 38 3 4" xfId="20367" xr:uid="{00000000-0005-0000-0000-0000AF6B0000}"/>
    <cellStyle name="Euro 38 3 5" xfId="19108" xr:uid="{00000000-0005-0000-0000-0000B06B0000}"/>
    <cellStyle name="Euro 38 4" xfId="266" xr:uid="{00000000-0005-0000-0000-0000B16B0000}"/>
    <cellStyle name="Euro 38 4 2" xfId="19111" xr:uid="{00000000-0005-0000-0000-0000B26B0000}"/>
    <cellStyle name="Euro 38 4 2 2" xfId="20370" xr:uid="{00000000-0005-0000-0000-0000B36B0000}"/>
    <cellStyle name="Euro 38 4 3" xfId="20369" xr:uid="{00000000-0005-0000-0000-0000B46B0000}"/>
    <cellStyle name="Euro 38 4 4" xfId="19110" xr:uid="{00000000-0005-0000-0000-0000B56B0000}"/>
    <cellStyle name="Euro 38 4 5" xfId="11259" xr:uid="{00000000-0005-0000-0000-0000B66B0000}"/>
    <cellStyle name="Euro 38 5" xfId="267" xr:uid="{00000000-0005-0000-0000-0000B76B0000}"/>
    <cellStyle name="Euro 38 5 2" xfId="11260" xr:uid="{00000000-0005-0000-0000-0000B86B0000}"/>
    <cellStyle name="Euro 38 6" xfId="268" xr:uid="{00000000-0005-0000-0000-0000B96B0000}"/>
    <cellStyle name="Euro 38 6 2" xfId="21285" xr:uid="{00000000-0005-0000-0000-0000BA6B0000}"/>
    <cellStyle name="Euro 39" xfId="269" xr:uid="{00000000-0005-0000-0000-0000BB6B0000}"/>
    <cellStyle name="Euro 39 2" xfId="270" xr:uid="{00000000-0005-0000-0000-0000BC6B0000}"/>
    <cellStyle name="Euro 39 2 2" xfId="3523" xr:uid="{00000000-0005-0000-0000-0000BD6B0000}"/>
    <cellStyle name="Euro 39 3" xfId="271" xr:uid="{00000000-0005-0000-0000-0000BE6B0000}"/>
    <cellStyle name="Euro 39 3 2" xfId="272" xr:uid="{00000000-0005-0000-0000-0000BF6B0000}"/>
    <cellStyle name="Euro 39 3 3" xfId="19113" xr:uid="{00000000-0005-0000-0000-0000C06B0000}"/>
    <cellStyle name="Euro 39 3 3 2" xfId="20372" xr:uid="{00000000-0005-0000-0000-0000C16B0000}"/>
    <cellStyle name="Euro 39 3 4" xfId="20371" xr:uid="{00000000-0005-0000-0000-0000C26B0000}"/>
    <cellStyle name="Euro 39 3 5" xfId="19112" xr:uid="{00000000-0005-0000-0000-0000C36B0000}"/>
    <cellStyle name="Euro 39 4" xfId="273" xr:uid="{00000000-0005-0000-0000-0000C46B0000}"/>
    <cellStyle name="Euro 39 4 2" xfId="19115" xr:uid="{00000000-0005-0000-0000-0000C56B0000}"/>
    <cellStyle name="Euro 39 4 2 2" xfId="20374" xr:uid="{00000000-0005-0000-0000-0000C66B0000}"/>
    <cellStyle name="Euro 39 4 3" xfId="20373" xr:uid="{00000000-0005-0000-0000-0000C76B0000}"/>
    <cellStyle name="Euro 39 4 4" xfId="19114" xr:uid="{00000000-0005-0000-0000-0000C86B0000}"/>
    <cellStyle name="Euro 39 4 5" xfId="11261" xr:uid="{00000000-0005-0000-0000-0000C96B0000}"/>
    <cellStyle name="Euro 39 5" xfId="274" xr:uid="{00000000-0005-0000-0000-0000CA6B0000}"/>
    <cellStyle name="Euro 39 5 2" xfId="11262" xr:uid="{00000000-0005-0000-0000-0000CB6B0000}"/>
    <cellStyle name="Euro 39 6" xfId="275" xr:uid="{00000000-0005-0000-0000-0000CC6B0000}"/>
    <cellStyle name="Euro 39 6 2" xfId="21286" xr:uid="{00000000-0005-0000-0000-0000CD6B0000}"/>
    <cellStyle name="Euro 4" xfId="276" xr:uid="{00000000-0005-0000-0000-0000CE6B0000}"/>
    <cellStyle name="Euro 4 2" xfId="277" xr:uid="{00000000-0005-0000-0000-0000CF6B0000}"/>
    <cellStyle name="Euro 4 2 2" xfId="3524" xr:uid="{00000000-0005-0000-0000-0000D06B0000}"/>
    <cellStyle name="Euro 4 3" xfId="278" xr:uid="{00000000-0005-0000-0000-0000D16B0000}"/>
    <cellStyle name="Euro 4 3 2" xfId="279" xr:uid="{00000000-0005-0000-0000-0000D26B0000}"/>
    <cellStyle name="Euro 4 3 3" xfId="19117" xr:uid="{00000000-0005-0000-0000-0000D36B0000}"/>
    <cellStyle name="Euro 4 3 3 2" xfId="20376" xr:uid="{00000000-0005-0000-0000-0000D46B0000}"/>
    <cellStyle name="Euro 4 3 4" xfId="20375" xr:uid="{00000000-0005-0000-0000-0000D56B0000}"/>
    <cellStyle name="Euro 4 3 5" xfId="19116" xr:uid="{00000000-0005-0000-0000-0000D66B0000}"/>
    <cellStyle name="Euro 4 4" xfId="280" xr:uid="{00000000-0005-0000-0000-0000D76B0000}"/>
    <cellStyle name="Euro 4 4 2" xfId="19119" xr:uid="{00000000-0005-0000-0000-0000D86B0000}"/>
    <cellStyle name="Euro 4 4 2 2" xfId="20378" xr:uid="{00000000-0005-0000-0000-0000D96B0000}"/>
    <cellStyle name="Euro 4 4 3" xfId="20377" xr:uid="{00000000-0005-0000-0000-0000DA6B0000}"/>
    <cellStyle name="Euro 4 4 4" xfId="19118" xr:uid="{00000000-0005-0000-0000-0000DB6B0000}"/>
    <cellStyle name="Euro 4 4 5" xfId="11263" xr:uid="{00000000-0005-0000-0000-0000DC6B0000}"/>
    <cellStyle name="Euro 4 5" xfId="281" xr:uid="{00000000-0005-0000-0000-0000DD6B0000}"/>
    <cellStyle name="Euro 4 5 2" xfId="11264" xr:uid="{00000000-0005-0000-0000-0000DE6B0000}"/>
    <cellStyle name="Euro 4 6" xfId="282" xr:uid="{00000000-0005-0000-0000-0000DF6B0000}"/>
    <cellStyle name="Euro 4 6 2" xfId="21287" xr:uid="{00000000-0005-0000-0000-0000E06B0000}"/>
    <cellStyle name="Euro 40" xfId="283" xr:uid="{00000000-0005-0000-0000-0000E16B0000}"/>
    <cellStyle name="Euro 40 2" xfId="284" xr:uid="{00000000-0005-0000-0000-0000E26B0000}"/>
    <cellStyle name="Euro 40 2 2" xfId="3525" xr:uid="{00000000-0005-0000-0000-0000E36B0000}"/>
    <cellStyle name="Euro 40 3" xfId="285" xr:uid="{00000000-0005-0000-0000-0000E46B0000}"/>
    <cellStyle name="Euro 40 3 2" xfId="286" xr:uid="{00000000-0005-0000-0000-0000E56B0000}"/>
    <cellStyle name="Euro 40 3 3" xfId="19121" xr:uid="{00000000-0005-0000-0000-0000E66B0000}"/>
    <cellStyle name="Euro 40 3 3 2" xfId="20380" xr:uid="{00000000-0005-0000-0000-0000E76B0000}"/>
    <cellStyle name="Euro 40 3 4" xfId="20379" xr:uid="{00000000-0005-0000-0000-0000E86B0000}"/>
    <cellStyle name="Euro 40 3 5" xfId="19120" xr:uid="{00000000-0005-0000-0000-0000E96B0000}"/>
    <cellStyle name="Euro 40 4" xfId="287" xr:uid="{00000000-0005-0000-0000-0000EA6B0000}"/>
    <cellStyle name="Euro 40 4 2" xfId="19123" xr:uid="{00000000-0005-0000-0000-0000EB6B0000}"/>
    <cellStyle name="Euro 40 4 2 2" xfId="20382" xr:uid="{00000000-0005-0000-0000-0000EC6B0000}"/>
    <cellStyle name="Euro 40 4 3" xfId="20381" xr:uid="{00000000-0005-0000-0000-0000ED6B0000}"/>
    <cellStyle name="Euro 40 4 4" xfId="19122" xr:uid="{00000000-0005-0000-0000-0000EE6B0000}"/>
    <cellStyle name="Euro 40 4 5" xfId="11265" xr:uid="{00000000-0005-0000-0000-0000EF6B0000}"/>
    <cellStyle name="Euro 40 5" xfId="288" xr:uid="{00000000-0005-0000-0000-0000F06B0000}"/>
    <cellStyle name="Euro 40 5 2" xfId="11266" xr:uid="{00000000-0005-0000-0000-0000F16B0000}"/>
    <cellStyle name="Euro 40 6" xfId="289" xr:uid="{00000000-0005-0000-0000-0000F26B0000}"/>
    <cellStyle name="Euro 40 6 2" xfId="21288" xr:uid="{00000000-0005-0000-0000-0000F36B0000}"/>
    <cellStyle name="Euro 41" xfId="290" xr:uid="{00000000-0005-0000-0000-0000F46B0000}"/>
    <cellStyle name="Euro 41 2" xfId="291" xr:uid="{00000000-0005-0000-0000-0000F56B0000}"/>
    <cellStyle name="Euro 41 2 2" xfId="3526" xr:uid="{00000000-0005-0000-0000-0000F66B0000}"/>
    <cellStyle name="Euro 41 3" xfId="292" xr:uid="{00000000-0005-0000-0000-0000F76B0000}"/>
    <cellStyle name="Euro 41 3 2" xfId="293" xr:uid="{00000000-0005-0000-0000-0000F86B0000}"/>
    <cellStyle name="Euro 41 3 3" xfId="19125" xr:uid="{00000000-0005-0000-0000-0000F96B0000}"/>
    <cellStyle name="Euro 41 3 3 2" xfId="20384" xr:uid="{00000000-0005-0000-0000-0000FA6B0000}"/>
    <cellStyle name="Euro 41 3 4" xfId="20383" xr:uid="{00000000-0005-0000-0000-0000FB6B0000}"/>
    <cellStyle name="Euro 41 3 5" xfId="19124" xr:uid="{00000000-0005-0000-0000-0000FC6B0000}"/>
    <cellStyle name="Euro 41 4" xfId="294" xr:uid="{00000000-0005-0000-0000-0000FD6B0000}"/>
    <cellStyle name="Euro 41 4 2" xfId="19127" xr:uid="{00000000-0005-0000-0000-0000FE6B0000}"/>
    <cellStyle name="Euro 41 4 2 2" xfId="20386" xr:uid="{00000000-0005-0000-0000-0000FF6B0000}"/>
    <cellStyle name="Euro 41 4 3" xfId="20385" xr:uid="{00000000-0005-0000-0000-0000006C0000}"/>
    <cellStyle name="Euro 41 4 4" xfId="19126" xr:uid="{00000000-0005-0000-0000-0000016C0000}"/>
    <cellStyle name="Euro 41 4 5" xfId="11267" xr:uid="{00000000-0005-0000-0000-0000026C0000}"/>
    <cellStyle name="Euro 41 5" xfId="295" xr:uid="{00000000-0005-0000-0000-0000036C0000}"/>
    <cellStyle name="Euro 41 5 2" xfId="11268" xr:uid="{00000000-0005-0000-0000-0000046C0000}"/>
    <cellStyle name="Euro 41 6" xfId="296" xr:uid="{00000000-0005-0000-0000-0000056C0000}"/>
    <cellStyle name="Euro 41 6 2" xfId="21289" xr:uid="{00000000-0005-0000-0000-0000066C0000}"/>
    <cellStyle name="Euro 42" xfId="297" xr:uid="{00000000-0005-0000-0000-0000076C0000}"/>
    <cellStyle name="Euro 42 2" xfId="298" xr:uid="{00000000-0005-0000-0000-0000086C0000}"/>
    <cellStyle name="Euro 42 2 2" xfId="3527" xr:uid="{00000000-0005-0000-0000-0000096C0000}"/>
    <cellStyle name="Euro 42 3" xfId="299" xr:uid="{00000000-0005-0000-0000-00000A6C0000}"/>
    <cellStyle name="Euro 42 3 2" xfId="300" xr:uid="{00000000-0005-0000-0000-00000B6C0000}"/>
    <cellStyle name="Euro 42 3 3" xfId="19129" xr:uid="{00000000-0005-0000-0000-00000C6C0000}"/>
    <cellStyle name="Euro 42 3 3 2" xfId="20388" xr:uid="{00000000-0005-0000-0000-00000D6C0000}"/>
    <cellStyle name="Euro 42 3 4" xfId="20387" xr:uid="{00000000-0005-0000-0000-00000E6C0000}"/>
    <cellStyle name="Euro 42 3 5" xfId="19128" xr:uid="{00000000-0005-0000-0000-00000F6C0000}"/>
    <cellStyle name="Euro 42 4" xfId="301" xr:uid="{00000000-0005-0000-0000-0000106C0000}"/>
    <cellStyle name="Euro 42 4 2" xfId="19131" xr:uid="{00000000-0005-0000-0000-0000116C0000}"/>
    <cellStyle name="Euro 42 4 2 2" xfId="20390" xr:uid="{00000000-0005-0000-0000-0000126C0000}"/>
    <cellStyle name="Euro 42 4 3" xfId="20389" xr:uid="{00000000-0005-0000-0000-0000136C0000}"/>
    <cellStyle name="Euro 42 4 4" xfId="19130" xr:uid="{00000000-0005-0000-0000-0000146C0000}"/>
    <cellStyle name="Euro 42 4 5" xfId="11269" xr:uid="{00000000-0005-0000-0000-0000156C0000}"/>
    <cellStyle name="Euro 42 5" xfId="302" xr:uid="{00000000-0005-0000-0000-0000166C0000}"/>
    <cellStyle name="Euro 42 5 2" xfId="11270" xr:uid="{00000000-0005-0000-0000-0000176C0000}"/>
    <cellStyle name="Euro 42 6" xfId="303" xr:uid="{00000000-0005-0000-0000-0000186C0000}"/>
    <cellStyle name="Euro 42 6 2" xfId="21290" xr:uid="{00000000-0005-0000-0000-0000196C0000}"/>
    <cellStyle name="Euro 43" xfId="304" xr:uid="{00000000-0005-0000-0000-00001A6C0000}"/>
    <cellStyle name="Euro 43 2" xfId="305" xr:uid="{00000000-0005-0000-0000-00001B6C0000}"/>
    <cellStyle name="Euro 43 2 2" xfId="3528" xr:uid="{00000000-0005-0000-0000-00001C6C0000}"/>
    <cellStyle name="Euro 43 3" xfId="306" xr:uid="{00000000-0005-0000-0000-00001D6C0000}"/>
    <cellStyle name="Euro 43 3 2" xfId="307" xr:uid="{00000000-0005-0000-0000-00001E6C0000}"/>
    <cellStyle name="Euro 43 3 3" xfId="19133" xr:uid="{00000000-0005-0000-0000-00001F6C0000}"/>
    <cellStyle name="Euro 43 3 3 2" xfId="20392" xr:uid="{00000000-0005-0000-0000-0000206C0000}"/>
    <cellStyle name="Euro 43 3 4" xfId="20391" xr:uid="{00000000-0005-0000-0000-0000216C0000}"/>
    <cellStyle name="Euro 43 3 5" xfId="19132" xr:uid="{00000000-0005-0000-0000-0000226C0000}"/>
    <cellStyle name="Euro 43 4" xfId="308" xr:uid="{00000000-0005-0000-0000-0000236C0000}"/>
    <cellStyle name="Euro 43 4 2" xfId="19135" xr:uid="{00000000-0005-0000-0000-0000246C0000}"/>
    <cellStyle name="Euro 43 4 2 2" xfId="20394" xr:uid="{00000000-0005-0000-0000-0000256C0000}"/>
    <cellStyle name="Euro 43 4 3" xfId="20393" xr:uid="{00000000-0005-0000-0000-0000266C0000}"/>
    <cellStyle name="Euro 43 4 4" xfId="19134" xr:uid="{00000000-0005-0000-0000-0000276C0000}"/>
    <cellStyle name="Euro 43 4 5" xfId="11271" xr:uid="{00000000-0005-0000-0000-0000286C0000}"/>
    <cellStyle name="Euro 43 5" xfId="309" xr:uid="{00000000-0005-0000-0000-0000296C0000}"/>
    <cellStyle name="Euro 43 5 2" xfId="11272" xr:uid="{00000000-0005-0000-0000-00002A6C0000}"/>
    <cellStyle name="Euro 43 6" xfId="310" xr:uid="{00000000-0005-0000-0000-00002B6C0000}"/>
    <cellStyle name="Euro 43 6 2" xfId="21291" xr:uid="{00000000-0005-0000-0000-00002C6C0000}"/>
    <cellStyle name="Euro 44" xfId="311" xr:uid="{00000000-0005-0000-0000-00002D6C0000}"/>
    <cellStyle name="Euro 44 2" xfId="312" xr:uid="{00000000-0005-0000-0000-00002E6C0000}"/>
    <cellStyle name="Euro 44 2 2" xfId="3529" xr:uid="{00000000-0005-0000-0000-00002F6C0000}"/>
    <cellStyle name="Euro 44 3" xfId="313" xr:uid="{00000000-0005-0000-0000-0000306C0000}"/>
    <cellStyle name="Euro 44 3 2" xfId="314" xr:uid="{00000000-0005-0000-0000-0000316C0000}"/>
    <cellStyle name="Euro 44 3 3" xfId="19137" xr:uid="{00000000-0005-0000-0000-0000326C0000}"/>
    <cellStyle name="Euro 44 3 3 2" xfId="20396" xr:uid="{00000000-0005-0000-0000-0000336C0000}"/>
    <cellStyle name="Euro 44 3 4" xfId="20395" xr:uid="{00000000-0005-0000-0000-0000346C0000}"/>
    <cellStyle name="Euro 44 3 5" xfId="19136" xr:uid="{00000000-0005-0000-0000-0000356C0000}"/>
    <cellStyle name="Euro 44 4" xfId="315" xr:uid="{00000000-0005-0000-0000-0000366C0000}"/>
    <cellStyle name="Euro 44 4 2" xfId="19139" xr:uid="{00000000-0005-0000-0000-0000376C0000}"/>
    <cellStyle name="Euro 44 4 2 2" xfId="20398" xr:uid="{00000000-0005-0000-0000-0000386C0000}"/>
    <cellStyle name="Euro 44 4 3" xfId="20397" xr:uid="{00000000-0005-0000-0000-0000396C0000}"/>
    <cellStyle name="Euro 44 4 4" xfId="19138" xr:uid="{00000000-0005-0000-0000-00003A6C0000}"/>
    <cellStyle name="Euro 44 4 5" xfId="11273" xr:uid="{00000000-0005-0000-0000-00003B6C0000}"/>
    <cellStyle name="Euro 44 5" xfId="316" xr:uid="{00000000-0005-0000-0000-00003C6C0000}"/>
    <cellStyle name="Euro 44 5 2" xfId="11274" xr:uid="{00000000-0005-0000-0000-00003D6C0000}"/>
    <cellStyle name="Euro 44 6" xfId="317" xr:uid="{00000000-0005-0000-0000-00003E6C0000}"/>
    <cellStyle name="Euro 44 6 2" xfId="21292" xr:uid="{00000000-0005-0000-0000-00003F6C0000}"/>
    <cellStyle name="Euro 45" xfId="318" xr:uid="{00000000-0005-0000-0000-0000406C0000}"/>
    <cellStyle name="Euro 45 2" xfId="3530" xr:uid="{00000000-0005-0000-0000-0000416C0000}"/>
    <cellStyle name="Euro 45 2 2" xfId="20400" xr:uid="{00000000-0005-0000-0000-0000426C0000}"/>
    <cellStyle name="Euro 45 2 3" xfId="19140" xr:uid="{00000000-0005-0000-0000-0000436C0000}"/>
    <cellStyle name="Euro 45 3" xfId="20399" xr:uid="{00000000-0005-0000-0000-0000446C0000}"/>
    <cellStyle name="Euro 46" xfId="319" xr:uid="{00000000-0005-0000-0000-0000456C0000}"/>
    <cellStyle name="Euro 46 2" xfId="3531" xr:uid="{00000000-0005-0000-0000-0000466C0000}"/>
    <cellStyle name="Euro 47" xfId="320" xr:uid="{00000000-0005-0000-0000-0000476C0000}"/>
    <cellStyle name="Euro 47 2" xfId="321" xr:uid="{00000000-0005-0000-0000-0000486C0000}"/>
    <cellStyle name="Euro 47 3" xfId="19142" xr:uid="{00000000-0005-0000-0000-0000496C0000}"/>
    <cellStyle name="Euro 47 3 2" xfId="20402" xr:uid="{00000000-0005-0000-0000-00004A6C0000}"/>
    <cellStyle name="Euro 47 4" xfId="20401" xr:uid="{00000000-0005-0000-0000-00004B6C0000}"/>
    <cellStyle name="Euro 47 5" xfId="19141" xr:uid="{00000000-0005-0000-0000-00004C6C0000}"/>
    <cellStyle name="Euro 48" xfId="322" xr:uid="{00000000-0005-0000-0000-00004D6C0000}"/>
    <cellStyle name="Euro 48 2" xfId="3532" xr:uid="{00000000-0005-0000-0000-00004E6C0000}"/>
    <cellStyle name="Euro 49" xfId="323" xr:uid="{00000000-0005-0000-0000-00004F6C0000}"/>
    <cellStyle name="Euro 49 2" xfId="11275" xr:uid="{00000000-0005-0000-0000-0000506C0000}"/>
    <cellStyle name="Euro 49 2 2" xfId="20404" xr:uid="{00000000-0005-0000-0000-0000516C0000}"/>
    <cellStyle name="Euro 49 2 3" xfId="19144" xr:uid="{00000000-0005-0000-0000-0000526C0000}"/>
    <cellStyle name="Euro 49 3" xfId="12282" xr:uid="{00000000-0005-0000-0000-0000536C0000}"/>
    <cellStyle name="Euro 49 3 2" xfId="20403" xr:uid="{00000000-0005-0000-0000-0000546C0000}"/>
    <cellStyle name="Euro 49 4" xfId="19143" xr:uid="{00000000-0005-0000-0000-0000556C0000}"/>
    <cellStyle name="Euro 49 5" xfId="3456" xr:uid="{00000000-0005-0000-0000-0000566C0000}"/>
    <cellStyle name="Euro 5" xfId="324" xr:uid="{00000000-0005-0000-0000-0000576C0000}"/>
    <cellStyle name="Euro 5 2" xfId="325" xr:uid="{00000000-0005-0000-0000-0000586C0000}"/>
    <cellStyle name="Euro 5 2 2" xfId="3533" xr:uid="{00000000-0005-0000-0000-0000596C0000}"/>
    <cellStyle name="Euro 5 3" xfId="326" xr:uid="{00000000-0005-0000-0000-00005A6C0000}"/>
    <cellStyle name="Euro 5 3 2" xfId="327" xr:uid="{00000000-0005-0000-0000-00005B6C0000}"/>
    <cellStyle name="Euro 5 3 3" xfId="19146" xr:uid="{00000000-0005-0000-0000-00005C6C0000}"/>
    <cellStyle name="Euro 5 3 3 2" xfId="20406" xr:uid="{00000000-0005-0000-0000-00005D6C0000}"/>
    <cellStyle name="Euro 5 3 4" xfId="20405" xr:uid="{00000000-0005-0000-0000-00005E6C0000}"/>
    <cellStyle name="Euro 5 3 5" xfId="19145" xr:uid="{00000000-0005-0000-0000-00005F6C0000}"/>
    <cellStyle name="Euro 5 4" xfId="328" xr:uid="{00000000-0005-0000-0000-0000606C0000}"/>
    <cellStyle name="Euro 5 4 2" xfId="19148" xr:uid="{00000000-0005-0000-0000-0000616C0000}"/>
    <cellStyle name="Euro 5 4 2 2" xfId="20408" xr:uid="{00000000-0005-0000-0000-0000626C0000}"/>
    <cellStyle name="Euro 5 4 3" xfId="20407" xr:uid="{00000000-0005-0000-0000-0000636C0000}"/>
    <cellStyle name="Euro 5 4 4" xfId="19147" xr:uid="{00000000-0005-0000-0000-0000646C0000}"/>
    <cellStyle name="Euro 5 4 5" xfId="11276" xr:uid="{00000000-0005-0000-0000-0000656C0000}"/>
    <cellStyle name="Euro 5 5" xfId="329" xr:uid="{00000000-0005-0000-0000-0000666C0000}"/>
    <cellStyle name="Euro 5 5 2" xfId="11277" xr:uid="{00000000-0005-0000-0000-0000676C0000}"/>
    <cellStyle name="Euro 5 6" xfId="330" xr:uid="{00000000-0005-0000-0000-0000686C0000}"/>
    <cellStyle name="Euro 5 6 2" xfId="21293" xr:uid="{00000000-0005-0000-0000-0000696C0000}"/>
    <cellStyle name="Euro 50" xfId="331" xr:uid="{00000000-0005-0000-0000-00006A6C0000}"/>
    <cellStyle name="Euro 50 2" xfId="11170" xr:uid="{00000000-0005-0000-0000-00006B6C0000}"/>
    <cellStyle name="Euro 50 3" xfId="11278" xr:uid="{00000000-0005-0000-0000-00006C6C0000}"/>
    <cellStyle name="Euro 50 4" xfId="12283" xr:uid="{00000000-0005-0000-0000-00006D6C0000}"/>
    <cellStyle name="Euro 50 5" xfId="3460" xr:uid="{00000000-0005-0000-0000-00006E6C0000}"/>
    <cellStyle name="Euro 51" xfId="332" xr:uid="{00000000-0005-0000-0000-00006F6C0000}"/>
    <cellStyle name="Euro 51 2" xfId="20409" xr:uid="{00000000-0005-0000-0000-0000706C0000}"/>
    <cellStyle name="Euro 51 3" xfId="19149" xr:uid="{00000000-0005-0000-0000-0000716C0000}"/>
    <cellStyle name="Euro 51 4" xfId="21294" xr:uid="{00000000-0005-0000-0000-0000726C0000}"/>
    <cellStyle name="Euro 6" xfId="333" xr:uid="{00000000-0005-0000-0000-0000736C0000}"/>
    <cellStyle name="Euro 6 2" xfId="334" xr:uid="{00000000-0005-0000-0000-0000746C0000}"/>
    <cellStyle name="Euro 6 2 2" xfId="3534" xr:uid="{00000000-0005-0000-0000-0000756C0000}"/>
    <cellStyle name="Euro 6 3" xfId="335" xr:uid="{00000000-0005-0000-0000-0000766C0000}"/>
    <cellStyle name="Euro 6 3 2" xfId="336" xr:uid="{00000000-0005-0000-0000-0000776C0000}"/>
    <cellStyle name="Euro 6 3 3" xfId="19151" xr:uid="{00000000-0005-0000-0000-0000786C0000}"/>
    <cellStyle name="Euro 6 3 3 2" xfId="20411" xr:uid="{00000000-0005-0000-0000-0000796C0000}"/>
    <cellStyle name="Euro 6 3 4" xfId="20410" xr:uid="{00000000-0005-0000-0000-00007A6C0000}"/>
    <cellStyle name="Euro 6 3 5" xfId="19150" xr:uid="{00000000-0005-0000-0000-00007B6C0000}"/>
    <cellStyle name="Euro 6 4" xfId="337" xr:uid="{00000000-0005-0000-0000-00007C6C0000}"/>
    <cellStyle name="Euro 6 4 2" xfId="19153" xr:uid="{00000000-0005-0000-0000-00007D6C0000}"/>
    <cellStyle name="Euro 6 4 2 2" xfId="20413" xr:uid="{00000000-0005-0000-0000-00007E6C0000}"/>
    <cellStyle name="Euro 6 4 3" xfId="20412" xr:uid="{00000000-0005-0000-0000-00007F6C0000}"/>
    <cellStyle name="Euro 6 4 4" xfId="19152" xr:uid="{00000000-0005-0000-0000-0000806C0000}"/>
    <cellStyle name="Euro 6 4 5" xfId="11279" xr:uid="{00000000-0005-0000-0000-0000816C0000}"/>
    <cellStyle name="Euro 6 5" xfId="338" xr:uid="{00000000-0005-0000-0000-0000826C0000}"/>
    <cellStyle name="Euro 6 5 2" xfId="11280" xr:uid="{00000000-0005-0000-0000-0000836C0000}"/>
    <cellStyle name="Euro 6 6" xfId="339" xr:uid="{00000000-0005-0000-0000-0000846C0000}"/>
    <cellStyle name="Euro 6 6 2" xfId="21295" xr:uid="{00000000-0005-0000-0000-0000856C0000}"/>
    <cellStyle name="Euro 7" xfId="340" xr:uid="{00000000-0005-0000-0000-0000866C0000}"/>
    <cellStyle name="Euro 7 2" xfId="341" xr:uid="{00000000-0005-0000-0000-0000876C0000}"/>
    <cellStyle name="Euro 7 2 2" xfId="3535" xr:uid="{00000000-0005-0000-0000-0000886C0000}"/>
    <cellStyle name="Euro 7 3" xfId="342" xr:uid="{00000000-0005-0000-0000-0000896C0000}"/>
    <cellStyle name="Euro 7 3 2" xfId="343" xr:uid="{00000000-0005-0000-0000-00008A6C0000}"/>
    <cellStyle name="Euro 7 3 3" xfId="19155" xr:uid="{00000000-0005-0000-0000-00008B6C0000}"/>
    <cellStyle name="Euro 7 3 3 2" xfId="20415" xr:uid="{00000000-0005-0000-0000-00008C6C0000}"/>
    <cellStyle name="Euro 7 3 4" xfId="20414" xr:uid="{00000000-0005-0000-0000-00008D6C0000}"/>
    <cellStyle name="Euro 7 3 5" xfId="19154" xr:uid="{00000000-0005-0000-0000-00008E6C0000}"/>
    <cellStyle name="Euro 7 4" xfId="344" xr:uid="{00000000-0005-0000-0000-00008F6C0000}"/>
    <cellStyle name="Euro 7 4 2" xfId="19157" xr:uid="{00000000-0005-0000-0000-0000906C0000}"/>
    <cellStyle name="Euro 7 4 2 2" xfId="20417" xr:uid="{00000000-0005-0000-0000-0000916C0000}"/>
    <cellStyle name="Euro 7 4 3" xfId="20416" xr:uid="{00000000-0005-0000-0000-0000926C0000}"/>
    <cellStyle name="Euro 7 4 4" xfId="19156" xr:uid="{00000000-0005-0000-0000-0000936C0000}"/>
    <cellStyle name="Euro 7 4 5" xfId="11281" xr:uid="{00000000-0005-0000-0000-0000946C0000}"/>
    <cellStyle name="Euro 7 5" xfId="345" xr:uid="{00000000-0005-0000-0000-0000956C0000}"/>
    <cellStyle name="Euro 7 5 2" xfId="11282" xr:uid="{00000000-0005-0000-0000-0000966C0000}"/>
    <cellStyle name="Euro 7 6" xfId="346" xr:uid="{00000000-0005-0000-0000-0000976C0000}"/>
    <cellStyle name="Euro 7 6 2" xfId="21296" xr:uid="{00000000-0005-0000-0000-0000986C0000}"/>
    <cellStyle name="Euro 8" xfId="347" xr:uid="{00000000-0005-0000-0000-0000996C0000}"/>
    <cellStyle name="Euro 8 2" xfId="348" xr:uid="{00000000-0005-0000-0000-00009A6C0000}"/>
    <cellStyle name="Euro 8 2 2" xfId="3536" xr:uid="{00000000-0005-0000-0000-00009B6C0000}"/>
    <cellStyle name="Euro 8 3" xfId="349" xr:uid="{00000000-0005-0000-0000-00009C6C0000}"/>
    <cellStyle name="Euro 8 3 2" xfId="350" xr:uid="{00000000-0005-0000-0000-00009D6C0000}"/>
    <cellStyle name="Euro 8 3 3" xfId="19159" xr:uid="{00000000-0005-0000-0000-00009E6C0000}"/>
    <cellStyle name="Euro 8 3 3 2" xfId="20419" xr:uid="{00000000-0005-0000-0000-00009F6C0000}"/>
    <cellStyle name="Euro 8 3 4" xfId="20418" xr:uid="{00000000-0005-0000-0000-0000A06C0000}"/>
    <cellStyle name="Euro 8 3 5" xfId="19158" xr:uid="{00000000-0005-0000-0000-0000A16C0000}"/>
    <cellStyle name="Euro 8 4" xfId="351" xr:uid="{00000000-0005-0000-0000-0000A26C0000}"/>
    <cellStyle name="Euro 8 4 2" xfId="19161" xr:uid="{00000000-0005-0000-0000-0000A36C0000}"/>
    <cellStyle name="Euro 8 4 2 2" xfId="20421" xr:uid="{00000000-0005-0000-0000-0000A46C0000}"/>
    <cellStyle name="Euro 8 4 3" xfId="20420" xr:uid="{00000000-0005-0000-0000-0000A56C0000}"/>
    <cellStyle name="Euro 8 4 4" xfId="19160" xr:uid="{00000000-0005-0000-0000-0000A66C0000}"/>
    <cellStyle name="Euro 8 4 5" xfId="11283" xr:uid="{00000000-0005-0000-0000-0000A76C0000}"/>
    <cellStyle name="Euro 8 5" xfId="352" xr:uid="{00000000-0005-0000-0000-0000A86C0000}"/>
    <cellStyle name="Euro 8 5 2" xfId="11284" xr:uid="{00000000-0005-0000-0000-0000A96C0000}"/>
    <cellStyle name="Euro 8 6" xfId="353" xr:uid="{00000000-0005-0000-0000-0000AA6C0000}"/>
    <cellStyle name="Euro 8 6 2" xfId="21297" xr:uid="{00000000-0005-0000-0000-0000AB6C0000}"/>
    <cellStyle name="Euro 9" xfId="354" xr:uid="{00000000-0005-0000-0000-0000AC6C0000}"/>
    <cellStyle name="Euro 9 2" xfId="355" xr:uid="{00000000-0005-0000-0000-0000AD6C0000}"/>
    <cellStyle name="Euro 9 2 2" xfId="3537" xr:uid="{00000000-0005-0000-0000-0000AE6C0000}"/>
    <cellStyle name="Euro 9 3" xfId="356" xr:uid="{00000000-0005-0000-0000-0000AF6C0000}"/>
    <cellStyle name="Euro 9 3 2" xfId="357" xr:uid="{00000000-0005-0000-0000-0000B06C0000}"/>
    <cellStyle name="Euro 9 3 3" xfId="19163" xr:uid="{00000000-0005-0000-0000-0000B16C0000}"/>
    <cellStyle name="Euro 9 3 3 2" xfId="20423" xr:uid="{00000000-0005-0000-0000-0000B26C0000}"/>
    <cellStyle name="Euro 9 3 4" xfId="20422" xr:uid="{00000000-0005-0000-0000-0000B36C0000}"/>
    <cellStyle name="Euro 9 3 5" xfId="19162" xr:uid="{00000000-0005-0000-0000-0000B46C0000}"/>
    <cellStyle name="Euro 9 4" xfId="358" xr:uid="{00000000-0005-0000-0000-0000B56C0000}"/>
    <cellStyle name="Euro 9 4 2" xfId="19165" xr:uid="{00000000-0005-0000-0000-0000B66C0000}"/>
    <cellStyle name="Euro 9 4 2 2" xfId="20425" xr:uid="{00000000-0005-0000-0000-0000B76C0000}"/>
    <cellStyle name="Euro 9 4 3" xfId="20424" xr:uid="{00000000-0005-0000-0000-0000B86C0000}"/>
    <cellStyle name="Euro 9 4 4" xfId="19164" xr:uid="{00000000-0005-0000-0000-0000B96C0000}"/>
    <cellStyle name="Euro 9 4 5" xfId="11285" xr:uid="{00000000-0005-0000-0000-0000BA6C0000}"/>
    <cellStyle name="Euro 9 5" xfId="359" xr:uid="{00000000-0005-0000-0000-0000BB6C0000}"/>
    <cellStyle name="Euro 9 5 2" xfId="11286" xr:uid="{00000000-0005-0000-0000-0000BC6C0000}"/>
    <cellStyle name="Euro 9 6" xfId="360" xr:uid="{00000000-0005-0000-0000-0000BD6C0000}"/>
    <cellStyle name="Euro 9 6 2" xfId="21298" xr:uid="{00000000-0005-0000-0000-0000BE6C0000}"/>
    <cellStyle name="Explanatory Text" xfId="3115" builtinId="53" customBuiltin="1"/>
    <cellStyle name="Explanatory Text 2" xfId="2033" xr:uid="{00000000-0005-0000-0000-0000C06C0000}"/>
    <cellStyle name="Fixed" xfId="7309" xr:uid="{00000000-0005-0000-0000-0000C16C0000}"/>
    <cellStyle name="Fixed 2" xfId="9710" xr:uid="{00000000-0005-0000-0000-0000C26C0000}"/>
    <cellStyle name="Fixed2 - Type2" xfId="361" xr:uid="{00000000-0005-0000-0000-0000C36C0000}"/>
    <cellStyle name="Format 1" xfId="3481" xr:uid="{00000000-0005-0000-0000-0000C46C0000}"/>
    <cellStyle name="God 2" xfId="3482" xr:uid="{00000000-0005-0000-0000-0000C56C0000}"/>
    <cellStyle name="God 2 2" xfId="7311" xr:uid="{00000000-0005-0000-0000-0000C66C0000}"/>
    <cellStyle name="God 3" xfId="7312" xr:uid="{00000000-0005-0000-0000-0000C76C0000}"/>
    <cellStyle name="God 4" xfId="7313" xr:uid="{00000000-0005-0000-0000-0000C86C0000}"/>
    <cellStyle name="God 5" xfId="7314" xr:uid="{00000000-0005-0000-0000-0000C96C0000}"/>
    <cellStyle name="God 5 2" xfId="10982" xr:uid="{00000000-0005-0000-0000-0000CA6C0000}"/>
    <cellStyle name="God 6" xfId="7603" xr:uid="{00000000-0005-0000-0000-0000CB6C0000}"/>
    <cellStyle name="God 7" xfId="7310" xr:uid="{00000000-0005-0000-0000-0000CC6C0000}"/>
    <cellStyle name="Good" xfId="3108" builtinId="26" customBuiltin="1"/>
    <cellStyle name="Good 2" xfId="2034" xr:uid="{00000000-0005-0000-0000-0000CE6C0000}"/>
    <cellStyle name="Heading 1" xfId="3104" builtinId="16" customBuiltin="1"/>
    <cellStyle name="Heading 1 2" xfId="362" xr:uid="{00000000-0005-0000-0000-0000D06C0000}"/>
    <cellStyle name="Heading 1 2 2" xfId="10430" xr:uid="{00000000-0005-0000-0000-0000D16C0000}"/>
    <cellStyle name="Heading 1 2 3" xfId="7316" xr:uid="{00000000-0005-0000-0000-0000D26C0000}"/>
    <cellStyle name="Heading 1 3" xfId="9711" xr:uid="{00000000-0005-0000-0000-0000D36C0000}"/>
    <cellStyle name="Heading 1 4" xfId="7315" xr:uid="{00000000-0005-0000-0000-0000D46C0000}"/>
    <cellStyle name="Heading 2" xfId="3105" builtinId="17" customBuiltin="1"/>
    <cellStyle name="Heading 2 2" xfId="2035" xr:uid="{00000000-0005-0000-0000-0000D66C0000}"/>
    <cellStyle name="Heading 2 2 2" xfId="10431" xr:uid="{00000000-0005-0000-0000-0000D76C0000}"/>
    <cellStyle name="Heading 2 2 3" xfId="7318" xr:uid="{00000000-0005-0000-0000-0000D86C0000}"/>
    <cellStyle name="Heading 2 3" xfId="9712" xr:uid="{00000000-0005-0000-0000-0000D96C0000}"/>
    <cellStyle name="Heading 2 4" xfId="7317" xr:uid="{00000000-0005-0000-0000-0000DA6C0000}"/>
    <cellStyle name="Heading 3" xfId="3106" builtinId="18" customBuiltin="1"/>
    <cellStyle name="Heading 3 2" xfId="2036" xr:uid="{00000000-0005-0000-0000-0000DC6C0000}"/>
    <cellStyle name="Heading 4" xfId="3107" builtinId="19" customBuiltin="1"/>
    <cellStyle name="Heading 4 2" xfId="2037" xr:uid="{00000000-0005-0000-0000-0000DE6C0000}"/>
    <cellStyle name="Headline" xfId="363" xr:uid="{00000000-0005-0000-0000-0000DF6C0000}"/>
    <cellStyle name="Hyperlink" xfId="40427" builtinId="8"/>
    <cellStyle name="Hyperlink 2" xfId="364" xr:uid="{00000000-0005-0000-0000-0000E06C0000}"/>
    <cellStyle name="Hyperlink 2 2" xfId="2038" xr:uid="{00000000-0005-0000-0000-0000E16C0000}"/>
    <cellStyle name="Hyperlink 3" xfId="365" xr:uid="{00000000-0005-0000-0000-0000E26C0000}"/>
    <cellStyle name="Hyperlink 4" xfId="39451" xr:uid="{00000000-0005-0000-0000-0000E36C0000}"/>
    <cellStyle name="Input 2" xfId="366" xr:uid="{00000000-0005-0000-0000-0000E46C0000}"/>
    <cellStyle name="Input 2 2" xfId="2039" xr:uid="{00000000-0005-0000-0000-0000E56C0000}"/>
    <cellStyle name="Input 2 2 2" xfId="7320" xr:uid="{00000000-0005-0000-0000-0000E66C0000}"/>
    <cellStyle name="Input 2 2 3" xfId="22112" xr:uid="{00000000-0005-0000-0000-0000E76C0000}"/>
    <cellStyle name="Input 2 3" xfId="11967" xr:uid="{00000000-0005-0000-0000-0000E86C0000}"/>
    <cellStyle name="Input 3" xfId="3461" xr:uid="{00000000-0005-0000-0000-0000E96C0000}"/>
    <cellStyle name="Input 3 2" xfId="7321" xr:uid="{00000000-0005-0000-0000-0000EA6C0000}"/>
    <cellStyle name="Input 4" xfId="7322" xr:uid="{00000000-0005-0000-0000-0000EB6C0000}"/>
    <cellStyle name="Input 5" xfId="7323" xr:uid="{00000000-0005-0000-0000-0000EC6C0000}"/>
    <cellStyle name="Input 5 2" xfId="10932" xr:uid="{00000000-0005-0000-0000-0000ED6C0000}"/>
    <cellStyle name="Input 6" xfId="7606" xr:uid="{00000000-0005-0000-0000-0000EE6C0000}"/>
    <cellStyle name="Input 7" xfId="7319" xr:uid="{00000000-0005-0000-0000-0000EF6C0000}"/>
    <cellStyle name="Input 8" xfId="11966" xr:uid="{00000000-0005-0000-0000-0000F06C0000}"/>
    <cellStyle name="InputCell" xfId="3455" xr:uid="{00000000-0005-0000-0000-0000F16C0000}"/>
    <cellStyle name="InputCells" xfId="367" xr:uid="{00000000-0005-0000-0000-0000F26C0000}"/>
    <cellStyle name="Komma 10" xfId="2040" xr:uid="{00000000-0005-0000-0000-0000F36C0000}"/>
    <cellStyle name="Komma 10 2" xfId="2041" xr:uid="{00000000-0005-0000-0000-0000F46C0000}"/>
    <cellStyle name="Komma 10 2 2" xfId="18920" xr:uid="{00000000-0005-0000-0000-0000F56C0000}"/>
    <cellStyle name="Komma 10 2 2 2" xfId="37080" xr:uid="{00000000-0005-0000-0000-0000F66C0000}"/>
    <cellStyle name="Komma 10 2 3" xfId="22114" xr:uid="{00000000-0005-0000-0000-0000F76C0000}"/>
    <cellStyle name="Komma 10 3" xfId="11072" xr:uid="{00000000-0005-0000-0000-0000F86C0000}"/>
    <cellStyle name="Komma 10 3 2" xfId="30079" xr:uid="{00000000-0005-0000-0000-0000F96C0000}"/>
    <cellStyle name="Komma 10 4" xfId="22113" xr:uid="{00000000-0005-0000-0000-0000FA6C0000}"/>
    <cellStyle name="Komma 2" xfId="2042" xr:uid="{00000000-0005-0000-0000-0000FB6C0000}"/>
    <cellStyle name="Komma 2 2" xfId="2043" xr:uid="{00000000-0005-0000-0000-0000FC6C0000}"/>
    <cellStyle name="Komma 2 2 2" xfId="11083" xr:uid="{00000000-0005-0000-0000-0000FD6C0000}"/>
    <cellStyle name="Komma 2 2 2 2" xfId="18922" xr:uid="{00000000-0005-0000-0000-0000FE6C0000}"/>
    <cellStyle name="Komma 2 2 2 2 2" xfId="37081" xr:uid="{00000000-0005-0000-0000-0000FF6C0000}"/>
    <cellStyle name="Komma 2 2 2 3" xfId="21191" xr:uid="{00000000-0005-0000-0000-0000006D0000}"/>
    <cellStyle name="Komma 2 2 2 4" xfId="30080" xr:uid="{00000000-0005-0000-0000-0000016D0000}"/>
    <cellStyle name="Komma 2 2 3" xfId="7326" xr:uid="{00000000-0005-0000-0000-0000026D0000}"/>
    <cellStyle name="Komma 2 2 3 2" xfId="15486" xr:uid="{00000000-0005-0000-0000-0000036D0000}"/>
    <cellStyle name="Komma 2 2 3 2 2" xfId="33652" xr:uid="{00000000-0005-0000-0000-0000046D0000}"/>
    <cellStyle name="Komma 2 2 3 3" xfId="26650" xr:uid="{00000000-0005-0000-0000-0000056D0000}"/>
    <cellStyle name="Komma 2 2 4" xfId="19166" xr:uid="{00000000-0005-0000-0000-0000066D0000}"/>
    <cellStyle name="Komma 2 2 5" xfId="3480" xr:uid="{00000000-0005-0000-0000-0000076D0000}"/>
    <cellStyle name="Komma 2 2 6" xfId="22116" xr:uid="{00000000-0005-0000-0000-0000086D0000}"/>
    <cellStyle name="Komma 2 3" xfId="2044" xr:uid="{00000000-0005-0000-0000-0000096D0000}"/>
    <cellStyle name="Komma 2 3 2" xfId="11084" xr:uid="{00000000-0005-0000-0000-00000A6D0000}"/>
    <cellStyle name="Komma 2 3 2 2" xfId="18923" xr:uid="{00000000-0005-0000-0000-00000B6D0000}"/>
    <cellStyle name="Komma 2 3 2 2 2" xfId="37082" xr:uid="{00000000-0005-0000-0000-00000C6D0000}"/>
    <cellStyle name="Komma 2 3 2 3" xfId="30081" xr:uid="{00000000-0005-0000-0000-00000D6D0000}"/>
    <cellStyle name="Komma 2 3 3" xfId="15487" xr:uid="{00000000-0005-0000-0000-00000E6D0000}"/>
    <cellStyle name="Komma 2 3 3 2" xfId="33653" xr:uid="{00000000-0005-0000-0000-00000F6D0000}"/>
    <cellStyle name="Komma 2 3 4" xfId="21222" xr:uid="{00000000-0005-0000-0000-0000106D0000}"/>
    <cellStyle name="Komma 2 3 4 2" xfId="38073" xr:uid="{00000000-0005-0000-0000-0000116D0000}"/>
    <cellStyle name="Komma 2 3 5" xfId="7327" xr:uid="{00000000-0005-0000-0000-0000126D0000}"/>
    <cellStyle name="Komma 2 3 5 2" xfId="26651" xr:uid="{00000000-0005-0000-0000-0000136D0000}"/>
    <cellStyle name="Komma 2 3 6" xfId="39028" xr:uid="{00000000-0005-0000-0000-0000146D0000}"/>
    <cellStyle name="Komma 2 4" xfId="2045" xr:uid="{00000000-0005-0000-0000-0000156D0000}"/>
    <cellStyle name="Komma 2 4 2" xfId="2046" xr:uid="{00000000-0005-0000-0000-0000166D0000}"/>
    <cellStyle name="Komma 2 4 2 2" xfId="21190" xr:uid="{00000000-0005-0000-0000-0000176D0000}"/>
    <cellStyle name="Komma 2 4 2 3" xfId="22118" xr:uid="{00000000-0005-0000-0000-0000186D0000}"/>
    <cellStyle name="Komma 2 4 3" xfId="7328" xr:uid="{00000000-0005-0000-0000-0000196D0000}"/>
    <cellStyle name="Komma 2 4 4" xfId="22117" xr:uid="{00000000-0005-0000-0000-00001A6D0000}"/>
    <cellStyle name="Komma 2 5" xfId="7329" xr:uid="{00000000-0005-0000-0000-00001B6D0000}"/>
    <cellStyle name="Komma 2 5 2" xfId="7330" xr:uid="{00000000-0005-0000-0000-00001C6D0000}"/>
    <cellStyle name="Komma 2 5 2 2" xfId="7331" xr:uid="{00000000-0005-0000-0000-00001D6D0000}"/>
    <cellStyle name="Komma 2 5 2 2 2" xfId="10426" xr:uid="{00000000-0005-0000-0000-00001E6D0000}"/>
    <cellStyle name="Komma 2 5 2 2 2 2" xfId="18327" xr:uid="{00000000-0005-0000-0000-00001F6D0000}"/>
    <cellStyle name="Komma 2 5 2 2 2 2 2" xfId="36487" xr:uid="{00000000-0005-0000-0000-0000206D0000}"/>
    <cellStyle name="Komma 2 5 2 2 2 3" xfId="29486" xr:uid="{00000000-0005-0000-0000-0000216D0000}"/>
    <cellStyle name="Komma 2 5 3" xfId="7332" xr:uid="{00000000-0005-0000-0000-0000226D0000}"/>
    <cellStyle name="Komma 2 5 3 2" xfId="7333" xr:uid="{00000000-0005-0000-0000-0000236D0000}"/>
    <cellStyle name="Komma 2 5 3 2 2" xfId="11037" xr:uid="{00000000-0005-0000-0000-0000246D0000}"/>
    <cellStyle name="Komma 2 5 3 2 2 2" xfId="18913" xr:uid="{00000000-0005-0000-0000-0000256D0000}"/>
    <cellStyle name="Komma 2 5 3 2 2 2 2" xfId="37073" xr:uid="{00000000-0005-0000-0000-0000266D0000}"/>
    <cellStyle name="Komma 2 5 3 2 2 3" xfId="30072" xr:uid="{00000000-0005-0000-0000-0000276D0000}"/>
    <cellStyle name="Komma 2 5 3 3" xfId="8918" xr:uid="{00000000-0005-0000-0000-0000286D0000}"/>
    <cellStyle name="Komma 2 5 3 3 2" xfId="16832" xr:uid="{00000000-0005-0000-0000-0000296D0000}"/>
    <cellStyle name="Komma 2 5 3 3 2 2" xfId="34992" xr:uid="{00000000-0005-0000-0000-00002A6D0000}"/>
    <cellStyle name="Komma 2 5 3 3 3" xfId="27991" xr:uid="{00000000-0005-0000-0000-00002B6D0000}"/>
    <cellStyle name="Komma 2 5 4" xfId="7334" xr:uid="{00000000-0005-0000-0000-00002C6D0000}"/>
    <cellStyle name="Komma 2 5 4 2" xfId="9703" xr:uid="{00000000-0005-0000-0000-00002D6D0000}"/>
    <cellStyle name="Komma 2 5 4 2 2" xfId="17613" xr:uid="{00000000-0005-0000-0000-00002E6D0000}"/>
    <cellStyle name="Komma 2 5 4 2 2 2" xfId="35773" xr:uid="{00000000-0005-0000-0000-00002F6D0000}"/>
    <cellStyle name="Komma 2 5 4 2 3" xfId="28772" xr:uid="{00000000-0005-0000-0000-0000306D0000}"/>
    <cellStyle name="Komma 2 6" xfId="7335" xr:uid="{00000000-0005-0000-0000-0000316D0000}"/>
    <cellStyle name="Komma 2 7" xfId="11082" xr:uid="{00000000-0005-0000-0000-0000326D0000}"/>
    <cellStyle name="Komma 2 8" xfId="7325" xr:uid="{00000000-0005-0000-0000-0000336D0000}"/>
    <cellStyle name="Komma 2 9" xfId="22115" xr:uid="{00000000-0005-0000-0000-0000346D0000}"/>
    <cellStyle name="Komma 3" xfId="2047" xr:uid="{00000000-0005-0000-0000-0000356D0000}"/>
    <cellStyle name="Komma 3 10" xfId="22119" xr:uid="{00000000-0005-0000-0000-0000366D0000}"/>
    <cellStyle name="Komma 3 11" xfId="38087" xr:uid="{00000000-0005-0000-0000-0000376D0000}"/>
    <cellStyle name="Komma 3 2" xfId="2048" xr:uid="{00000000-0005-0000-0000-0000386D0000}"/>
    <cellStyle name="Komma 3 2 2" xfId="2049" xr:uid="{00000000-0005-0000-0000-0000396D0000}"/>
    <cellStyle name="Komma 3 2 2 2" xfId="2050" xr:uid="{00000000-0005-0000-0000-00003A6D0000}"/>
    <cellStyle name="Komma 3 2 2 2 2" xfId="2051" xr:uid="{00000000-0005-0000-0000-00003B6D0000}"/>
    <cellStyle name="Komma 3 2 2 2 2 2" xfId="22123" xr:uid="{00000000-0005-0000-0000-00003C6D0000}"/>
    <cellStyle name="Komma 3 2 2 2 3" xfId="22122" xr:uid="{00000000-0005-0000-0000-00003D6D0000}"/>
    <cellStyle name="Komma 3 2 2 3" xfId="2052" xr:uid="{00000000-0005-0000-0000-00003E6D0000}"/>
    <cellStyle name="Komma 3 2 2 3 2" xfId="22124" xr:uid="{00000000-0005-0000-0000-00003F6D0000}"/>
    <cellStyle name="Komma 3 2 2 4" xfId="7337" xr:uid="{00000000-0005-0000-0000-0000406D0000}"/>
    <cellStyle name="Komma 3 2 2 5" xfId="22121" xr:uid="{00000000-0005-0000-0000-0000416D0000}"/>
    <cellStyle name="Komma 3 2 3" xfId="2053" xr:uid="{00000000-0005-0000-0000-0000426D0000}"/>
    <cellStyle name="Komma 3 2 3 2" xfId="2054" xr:uid="{00000000-0005-0000-0000-0000436D0000}"/>
    <cellStyle name="Komma 3 2 3 2 2" xfId="2055" xr:uid="{00000000-0005-0000-0000-0000446D0000}"/>
    <cellStyle name="Komma 3 2 3 2 2 2" xfId="22127" xr:uid="{00000000-0005-0000-0000-0000456D0000}"/>
    <cellStyle name="Komma 3 2 3 2 3" xfId="22126" xr:uid="{00000000-0005-0000-0000-0000466D0000}"/>
    <cellStyle name="Komma 3 2 3 3" xfId="2056" xr:uid="{00000000-0005-0000-0000-0000476D0000}"/>
    <cellStyle name="Komma 3 2 3 3 2" xfId="22128" xr:uid="{00000000-0005-0000-0000-0000486D0000}"/>
    <cellStyle name="Komma 3 2 3 4" xfId="19168" xr:uid="{00000000-0005-0000-0000-0000496D0000}"/>
    <cellStyle name="Komma 3 2 3 4 2" xfId="37133" xr:uid="{00000000-0005-0000-0000-00004A6D0000}"/>
    <cellStyle name="Komma 3 2 3 5" xfId="22125" xr:uid="{00000000-0005-0000-0000-00004B6D0000}"/>
    <cellStyle name="Komma 3 2 4" xfId="2057" xr:uid="{00000000-0005-0000-0000-00004C6D0000}"/>
    <cellStyle name="Komma 3 2 4 2" xfId="2058" xr:uid="{00000000-0005-0000-0000-00004D6D0000}"/>
    <cellStyle name="Komma 3 2 4 2 2" xfId="22130" xr:uid="{00000000-0005-0000-0000-00004E6D0000}"/>
    <cellStyle name="Komma 3 2 4 3" xfId="22129" xr:uid="{00000000-0005-0000-0000-00004F6D0000}"/>
    <cellStyle name="Komma 3 2 5" xfId="2059" xr:uid="{00000000-0005-0000-0000-0000506D0000}"/>
    <cellStyle name="Komma 3 2 5 2" xfId="22131" xr:uid="{00000000-0005-0000-0000-0000516D0000}"/>
    <cellStyle name="Komma 3 2 6" xfId="3485" xr:uid="{00000000-0005-0000-0000-0000526D0000}"/>
    <cellStyle name="Komma 3 2 7" xfId="22120" xr:uid="{00000000-0005-0000-0000-0000536D0000}"/>
    <cellStyle name="Komma 3 2 8" xfId="38088" xr:uid="{00000000-0005-0000-0000-0000546D0000}"/>
    <cellStyle name="Komma 3 3" xfId="2060" xr:uid="{00000000-0005-0000-0000-0000556D0000}"/>
    <cellStyle name="Komma 3 3 2" xfId="2061" xr:uid="{00000000-0005-0000-0000-0000566D0000}"/>
    <cellStyle name="Komma 3 3 2 2" xfId="2062" xr:uid="{00000000-0005-0000-0000-0000576D0000}"/>
    <cellStyle name="Komma 3 3 2 2 2" xfId="22134" xr:uid="{00000000-0005-0000-0000-0000586D0000}"/>
    <cellStyle name="Komma 3 3 2 3" xfId="22133" xr:uid="{00000000-0005-0000-0000-0000596D0000}"/>
    <cellStyle name="Komma 3 3 3" xfId="2063" xr:uid="{00000000-0005-0000-0000-00005A6D0000}"/>
    <cellStyle name="Komma 3 3 3 2" xfId="22135" xr:uid="{00000000-0005-0000-0000-00005B6D0000}"/>
    <cellStyle name="Komma 3 3 4" xfId="7338" xr:uid="{00000000-0005-0000-0000-00005C6D0000}"/>
    <cellStyle name="Komma 3 3 5" xfId="22132" xr:uid="{00000000-0005-0000-0000-00005D6D0000}"/>
    <cellStyle name="Komma 3 4" xfId="2064" xr:uid="{00000000-0005-0000-0000-00005E6D0000}"/>
    <cellStyle name="Komma 3 4 2" xfId="2065" xr:uid="{00000000-0005-0000-0000-00005F6D0000}"/>
    <cellStyle name="Komma 3 4 2 2" xfId="2066" xr:uid="{00000000-0005-0000-0000-0000606D0000}"/>
    <cellStyle name="Komma 3 4 2 2 2" xfId="22138" xr:uid="{00000000-0005-0000-0000-0000616D0000}"/>
    <cellStyle name="Komma 3 4 2 3" xfId="18924" xr:uid="{00000000-0005-0000-0000-0000626D0000}"/>
    <cellStyle name="Komma 3 4 2 3 2" xfId="37083" xr:uid="{00000000-0005-0000-0000-0000636D0000}"/>
    <cellStyle name="Komma 3 4 2 4" xfId="22137" xr:uid="{00000000-0005-0000-0000-0000646D0000}"/>
    <cellStyle name="Komma 3 4 3" xfId="2067" xr:uid="{00000000-0005-0000-0000-0000656D0000}"/>
    <cellStyle name="Komma 3 4 3 2" xfId="22139" xr:uid="{00000000-0005-0000-0000-0000666D0000}"/>
    <cellStyle name="Komma 3 4 4" xfId="11085" xr:uid="{00000000-0005-0000-0000-0000676D0000}"/>
    <cellStyle name="Komma 3 4 4 2" xfId="30082" xr:uid="{00000000-0005-0000-0000-0000686D0000}"/>
    <cellStyle name="Komma 3 4 5" xfId="22136" xr:uid="{00000000-0005-0000-0000-0000696D0000}"/>
    <cellStyle name="Komma 3 5" xfId="2068" xr:uid="{00000000-0005-0000-0000-00006A6D0000}"/>
    <cellStyle name="Komma 3 5 2" xfId="2069" xr:uid="{00000000-0005-0000-0000-00006B6D0000}"/>
    <cellStyle name="Komma 3 5 2 2" xfId="15488" xr:uid="{00000000-0005-0000-0000-00006C6D0000}"/>
    <cellStyle name="Komma 3 5 2 2 2" xfId="33654" xr:uid="{00000000-0005-0000-0000-00006D6D0000}"/>
    <cellStyle name="Komma 3 5 2 3" xfId="22141" xr:uid="{00000000-0005-0000-0000-00006E6D0000}"/>
    <cellStyle name="Komma 3 5 3" xfId="7336" xr:uid="{00000000-0005-0000-0000-00006F6D0000}"/>
    <cellStyle name="Komma 3 5 3 2" xfId="26652" xr:uid="{00000000-0005-0000-0000-0000706D0000}"/>
    <cellStyle name="Komma 3 5 4" xfId="22140" xr:uid="{00000000-0005-0000-0000-0000716D0000}"/>
    <cellStyle name="Komma 3 6" xfId="2070" xr:uid="{00000000-0005-0000-0000-0000726D0000}"/>
    <cellStyle name="Komma 3 7" xfId="2071" xr:uid="{00000000-0005-0000-0000-0000736D0000}"/>
    <cellStyle name="Komma 3 7 2" xfId="2072" xr:uid="{00000000-0005-0000-0000-0000746D0000}"/>
    <cellStyle name="Komma 3 7 2 2" xfId="22143" xr:uid="{00000000-0005-0000-0000-0000756D0000}"/>
    <cellStyle name="Komma 3 7 3" xfId="19167" xr:uid="{00000000-0005-0000-0000-0000766D0000}"/>
    <cellStyle name="Komma 3 7 3 2" xfId="37132" xr:uid="{00000000-0005-0000-0000-0000776D0000}"/>
    <cellStyle name="Komma 3 7 4" xfId="22142" xr:uid="{00000000-0005-0000-0000-0000786D0000}"/>
    <cellStyle name="Komma 3 8" xfId="2073" xr:uid="{00000000-0005-0000-0000-0000796D0000}"/>
    <cellStyle name="Komma 3 9" xfId="2074" xr:uid="{00000000-0005-0000-0000-00007A6D0000}"/>
    <cellStyle name="Komma 3 9 2" xfId="22144" xr:uid="{00000000-0005-0000-0000-00007B6D0000}"/>
    <cellStyle name="Komma 4" xfId="2075" xr:uid="{00000000-0005-0000-0000-00007C6D0000}"/>
    <cellStyle name="Komma 4 10" xfId="38089" xr:uid="{00000000-0005-0000-0000-00007D6D0000}"/>
    <cellStyle name="Komma 4 11" xfId="39379" xr:uid="{00000000-0005-0000-0000-00007E6D0000}"/>
    <cellStyle name="Komma 4 2" xfId="2076" xr:uid="{00000000-0005-0000-0000-00007F6D0000}"/>
    <cellStyle name="Komma 4 2 2" xfId="2077" xr:uid="{00000000-0005-0000-0000-0000806D0000}"/>
    <cellStyle name="Komma 4 2 2 2" xfId="2078" xr:uid="{00000000-0005-0000-0000-0000816D0000}"/>
    <cellStyle name="Komma 4 2 2 2 2" xfId="21210" xr:uid="{00000000-0005-0000-0000-0000826D0000}"/>
    <cellStyle name="Komma 4 2 2 2 2 2" xfId="38062" xr:uid="{00000000-0005-0000-0000-0000836D0000}"/>
    <cellStyle name="Komma 4 2 2 2 3" xfId="22148" xr:uid="{00000000-0005-0000-0000-0000846D0000}"/>
    <cellStyle name="Komma 4 2 2 3" xfId="11087" xr:uid="{00000000-0005-0000-0000-0000856D0000}"/>
    <cellStyle name="Komma 4 2 2 4" xfId="22147" xr:uid="{00000000-0005-0000-0000-0000866D0000}"/>
    <cellStyle name="Komma 4 2 2 5" xfId="39017" xr:uid="{00000000-0005-0000-0000-0000876D0000}"/>
    <cellStyle name="Komma 4 2 3" xfId="2079" xr:uid="{00000000-0005-0000-0000-0000886D0000}"/>
    <cellStyle name="Komma 4 2 3 2" xfId="2080" xr:uid="{00000000-0005-0000-0000-0000896D0000}"/>
    <cellStyle name="Komma 4 2 3 2 2" xfId="22150" xr:uid="{00000000-0005-0000-0000-00008A6D0000}"/>
    <cellStyle name="Komma 4 2 3 3" xfId="20426" xr:uid="{00000000-0005-0000-0000-00008B6D0000}"/>
    <cellStyle name="Komma 4 2 3 3 2" xfId="37743" xr:uid="{00000000-0005-0000-0000-00008C6D0000}"/>
    <cellStyle name="Komma 4 2 3 4" xfId="22149" xr:uid="{00000000-0005-0000-0000-00008D6D0000}"/>
    <cellStyle name="Komma 4 2 4" xfId="2081" xr:uid="{00000000-0005-0000-0000-00008E6D0000}"/>
    <cellStyle name="Komma 4 2 4 2" xfId="2082" xr:uid="{00000000-0005-0000-0000-00008F6D0000}"/>
    <cellStyle name="Komma 4 2 4 2 2" xfId="22152" xr:uid="{00000000-0005-0000-0000-0000906D0000}"/>
    <cellStyle name="Komma 4 2 4 3" xfId="22151" xr:uid="{00000000-0005-0000-0000-0000916D0000}"/>
    <cellStyle name="Komma 4 2 5" xfId="2083" xr:uid="{00000000-0005-0000-0000-0000926D0000}"/>
    <cellStyle name="Komma 4 2 5 2" xfId="22153" xr:uid="{00000000-0005-0000-0000-0000936D0000}"/>
    <cellStyle name="Komma 4 2 6" xfId="7340" xr:uid="{00000000-0005-0000-0000-0000946D0000}"/>
    <cellStyle name="Komma 4 2 7" xfId="22146" xr:uid="{00000000-0005-0000-0000-0000956D0000}"/>
    <cellStyle name="Komma 4 2 8" xfId="38698" xr:uid="{00000000-0005-0000-0000-0000966D0000}"/>
    <cellStyle name="Komma 4 3" xfId="2084" xr:uid="{00000000-0005-0000-0000-0000976D0000}"/>
    <cellStyle name="Komma 4 3 2" xfId="2085" xr:uid="{00000000-0005-0000-0000-0000986D0000}"/>
    <cellStyle name="Komma 4 3 2 2" xfId="2086" xr:uid="{00000000-0005-0000-0000-0000996D0000}"/>
    <cellStyle name="Komma 4 3 2 2 2" xfId="22156" xr:uid="{00000000-0005-0000-0000-00009A6D0000}"/>
    <cellStyle name="Komma 4 3 2 3" xfId="21192" xr:uid="{00000000-0005-0000-0000-00009B6D0000}"/>
    <cellStyle name="Komma 4 3 2 3 2" xfId="38052" xr:uid="{00000000-0005-0000-0000-00009C6D0000}"/>
    <cellStyle name="Komma 4 3 2 4" xfId="22155" xr:uid="{00000000-0005-0000-0000-00009D6D0000}"/>
    <cellStyle name="Komma 4 3 3" xfId="2087" xr:uid="{00000000-0005-0000-0000-00009E6D0000}"/>
    <cellStyle name="Komma 4 3 3 2" xfId="2088" xr:uid="{00000000-0005-0000-0000-00009F6D0000}"/>
    <cellStyle name="Komma 4 3 3 2 2" xfId="22158" xr:uid="{00000000-0005-0000-0000-0000A06D0000}"/>
    <cellStyle name="Komma 4 3 3 3" xfId="22157" xr:uid="{00000000-0005-0000-0000-0000A16D0000}"/>
    <cellStyle name="Komma 4 3 4" xfId="2089" xr:uid="{00000000-0005-0000-0000-0000A26D0000}"/>
    <cellStyle name="Komma 4 3 4 2" xfId="22159" xr:uid="{00000000-0005-0000-0000-0000A36D0000}"/>
    <cellStyle name="Komma 4 3 5" xfId="11086" xr:uid="{00000000-0005-0000-0000-0000A46D0000}"/>
    <cellStyle name="Komma 4 3 6" xfId="22154" xr:uid="{00000000-0005-0000-0000-0000A56D0000}"/>
    <cellStyle name="Komma 4 3 7" xfId="39007" xr:uid="{00000000-0005-0000-0000-0000A66D0000}"/>
    <cellStyle name="Komma 4 4" xfId="2090" xr:uid="{00000000-0005-0000-0000-0000A76D0000}"/>
    <cellStyle name="Komma 4 4 2" xfId="2091" xr:uid="{00000000-0005-0000-0000-0000A86D0000}"/>
    <cellStyle name="Komma 4 4 2 2" xfId="22161" xr:uid="{00000000-0005-0000-0000-0000A96D0000}"/>
    <cellStyle name="Komma 4 4 3" xfId="7339" xr:uid="{00000000-0005-0000-0000-0000AA6D0000}"/>
    <cellStyle name="Komma 4 4 4" xfId="22160" xr:uid="{00000000-0005-0000-0000-0000AB6D0000}"/>
    <cellStyle name="Komma 4 5" xfId="2092" xr:uid="{00000000-0005-0000-0000-0000AC6D0000}"/>
    <cellStyle name="Komma 4 5 2" xfId="2093" xr:uid="{00000000-0005-0000-0000-0000AD6D0000}"/>
    <cellStyle name="Komma 4 5 2 2" xfId="18955" xr:uid="{00000000-0005-0000-0000-0000AE6D0000}"/>
    <cellStyle name="Komma 4 5 2 2 2" xfId="37114" xr:uid="{00000000-0005-0000-0000-0000AF6D0000}"/>
    <cellStyle name="Komma 4 5 2 3" xfId="22163" xr:uid="{00000000-0005-0000-0000-0000B06D0000}"/>
    <cellStyle name="Komma 4 5 3" xfId="11181" xr:uid="{00000000-0005-0000-0000-0000B16D0000}"/>
    <cellStyle name="Komma 4 5 3 2" xfId="30113" xr:uid="{00000000-0005-0000-0000-0000B26D0000}"/>
    <cellStyle name="Komma 4 5 4" xfId="22162" xr:uid="{00000000-0005-0000-0000-0000B36D0000}"/>
    <cellStyle name="Komma 4 6" xfId="2094" xr:uid="{00000000-0005-0000-0000-0000B46D0000}"/>
    <cellStyle name="Komma 4 6 2" xfId="2095" xr:uid="{00000000-0005-0000-0000-0000B56D0000}"/>
    <cellStyle name="Komma 4 6 2 2" xfId="22165" xr:uid="{00000000-0005-0000-0000-0000B66D0000}"/>
    <cellStyle name="Komma 4 6 3" xfId="12295" xr:uid="{00000000-0005-0000-0000-0000B76D0000}"/>
    <cellStyle name="Komma 4 6 3 2" xfId="30465" xr:uid="{00000000-0005-0000-0000-0000B86D0000}"/>
    <cellStyle name="Komma 4 6 4" xfId="22164" xr:uid="{00000000-0005-0000-0000-0000B96D0000}"/>
    <cellStyle name="Komma 4 7" xfId="2096" xr:uid="{00000000-0005-0000-0000-0000BA6D0000}"/>
    <cellStyle name="Komma 4 7 2" xfId="19169" xr:uid="{00000000-0005-0000-0000-0000BB6D0000}"/>
    <cellStyle name="Komma 4 7 2 2" xfId="37134" xr:uid="{00000000-0005-0000-0000-0000BC6D0000}"/>
    <cellStyle name="Komma 4 7 3" xfId="22166" xr:uid="{00000000-0005-0000-0000-0000BD6D0000}"/>
    <cellStyle name="Komma 4 8" xfId="3486" xr:uid="{00000000-0005-0000-0000-0000BE6D0000}"/>
    <cellStyle name="Komma 4 8 2" xfId="23463" xr:uid="{00000000-0005-0000-0000-0000BF6D0000}"/>
    <cellStyle name="Komma 4 9" xfId="22145" xr:uid="{00000000-0005-0000-0000-0000C06D0000}"/>
    <cellStyle name="Komma 5" xfId="2097" xr:uid="{00000000-0005-0000-0000-0000C16D0000}"/>
    <cellStyle name="Komma 5 2" xfId="2098" xr:uid="{00000000-0005-0000-0000-0000C26D0000}"/>
    <cellStyle name="Komma 5 2 2" xfId="2099" xr:uid="{00000000-0005-0000-0000-0000C36D0000}"/>
    <cellStyle name="Komma 5 2 2 2" xfId="2100" xr:uid="{00000000-0005-0000-0000-0000C46D0000}"/>
    <cellStyle name="Komma 5 2 2 2 2" xfId="22170" xr:uid="{00000000-0005-0000-0000-0000C56D0000}"/>
    <cellStyle name="Komma 5 2 2 3" xfId="21211" xr:uid="{00000000-0005-0000-0000-0000C66D0000}"/>
    <cellStyle name="Komma 5 2 2 4" xfId="22169" xr:uid="{00000000-0005-0000-0000-0000C76D0000}"/>
    <cellStyle name="Komma 5 2 3" xfId="2101" xr:uid="{00000000-0005-0000-0000-0000C86D0000}"/>
    <cellStyle name="Komma 5 2 3 2" xfId="2102" xr:uid="{00000000-0005-0000-0000-0000C96D0000}"/>
    <cellStyle name="Komma 5 2 3 2 2" xfId="22172" xr:uid="{00000000-0005-0000-0000-0000CA6D0000}"/>
    <cellStyle name="Komma 5 2 3 3" xfId="22171" xr:uid="{00000000-0005-0000-0000-0000CB6D0000}"/>
    <cellStyle name="Komma 5 2 4" xfId="2103" xr:uid="{00000000-0005-0000-0000-0000CC6D0000}"/>
    <cellStyle name="Komma 5 2 4 2" xfId="22173" xr:uid="{00000000-0005-0000-0000-0000CD6D0000}"/>
    <cellStyle name="Komma 5 2 5" xfId="11088" xr:uid="{00000000-0005-0000-0000-0000CE6D0000}"/>
    <cellStyle name="Komma 5 2 6" xfId="22168" xr:uid="{00000000-0005-0000-0000-0000CF6D0000}"/>
    <cellStyle name="Komma 5 3" xfId="2104" xr:uid="{00000000-0005-0000-0000-0000D06D0000}"/>
    <cellStyle name="Komma 5 3 2" xfId="2105" xr:uid="{00000000-0005-0000-0000-0000D16D0000}"/>
    <cellStyle name="Komma 5 3 2 2" xfId="22175" xr:uid="{00000000-0005-0000-0000-0000D26D0000}"/>
    <cellStyle name="Komma 5 3 3" xfId="7341" xr:uid="{00000000-0005-0000-0000-0000D36D0000}"/>
    <cellStyle name="Komma 5 3 4" xfId="22174" xr:uid="{00000000-0005-0000-0000-0000D46D0000}"/>
    <cellStyle name="Komma 5 4" xfId="2106" xr:uid="{00000000-0005-0000-0000-0000D56D0000}"/>
    <cellStyle name="Komma 5 4 2" xfId="2107" xr:uid="{00000000-0005-0000-0000-0000D66D0000}"/>
    <cellStyle name="Komma 5 4 2 2" xfId="22177" xr:uid="{00000000-0005-0000-0000-0000D76D0000}"/>
    <cellStyle name="Komma 5 4 3" xfId="22176" xr:uid="{00000000-0005-0000-0000-0000D86D0000}"/>
    <cellStyle name="Komma 5 5" xfId="2108" xr:uid="{00000000-0005-0000-0000-0000D96D0000}"/>
    <cellStyle name="Komma 5 5 2" xfId="2109" xr:uid="{00000000-0005-0000-0000-0000DA6D0000}"/>
    <cellStyle name="Komma 5 5 2 2" xfId="22179" xr:uid="{00000000-0005-0000-0000-0000DB6D0000}"/>
    <cellStyle name="Komma 5 5 3" xfId="22178" xr:uid="{00000000-0005-0000-0000-0000DC6D0000}"/>
    <cellStyle name="Komma 5 6" xfId="2110" xr:uid="{00000000-0005-0000-0000-0000DD6D0000}"/>
    <cellStyle name="Komma 5 6 2" xfId="22180" xr:uid="{00000000-0005-0000-0000-0000DE6D0000}"/>
    <cellStyle name="Komma 5 7" xfId="3477" xr:uid="{00000000-0005-0000-0000-0000DF6D0000}"/>
    <cellStyle name="Komma 5 8" xfId="22167" xr:uid="{00000000-0005-0000-0000-0000E06D0000}"/>
    <cellStyle name="Komma 6" xfId="2111" xr:uid="{00000000-0005-0000-0000-0000E16D0000}"/>
    <cellStyle name="Komma 6 2" xfId="2112" xr:uid="{00000000-0005-0000-0000-0000E26D0000}"/>
    <cellStyle name="Komma 6 2 2" xfId="2113" xr:uid="{00000000-0005-0000-0000-0000E36D0000}"/>
    <cellStyle name="Komma 6 2 2 2" xfId="2114" xr:uid="{00000000-0005-0000-0000-0000E46D0000}"/>
    <cellStyle name="Komma 6 2 2 2 2" xfId="22184" xr:uid="{00000000-0005-0000-0000-0000E56D0000}"/>
    <cellStyle name="Komma 6 2 2 3" xfId="22183" xr:uid="{00000000-0005-0000-0000-0000E66D0000}"/>
    <cellStyle name="Komma 6 2 3" xfId="2115" xr:uid="{00000000-0005-0000-0000-0000E76D0000}"/>
    <cellStyle name="Komma 6 2 3 2" xfId="2116" xr:uid="{00000000-0005-0000-0000-0000E86D0000}"/>
    <cellStyle name="Komma 6 2 3 2 2" xfId="22186" xr:uid="{00000000-0005-0000-0000-0000E96D0000}"/>
    <cellStyle name="Komma 6 2 3 3" xfId="22185" xr:uid="{00000000-0005-0000-0000-0000EA6D0000}"/>
    <cellStyle name="Komma 6 2 4" xfId="2117" xr:uid="{00000000-0005-0000-0000-0000EB6D0000}"/>
    <cellStyle name="Komma 6 2 4 2" xfId="22187" xr:uid="{00000000-0005-0000-0000-0000EC6D0000}"/>
    <cellStyle name="Komma 6 2 5" xfId="22182" xr:uid="{00000000-0005-0000-0000-0000ED6D0000}"/>
    <cellStyle name="Komma 6 3" xfId="2118" xr:uid="{00000000-0005-0000-0000-0000EE6D0000}"/>
    <cellStyle name="Komma 6 3 2" xfId="2119" xr:uid="{00000000-0005-0000-0000-0000EF6D0000}"/>
    <cellStyle name="Komma 6 3 2 2" xfId="22189" xr:uid="{00000000-0005-0000-0000-0000F06D0000}"/>
    <cellStyle name="Komma 6 3 3" xfId="22188" xr:uid="{00000000-0005-0000-0000-0000F16D0000}"/>
    <cellStyle name="Komma 6 4" xfId="2120" xr:uid="{00000000-0005-0000-0000-0000F26D0000}"/>
    <cellStyle name="Komma 6 4 2" xfId="2121" xr:uid="{00000000-0005-0000-0000-0000F36D0000}"/>
    <cellStyle name="Komma 6 4 2 2" xfId="22191" xr:uid="{00000000-0005-0000-0000-0000F46D0000}"/>
    <cellStyle name="Komma 6 4 3" xfId="22190" xr:uid="{00000000-0005-0000-0000-0000F56D0000}"/>
    <cellStyle name="Komma 6 5" xfId="2122" xr:uid="{00000000-0005-0000-0000-0000F66D0000}"/>
    <cellStyle name="Komma 6 5 2" xfId="2123" xr:uid="{00000000-0005-0000-0000-0000F76D0000}"/>
    <cellStyle name="Komma 6 5 2 2" xfId="22193" xr:uid="{00000000-0005-0000-0000-0000F86D0000}"/>
    <cellStyle name="Komma 6 5 3" xfId="22192" xr:uid="{00000000-0005-0000-0000-0000F96D0000}"/>
    <cellStyle name="Komma 6 6" xfId="2124" xr:uid="{00000000-0005-0000-0000-0000FA6D0000}"/>
    <cellStyle name="Komma 6 6 2" xfId="22194" xr:uid="{00000000-0005-0000-0000-0000FB6D0000}"/>
    <cellStyle name="Komma 6 7" xfId="7342" xr:uid="{00000000-0005-0000-0000-0000FC6D0000}"/>
    <cellStyle name="Komma 6 8" xfId="22181" xr:uid="{00000000-0005-0000-0000-0000FD6D0000}"/>
    <cellStyle name="Komma 7" xfId="2125" xr:uid="{00000000-0005-0000-0000-0000FE6D0000}"/>
    <cellStyle name="Komma 7 2" xfId="2126" xr:uid="{00000000-0005-0000-0000-0000FF6D0000}"/>
    <cellStyle name="Komma 7 2 2" xfId="2127" xr:uid="{00000000-0005-0000-0000-0000006E0000}"/>
    <cellStyle name="Komma 7 2 2 2" xfId="2128" xr:uid="{00000000-0005-0000-0000-0000016E0000}"/>
    <cellStyle name="Komma 7 2 2 2 2" xfId="22198" xr:uid="{00000000-0005-0000-0000-0000026E0000}"/>
    <cellStyle name="Komma 7 2 2 3" xfId="22197" xr:uid="{00000000-0005-0000-0000-0000036E0000}"/>
    <cellStyle name="Komma 7 2 3" xfId="2129" xr:uid="{00000000-0005-0000-0000-0000046E0000}"/>
    <cellStyle name="Komma 7 2 3 2" xfId="2130" xr:uid="{00000000-0005-0000-0000-0000056E0000}"/>
    <cellStyle name="Komma 7 2 3 2 2" xfId="22200" xr:uid="{00000000-0005-0000-0000-0000066E0000}"/>
    <cellStyle name="Komma 7 2 3 3" xfId="22199" xr:uid="{00000000-0005-0000-0000-0000076E0000}"/>
    <cellStyle name="Komma 7 2 4" xfId="2131" xr:uid="{00000000-0005-0000-0000-0000086E0000}"/>
    <cellStyle name="Komma 7 2 4 2" xfId="22201" xr:uid="{00000000-0005-0000-0000-0000096E0000}"/>
    <cellStyle name="Komma 7 2 5" xfId="11089" xr:uid="{00000000-0005-0000-0000-00000A6E0000}"/>
    <cellStyle name="Komma 7 2 6" xfId="22196" xr:uid="{00000000-0005-0000-0000-00000B6E0000}"/>
    <cellStyle name="Komma 7 3" xfId="2132" xr:uid="{00000000-0005-0000-0000-00000C6E0000}"/>
    <cellStyle name="Komma 7 3 2" xfId="2133" xr:uid="{00000000-0005-0000-0000-00000D6E0000}"/>
    <cellStyle name="Komma 7 3 2 2" xfId="22203" xr:uid="{00000000-0005-0000-0000-00000E6E0000}"/>
    <cellStyle name="Komma 7 3 3" xfId="22202" xr:uid="{00000000-0005-0000-0000-00000F6E0000}"/>
    <cellStyle name="Komma 7 4" xfId="2134" xr:uid="{00000000-0005-0000-0000-0000106E0000}"/>
    <cellStyle name="Komma 7 4 2" xfId="2135" xr:uid="{00000000-0005-0000-0000-0000116E0000}"/>
    <cellStyle name="Komma 7 4 2 2" xfId="22205" xr:uid="{00000000-0005-0000-0000-0000126E0000}"/>
    <cellStyle name="Komma 7 4 3" xfId="22204" xr:uid="{00000000-0005-0000-0000-0000136E0000}"/>
    <cellStyle name="Komma 7 5" xfId="2136" xr:uid="{00000000-0005-0000-0000-0000146E0000}"/>
    <cellStyle name="Komma 7 5 2" xfId="22206" xr:uid="{00000000-0005-0000-0000-0000156E0000}"/>
    <cellStyle name="Komma 7 6" xfId="7343" xr:uid="{00000000-0005-0000-0000-0000166E0000}"/>
    <cellStyle name="Komma 7 7" xfId="22195" xr:uid="{00000000-0005-0000-0000-0000176E0000}"/>
    <cellStyle name="Komma 8" xfId="2137" xr:uid="{00000000-0005-0000-0000-0000186E0000}"/>
    <cellStyle name="Komma 8 2" xfId="2138" xr:uid="{00000000-0005-0000-0000-0000196E0000}"/>
    <cellStyle name="Komma 8 2 2" xfId="2139" xr:uid="{00000000-0005-0000-0000-00001A6E0000}"/>
    <cellStyle name="Komma 8 2 2 2" xfId="22209" xr:uid="{00000000-0005-0000-0000-00001B6E0000}"/>
    <cellStyle name="Komma 8 2 3" xfId="11081" xr:uid="{00000000-0005-0000-0000-00001C6E0000}"/>
    <cellStyle name="Komma 8 2 4" xfId="22208" xr:uid="{00000000-0005-0000-0000-00001D6E0000}"/>
    <cellStyle name="Komma 8 3" xfId="2140" xr:uid="{00000000-0005-0000-0000-00001E6E0000}"/>
    <cellStyle name="Komma 8 3 2" xfId="2141" xr:uid="{00000000-0005-0000-0000-00001F6E0000}"/>
    <cellStyle name="Komma 8 3 2 2" xfId="22211" xr:uid="{00000000-0005-0000-0000-0000206E0000}"/>
    <cellStyle name="Komma 8 3 3" xfId="22210" xr:uid="{00000000-0005-0000-0000-0000216E0000}"/>
    <cellStyle name="Komma 8 4" xfId="2142" xr:uid="{00000000-0005-0000-0000-0000226E0000}"/>
    <cellStyle name="Komma 8 4 2" xfId="22212" xr:uid="{00000000-0005-0000-0000-0000236E0000}"/>
    <cellStyle name="Komma 8 5" xfId="7324" xr:uid="{00000000-0005-0000-0000-0000246E0000}"/>
    <cellStyle name="Komma 8 6" xfId="22207" xr:uid="{00000000-0005-0000-0000-0000256E0000}"/>
    <cellStyle name="Komma 9" xfId="2143" xr:uid="{00000000-0005-0000-0000-0000266E0000}"/>
    <cellStyle name="Komma 9 2" xfId="2144" xr:uid="{00000000-0005-0000-0000-0000276E0000}"/>
    <cellStyle name="Komma 9 2 2" xfId="18925" xr:uid="{00000000-0005-0000-0000-0000286E0000}"/>
    <cellStyle name="Komma 9 2 2 2" xfId="37084" xr:uid="{00000000-0005-0000-0000-0000296E0000}"/>
    <cellStyle name="Komma 9 2 3" xfId="11148" xr:uid="{00000000-0005-0000-0000-00002A6E0000}"/>
    <cellStyle name="Komma 9 2 3 2" xfId="30083" xr:uid="{00000000-0005-0000-0000-00002B6E0000}"/>
    <cellStyle name="Komma 9 2 4" xfId="22214" xr:uid="{00000000-0005-0000-0000-00002C6E0000}"/>
    <cellStyle name="Komma 9 3" xfId="12372" xr:uid="{00000000-0005-0000-0000-00002D6E0000}"/>
    <cellStyle name="Komma 9 3 2" xfId="30539" xr:uid="{00000000-0005-0000-0000-00002E6E0000}"/>
    <cellStyle name="Komma 9 4" xfId="3815" xr:uid="{00000000-0005-0000-0000-00002F6E0000}"/>
    <cellStyle name="Komma 9 4 2" xfId="23537" xr:uid="{00000000-0005-0000-0000-0000306E0000}"/>
    <cellStyle name="Komma 9 5" xfId="22213" xr:uid="{00000000-0005-0000-0000-0000316E0000}"/>
    <cellStyle name="Link 2" xfId="2145" xr:uid="{00000000-0005-0000-0000-0000326E0000}"/>
    <cellStyle name="Link 2 2" xfId="2146" xr:uid="{00000000-0005-0000-0000-0000336E0000}"/>
    <cellStyle name="Link 2 3" xfId="2147" xr:uid="{00000000-0005-0000-0000-0000346E0000}"/>
    <cellStyle name="Link 2 3 2" xfId="7345" xr:uid="{00000000-0005-0000-0000-0000356E0000}"/>
    <cellStyle name="Link 2 4" xfId="2148" xr:uid="{00000000-0005-0000-0000-0000366E0000}"/>
    <cellStyle name="Link 2 5" xfId="3479" xr:uid="{00000000-0005-0000-0000-0000376E0000}"/>
    <cellStyle name="Link 3" xfId="2149" xr:uid="{00000000-0005-0000-0000-0000386E0000}"/>
    <cellStyle name="Link 3 2" xfId="7346" xr:uid="{00000000-0005-0000-0000-0000396E0000}"/>
    <cellStyle name="Link 3 3" xfId="19170" xr:uid="{00000000-0005-0000-0000-00003A6E0000}"/>
    <cellStyle name="Link 4" xfId="2150" xr:uid="{00000000-0005-0000-0000-00003B6E0000}"/>
    <cellStyle name="Link 4 2" xfId="7347" xr:uid="{00000000-0005-0000-0000-00003C6E0000}"/>
    <cellStyle name="Link 5" xfId="2151" xr:uid="{00000000-0005-0000-0000-00003D6E0000}"/>
    <cellStyle name="Link 5 2" xfId="7348" xr:uid="{00000000-0005-0000-0000-00003E6E0000}"/>
    <cellStyle name="Link 6" xfId="2152" xr:uid="{00000000-0005-0000-0000-00003F6E0000}"/>
    <cellStyle name="Link 6 2" xfId="7344" xr:uid="{00000000-0005-0000-0000-0000406E0000}"/>
    <cellStyle name="Link 7" xfId="3103" xr:uid="{00000000-0005-0000-0000-0000416E0000}"/>
    <cellStyle name="Linked Cell" xfId="3112" builtinId="24" customBuiltin="1"/>
    <cellStyle name="Linked Cell 2" xfId="2153" xr:uid="{00000000-0005-0000-0000-0000436E0000}"/>
    <cellStyle name="Markeringsfarve1 2" xfId="7350" xr:uid="{00000000-0005-0000-0000-0000446E0000}"/>
    <cellStyle name="Markeringsfarve1 3" xfId="7351" xr:uid="{00000000-0005-0000-0000-0000456E0000}"/>
    <cellStyle name="Markeringsfarve1 4" xfId="7352" xr:uid="{00000000-0005-0000-0000-0000466E0000}"/>
    <cellStyle name="Markeringsfarve1 5" xfId="7353" xr:uid="{00000000-0005-0000-0000-0000476E0000}"/>
    <cellStyle name="Markeringsfarve1 5 2" xfId="10496" xr:uid="{00000000-0005-0000-0000-0000486E0000}"/>
    <cellStyle name="Markeringsfarve1 6" xfId="7611" xr:uid="{00000000-0005-0000-0000-0000496E0000}"/>
    <cellStyle name="Markeringsfarve1 7" xfId="7349" xr:uid="{00000000-0005-0000-0000-00004A6E0000}"/>
    <cellStyle name="Markeringsfarve2 2" xfId="7355" xr:uid="{00000000-0005-0000-0000-00004B6E0000}"/>
    <cellStyle name="Markeringsfarve2 3" xfId="7356" xr:uid="{00000000-0005-0000-0000-00004C6E0000}"/>
    <cellStyle name="Markeringsfarve2 4" xfId="7357" xr:uid="{00000000-0005-0000-0000-00004D6E0000}"/>
    <cellStyle name="Markeringsfarve2 5" xfId="7358" xr:uid="{00000000-0005-0000-0000-00004E6E0000}"/>
    <cellStyle name="Markeringsfarve2 5 2" xfId="10981" xr:uid="{00000000-0005-0000-0000-00004F6E0000}"/>
    <cellStyle name="Markeringsfarve2 6" xfId="7615" xr:uid="{00000000-0005-0000-0000-0000506E0000}"/>
    <cellStyle name="Markeringsfarve2 7" xfId="7354" xr:uid="{00000000-0005-0000-0000-0000516E0000}"/>
    <cellStyle name="Markeringsfarve3 2" xfId="7360" xr:uid="{00000000-0005-0000-0000-0000526E0000}"/>
    <cellStyle name="Markeringsfarve3 3" xfId="7361" xr:uid="{00000000-0005-0000-0000-0000536E0000}"/>
    <cellStyle name="Markeringsfarve3 4" xfId="7362" xr:uid="{00000000-0005-0000-0000-0000546E0000}"/>
    <cellStyle name="Markeringsfarve3 5" xfId="7363" xr:uid="{00000000-0005-0000-0000-0000556E0000}"/>
    <cellStyle name="Markeringsfarve3 5 2" xfId="10685" xr:uid="{00000000-0005-0000-0000-0000566E0000}"/>
    <cellStyle name="Markeringsfarve3 6" xfId="7619" xr:uid="{00000000-0005-0000-0000-0000576E0000}"/>
    <cellStyle name="Markeringsfarve3 7" xfId="7359" xr:uid="{00000000-0005-0000-0000-0000586E0000}"/>
    <cellStyle name="Markeringsfarve4 2" xfId="7365" xr:uid="{00000000-0005-0000-0000-0000596E0000}"/>
    <cellStyle name="Markeringsfarve4 3" xfId="7366" xr:uid="{00000000-0005-0000-0000-00005A6E0000}"/>
    <cellStyle name="Markeringsfarve4 4" xfId="7367" xr:uid="{00000000-0005-0000-0000-00005B6E0000}"/>
    <cellStyle name="Markeringsfarve4 5" xfId="7368" xr:uid="{00000000-0005-0000-0000-00005C6E0000}"/>
    <cellStyle name="Markeringsfarve4 5 2" xfId="10498" xr:uid="{00000000-0005-0000-0000-00005D6E0000}"/>
    <cellStyle name="Markeringsfarve4 6" xfId="7623" xr:uid="{00000000-0005-0000-0000-00005E6E0000}"/>
    <cellStyle name="Markeringsfarve4 7" xfId="7364" xr:uid="{00000000-0005-0000-0000-00005F6E0000}"/>
    <cellStyle name="Markeringsfarve6 2" xfId="7370" xr:uid="{00000000-0005-0000-0000-0000606E0000}"/>
    <cellStyle name="Markeringsfarve6 3" xfId="7371" xr:uid="{00000000-0005-0000-0000-0000616E0000}"/>
    <cellStyle name="Markeringsfarve6 4" xfId="7372" xr:uid="{00000000-0005-0000-0000-0000626E0000}"/>
    <cellStyle name="Markeringsfarve6 5" xfId="7373" xr:uid="{00000000-0005-0000-0000-0000636E0000}"/>
    <cellStyle name="Markeringsfarve6 5 2" xfId="10701" xr:uid="{00000000-0005-0000-0000-0000646E0000}"/>
    <cellStyle name="Markeringsfarve6 6" xfId="7630" xr:uid="{00000000-0005-0000-0000-0000656E0000}"/>
    <cellStyle name="Markeringsfarve6 7" xfId="7369" xr:uid="{00000000-0005-0000-0000-0000666E0000}"/>
    <cellStyle name="Migliaia [0] 10" xfId="368" xr:uid="{00000000-0005-0000-0000-0000676E0000}"/>
    <cellStyle name="Migliaia [0] 10 10" xfId="39938" xr:uid="{00000000-0005-0000-0000-0000686E0000}"/>
    <cellStyle name="Migliaia [0] 10 2" xfId="11287" xr:uid="{00000000-0005-0000-0000-0000696E0000}"/>
    <cellStyle name="Migliaia [0] 10 2 2" xfId="20171" xr:uid="{00000000-0005-0000-0000-00006A6E0000}"/>
    <cellStyle name="Migliaia [0] 10 2 2 2" xfId="37681" xr:uid="{00000000-0005-0000-0000-00006B6E0000}"/>
    <cellStyle name="Migliaia [0] 10 2 3" xfId="38636" xr:uid="{00000000-0005-0000-0000-00006C6E0000}"/>
    <cellStyle name="Migliaia [0] 10 3" xfId="11968" xr:uid="{00000000-0005-0000-0000-00006D6E0000}"/>
    <cellStyle name="Migliaia [0] 10 3 2" xfId="30153" xr:uid="{00000000-0005-0000-0000-00006E6E0000}"/>
    <cellStyle name="Migliaia [0] 10 4" xfId="19171" xr:uid="{00000000-0005-0000-0000-00006F6E0000}"/>
    <cellStyle name="Migliaia [0] 10 4 2" xfId="37135" xr:uid="{00000000-0005-0000-0000-0000706E0000}"/>
    <cellStyle name="Migliaia [0] 10 5" xfId="3148" xr:uid="{00000000-0005-0000-0000-0000716E0000}"/>
    <cellStyle name="Migliaia [0] 10 5 2" xfId="23148" xr:uid="{00000000-0005-0000-0000-0000726E0000}"/>
    <cellStyle name="Migliaia [0] 10 6" xfId="21299" xr:uid="{00000000-0005-0000-0000-0000736E0000}"/>
    <cellStyle name="Migliaia [0] 10 7" xfId="38090" xr:uid="{00000000-0005-0000-0000-0000746E0000}"/>
    <cellStyle name="Migliaia [0] 10 8" xfId="39052" xr:uid="{00000000-0005-0000-0000-0000756E0000}"/>
    <cellStyle name="Migliaia [0] 10 9" xfId="39452" xr:uid="{00000000-0005-0000-0000-0000766E0000}"/>
    <cellStyle name="Migliaia [0] 11" xfId="369" xr:uid="{00000000-0005-0000-0000-0000776E0000}"/>
    <cellStyle name="Migliaia [0] 11 10" xfId="39939" xr:uid="{00000000-0005-0000-0000-0000786E0000}"/>
    <cellStyle name="Migliaia [0] 11 2" xfId="11288" xr:uid="{00000000-0005-0000-0000-0000796E0000}"/>
    <cellStyle name="Migliaia [0] 11 2 2" xfId="20172" xr:uid="{00000000-0005-0000-0000-00007A6E0000}"/>
    <cellStyle name="Migliaia [0] 11 2 2 2" xfId="37682" xr:uid="{00000000-0005-0000-0000-00007B6E0000}"/>
    <cellStyle name="Migliaia [0] 11 2 3" xfId="38637" xr:uid="{00000000-0005-0000-0000-00007C6E0000}"/>
    <cellStyle name="Migliaia [0] 11 3" xfId="11969" xr:uid="{00000000-0005-0000-0000-00007D6E0000}"/>
    <cellStyle name="Migliaia [0] 11 3 2" xfId="30154" xr:uid="{00000000-0005-0000-0000-00007E6E0000}"/>
    <cellStyle name="Migliaia [0] 11 4" xfId="19172" xr:uid="{00000000-0005-0000-0000-00007F6E0000}"/>
    <cellStyle name="Migliaia [0] 11 4 2" xfId="37136" xr:uid="{00000000-0005-0000-0000-0000806E0000}"/>
    <cellStyle name="Migliaia [0] 11 5" xfId="3149" xr:uid="{00000000-0005-0000-0000-0000816E0000}"/>
    <cellStyle name="Migliaia [0] 11 5 2" xfId="23149" xr:uid="{00000000-0005-0000-0000-0000826E0000}"/>
    <cellStyle name="Migliaia [0] 11 6" xfId="21300" xr:uid="{00000000-0005-0000-0000-0000836E0000}"/>
    <cellStyle name="Migliaia [0] 11 7" xfId="38091" xr:uid="{00000000-0005-0000-0000-0000846E0000}"/>
    <cellStyle name="Migliaia [0] 11 8" xfId="39053" xr:uid="{00000000-0005-0000-0000-0000856E0000}"/>
    <cellStyle name="Migliaia [0] 11 9" xfId="39453" xr:uid="{00000000-0005-0000-0000-0000866E0000}"/>
    <cellStyle name="Migliaia [0] 12" xfId="370" xr:uid="{00000000-0005-0000-0000-0000876E0000}"/>
    <cellStyle name="Migliaia [0] 12 10" xfId="39940" xr:uid="{00000000-0005-0000-0000-0000886E0000}"/>
    <cellStyle name="Migliaia [0] 12 2" xfId="11289" xr:uid="{00000000-0005-0000-0000-0000896E0000}"/>
    <cellStyle name="Migliaia [0] 12 2 2" xfId="20173" xr:uid="{00000000-0005-0000-0000-00008A6E0000}"/>
    <cellStyle name="Migliaia [0] 12 2 2 2" xfId="37683" xr:uid="{00000000-0005-0000-0000-00008B6E0000}"/>
    <cellStyle name="Migliaia [0] 12 2 3" xfId="38638" xr:uid="{00000000-0005-0000-0000-00008C6E0000}"/>
    <cellStyle name="Migliaia [0] 12 3" xfId="11970" xr:uid="{00000000-0005-0000-0000-00008D6E0000}"/>
    <cellStyle name="Migliaia [0] 12 3 2" xfId="30155" xr:uid="{00000000-0005-0000-0000-00008E6E0000}"/>
    <cellStyle name="Migliaia [0] 12 4" xfId="19173" xr:uid="{00000000-0005-0000-0000-00008F6E0000}"/>
    <cellStyle name="Migliaia [0] 12 4 2" xfId="37137" xr:uid="{00000000-0005-0000-0000-0000906E0000}"/>
    <cellStyle name="Migliaia [0] 12 5" xfId="3150" xr:uid="{00000000-0005-0000-0000-0000916E0000}"/>
    <cellStyle name="Migliaia [0] 12 5 2" xfId="23150" xr:uid="{00000000-0005-0000-0000-0000926E0000}"/>
    <cellStyle name="Migliaia [0] 12 6" xfId="21301" xr:uid="{00000000-0005-0000-0000-0000936E0000}"/>
    <cellStyle name="Migliaia [0] 12 7" xfId="38092" xr:uid="{00000000-0005-0000-0000-0000946E0000}"/>
    <cellStyle name="Migliaia [0] 12 8" xfId="39054" xr:uid="{00000000-0005-0000-0000-0000956E0000}"/>
    <cellStyle name="Migliaia [0] 12 9" xfId="39454" xr:uid="{00000000-0005-0000-0000-0000966E0000}"/>
    <cellStyle name="Migliaia [0] 13" xfId="371" xr:uid="{00000000-0005-0000-0000-0000976E0000}"/>
    <cellStyle name="Migliaia [0] 13 10" xfId="39941" xr:uid="{00000000-0005-0000-0000-0000986E0000}"/>
    <cellStyle name="Migliaia [0] 13 2" xfId="11290" xr:uid="{00000000-0005-0000-0000-0000996E0000}"/>
    <cellStyle name="Migliaia [0] 13 2 2" xfId="20174" xr:uid="{00000000-0005-0000-0000-00009A6E0000}"/>
    <cellStyle name="Migliaia [0] 13 2 2 2" xfId="37684" xr:uid="{00000000-0005-0000-0000-00009B6E0000}"/>
    <cellStyle name="Migliaia [0] 13 2 3" xfId="38639" xr:uid="{00000000-0005-0000-0000-00009C6E0000}"/>
    <cellStyle name="Migliaia [0] 13 3" xfId="11971" xr:uid="{00000000-0005-0000-0000-00009D6E0000}"/>
    <cellStyle name="Migliaia [0] 13 3 2" xfId="30156" xr:uid="{00000000-0005-0000-0000-00009E6E0000}"/>
    <cellStyle name="Migliaia [0] 13 4" xfId="19174" xr:uid="{00000000-0005-0000-0000-00009F6E0000}"/>
    <cellStyle name="Migliaia [0] 13 4 2" xfId="37138" xr:uid="{00000000-0005-0000-0000-0000A06E0000}"/>
    <cellStyle name="Migliaia [0] 13 5" xfId="3151" xr:uid="{00000000-0005-0000-0000-0000A16E0000}"/>
    <cellStyle name="Migliaia [0] 13 5 2" xfId="23151" xr:uid="{00000000-0005-0000-0000-0000A26E0000}"/>
    <cellStyle name="Migliaia [0] 13 6" xfId="21302" xr:uid="{00000000-0005-0000-0000-0000A36E0000}"/>
    <cellStyle name="Migliaia [0] 13 7" xfId="38093" xr:uid="{00000000-0005-0000-0000-0000A46E0000}"/>
    <cellStyle name="Migliaia [0] 13 8" xfId="39055" xr:uid="{00000000-0005-0000-0000-0000A56E0000}"/>
    <cellStyle name="Migliaia [0] 13 9" xfId="39455" xr:uid="{00000000-0005-0000-0000-0000A66E0000}"/>
    <cellStyle name="Migliaia [0] 14" xfId="372" xr:uid="{00000000-0005-0000-0000-0000A76E0000}"/>
    <cellStyle name="Migliaia [0] 14 10" xfId="39942" xr:uid="{00000000-0005-0000-0000-0000A86E0000}"/>
    <cellStyle name="Migliaia [0] 14 2" xfId="11291" xr:uid="{00000000-0005-0000-0000-0000A96E0000}"/>
    <cellStyle name="Migliaia [0] 14 2 2" xfId="20175" xr:uid="{00000000-0005-0000-0000-0000AA6E0000}"/>
    <cellStyle name="Migliaia [0] 14 2 2 2" xfId="37685" xr:uid="{00000000-0005-0000-0000-0000AB6E0000}"/>
    <cellStyle name="Migliaia [0] 14 2 3" xfId="38640" xr:uid="{00000000-0005-0000-0000-0000AC6E0000}"/>
    <cellStyle name="Migliaia [0] 14 3" xfId="11972" xr:uid="{00000000-0005-0000-0000-0000AD6E0000}"/>
    <cellStyle name="Migliaia [0] 14 3 2" xfId="30157" xr:uid="{00000000-0005-0000-0000-0000AE6E0000}"/>
    <cellStyle name="Migliaia [0] 14 4" xfId="19175" xr:uid="{00000000-0005-0000-0000-0000AF6E0000}"/>
    <cellStyle name="Migliaia [0] 14 4 2" xfId="37139" xr:uid="{00000000-0005-0000-0000-0000B06E0000}"/>
    <cellStyle name="Migliaia [0] 14 5" xfId="3152" xr:uid="{00000000-0005-0000-0000-0000B16E0000}"/>
    <cellStyle name="Migliaia [0] 14 5 2" xfId="23152" xr:uid="{00000000-0005-0000-0000-0000B26E0000}"/>
    <cellStyle name="Migliaia [0] 14 6" xfId="21303" xr:uid="{00000000-0005-0000-0000-0000B36E0000}"/>
    <cellStyle name="Migliaia [0] 14 7" xfId="38094" xr:uid="{00000000-0005-0000-0000-0000B46E0000}"/>
    <cellStyle name="Migliaia [0] 14 8" xfId="39056" xr:uid="{00000000-0005-0000-0000-0000B56E0000}"/>
    <cellStyle name="Migliaia [0] 14 9" xfId="39456" xr:uid="{00000000-0005-0000-0000-0000B66E0000}"/>
    <cellStyle name="Migliaia [0] 15" xfId="373" xr:uid="{00000000-0005-0000-0000-0000B76E0000}"/>
    <cellStyle name="Migliaia [0] 15 10" xfId="39943" xr:uid="{00000000-0005-0000-0000-0000B86E0000}"/>
    <cellStyle name="Migliaia [0] 15 2" xfId="11292" xr:uid="{00000000-0005-0000-0000-0000B96E0000}"/>
    <cellStyle name="Migliaia [0] 15 2 2" xfId="20176" xr:uid="{00000000-0005-0000-0000-0000BA6E0000}"/>
    <cellStyle name="Migliaia [0] 15 2 2 2" xfId="37686" xr:uid="{00000000-0005-0000-0000-0000BB6E0000}"/>
    <cellStyle name="Migliaia [0] 15 2 3" xfId="38641" xr:uid="{00000000-0005-0000-0000-0000BC6E0000}"/>
    <cellStyle name="Migliaia [0] 15 3" xfId="11973" xr:uid="{00000000-0005-0000-0000-0000BD6E0000}"/>
    <cellStyle name="Migliaia [0] 15 3 2" xfId="30158" xr:uid="{00000000-0005-0000-0000-0000BE6E0000}"/>
    <cellStyle name="Migliaia [0] 15 4" xfId="19176" xr:uid="{00000000-0005-0000-0000-0000BF6E0000}"/>
    <cellStyle name="Migliaia [0] 15 4 2" xfId="37140" xr:uid="{00000000-0005-0000-0000-0000C06E0000}"/>
    <cellStyle name="Migliaia [0] 15 5" xfId="3153" xr:uid="{00000000-0005-0000-0000-0000C16E0000}"/>
    <cellStyle name="Migliaia [0] 15 5 2" xfId="23153" xr:uid="{00000000-0005-0000-0000-0000C26E0000}"/>
    <cellStyle name="Migliaia [0] 15 6" xfId="21304" xr:uid="{00000000-0005-0000-0000-0000C36E0000}"/>
    <cellStyle name="Migliaia [0] 15 7" xfId="38095" xr:uid="{00000000-0005-0000-0000-0000C46E0000}"/>
    <cellStyle name="Migliaia [0] 15 8" xfId="39057" xr:uid="{00000000-0005-0000-0000-0000C56E0000}"/>
    <cellStyle name="Migliaia [0] 15 9" xfId="39457" xr:uid="{00000000-0005-0000-0000-0000C66E0000}"/>
    <cellStyle name="Migliaia [0] 16" xfId="374" xr:uid="{00000000-0005-0000-0000-0000C76E0000}"/>
    <cellStyle name="Migliaia [0] 16 10" xfId="39944" xr:uid="{00000000-0005-0000-0000-0000C86E0000}"/>
    <cellStyle name="Migliaia [0] 16 2" xfId="11293" xr:uid="{00000000-0005-0000-0000-0000C96E0000}"/>
    <cellStyle name="Migliaia [0] 16 2 2" xfId="20177" xr:uid="{00000000-0005-0000-0000-0000CA6E0000}"/>
    <cellStyle name="Migliaia [0] 16 2 2 2" xfId="37687" xr:uid="{00000000-0005-0000-0000-0000CB6E0000}"/>
    <cellStyle name="Migliaia [0] 16 2 3" xfId="38642" xr:uid="{00000000-0005-0000-0000-0000CC6E0000}"/>
    <cellStyle name="Migliaia [0] 16 3" xfId="11974" xr:uid="{00000000-0005-0000-0000-0000CD6E0000}"/>
    <cellStyle name="Migliaia [0] 16 3 2" xfId="30159" xr:uid="{00000000-0005-0000-0000-0000CE6E0000}"/>
    <cellStyle name="Migliaia [0] 16 4" xfId="19177" xr:uid="{00000000-0005-0000-0000-0000CF6E0000}"/>
    <cellStyle name="Migliaia [0] 16 4 2" xfId="37141" xr:uid="{00000000-0005-0000-0000-0000D06E0000}"/>
    <cellStyle name="Migliaia [0] 16 5" xfId="3154" xr:uid="{00000000-0005-0000-0000-0000D16E0000}"/>
    <cellStyle name="Migliaia [0] 16 5 2" xfId="23154" xr:uid="{00000000-0005-0000-0000-0000D26E0000}"/>
    <cellStyle name="Migliaia [0] 16 6" xfId="21305" xr:uid="{00000000-0005-0000-0000-0000D36E0000}"/>
    <cellStyle name="Migliaia [0] 16 7" xfId="38096" xr:uid="{00000000-0005-0000-0000-0000D46E0000}"/>
    <cellStyle name="Migliaia [0] 16 8" xfId="39058" xr:uid="{00000000-0005-0000-0000-0000D56E0000}"/>
    <cellStyle name="Migliaia [0] 16 9" xfId="39458" xr:uid="{00000000-0005-0000-0000-0000D66E0000}"/>
    <cellStyle name="Migliaia [0] 17" xfId="375" xr:uid="{00000000-0005-0000-0000-0000D76E0000}"/>
    <cellStyle name="Migliaia [0] 17 10" xfId="39945" xr:uid="{00000000-0005-0000-0000-0000D86E0000}"/>
    <cellStyle name="Migliaia [0] 17 2" xfId="11294" xr:uid="{00000000-0005-0000-0000-0000D96E0000}"/>
    <cellStyle name="Migliaia [0] 17 2 2" xfId="20178" xr:uid="{00000000-0005-0000-0000-0000DA6E0000}"/>
    <cellStyle name="Migliaia [0] 17 2 2 2" xfId="37688" xr:uid="{00000000-0005-0000-0000-0000DB6E0000}"/>
    <cellStyle name="Migliaia [0] 17 2 3" xfId="38643" xr:uid="{00000000-0005-0000-0000-0000DC6E0000}"/>
    <cellStyle name="Migliaia [0] 17 3" xfId="11975" xr:uid="{00000000-0005-0000-0000-0000DD6E0000}"/>
    <cellStyle name="Migliaia [0] 17 3 2" xfId="30160" xr:uid="{00000000-0005-0000-0000-0000DE6E0000}"/>
    <cellStyle name="Migliaia [0] 17 4" xfId="19178" xr:uid="{00000000-0005-0000-0000-0000DF6E0000}"/>
    <cellStyle name="Migliaia [0] 17 4 2" xfId="37142" xr:uid="{00000000-0005-0000-0000-0000E06E0000}"/>
    <cellStyle name="Migliaia [0] 17 5" xfId="3155" xr:uid="{00000000-0005-0000-0000-0000E16E0000}"/>
    <cellStyle name="Migliaia [0] 17 5 2" xfId="23155" xr:uid="{00000000-0005-0000-0000-0000E26E0000}"/>
    <cellStyle name="Migliaia [0] 17 6" xfId="21306" xr:uid="{00000000-0005-0000-0000-0000E36E0000}"/>
    <cellStyle name="Migliaia [0] 17 7" xfId="38097" xr:uid="{00000000-0005-0000-0000-0000E46E0000}"/>
    <cellStyle name="Migliaia [0] 17 8" xfId="39059" xr:uid="{00000000-0005-0000-0000-0000E56E0000}"/>
    <cellStyle name="Migliaia [0] 17 9" xfId="39459" xr:uid="{00000000-0005-0000-0000-0000E66E0000}"/>
    <cellStyle name="Migliaia [0] 18" xfId="376" xr:uid="{00000000-0005-0000-0000-0000E76E0000}"/>
    <cellStyle name="Migliaia [0] 18 10" xfId="39946" xr:uid="{00000000-0005-0000-0000-0000E86E0000}"/>
    <cellStyle name="Migliaia [0] 18 2" xfId="11295" xr:uid="{00000000-0005-0000-0000-0000E96E0000}"/>
    <cellStyle name="Migliaia [0] 18 2 2" xfId="20179" xr:uid="{00000000-0005-0000-0000-0000EA6E0000}"/>
    <cellStyle name="Migliaia [0] 18 2 2 2" xfId="37689" xr:uid="{00000000-0005-0000-0000-0000EB6E0000}"/>
    <cellStyle name="Migliaia [0] 18 2 3" xfId="38644" xr:uid="{00000000-0005-0000-0000-0000EC6E0000}"/>
    <cellStyle name="Migliaia [0] 18 3" xfId="11976" xr:uid="{00000000-0005-0000-0000-0000ED6E0000}"/>
    <cellStyle name="Migliaia [0] 18 3 2" xfId="30161" xr:uid="{00000000-0005-0000-0000-0000EE6E0000}"/>
    <cellStyle name="Migliaia [0] 18 4" xfId="19179" xr:uid="{00000000-0005-0000-0000-0000EF6E0000}"/>
    <cellStyle name="Migliaia [0] 18 4 2" xfId="37143" xr:uid="{00000000-0005-0000-0000-0000F06E0000}"/>
    <cellStyle name="Migliaia [0] 18 5" xfId="3156" xr:uid="{00000000-0005-0000-0000-0000F16E0000}"/>
    <cellStyle name="Migliaia [0] 18 5 2" xfId="23156" xr:uid="{00000000-0005-0000-0000-0000F26E0000}"/>
    <cellStyle name="Migliaia [0] 18 6" xfId="21307" xr:uid="{00000000-0005-0000-0000-0000F36E0000}"/>
    <cellStyle name="Migliaia [0] 18 7" xfId="38098" xr:uid="{00000000-0005-0000-0000-0000F46E0000}"/>
    <cellStyle name="Migliaia [0] 18 8" xfId="39060" xr:uid="{00000000-0005-0000-0000-0000F56E0000}"/>
    <cellStyle name="Migliaia [0] 18 9" xfId="39460" xr:uid="{00000000-0005-0000-0000-0000F66E0000}"/>
    <cellStyle name="Migliaia [0] 19" xfId="377" xr:uid="{00000000-0005-0000-0000-0000F76E0000}"/>
    <cellStyle name="Migliaia [0] 19 10" xfId="39947" xr:uid="{00000000-0005-0000-0000-0000F86E0000}"/>
    <cellStyle name="Migliaia [0] 19 2" xfId="11296" xr:uid="{00000000-0005-0000-0000-0000F96E0000}"/>
    <cellStyle name="Migliaia [0] 19 2 2" xfId="20180" xr:uid="{00000000-0005-0000-0000-0000FA6E0000}"/>
    <cellStyle name="Migliaia [0] 19 2 2 2" xfId="37690" xr:uid="{00000000-0005-0000-0000-0000FB6E0000}"/>
    <cellStyle name="Migliaia [0] 19 2 3" xfId="38645" xr:uid="{00000000-0005-0000-0000-0000FC6E0000}"/>
    <cellStyle name="Migliaia [0] 19 3" xfId="11977" xr:uid="{00000000-0005-0000-0000-0000FD6E0000}"/>
    <cellStyle name="Migliaia [0] 19 3 2" xfId="30162" xr:uid="{00000000-0005-0000-0000-0000FE6E0000}"/>
    <cellStyle name="Migliaia [0] 19 4" xfId="19180" xr:uid="{00000000-0005-0000-0000-0000FF6E0000}"/>
    <cellStyle name="Migliaia [0] 19 4 2" xfId="37144" xr:uid="{00000000-0005-0000-0000-0000006F0000}"/>
    <cellStyle name="Migliaia [0] 19 5" xfId="3157" xr:uid="{00000000-0005-0000-0000-0000016F0000}"/>
    <cellStyle name="Migliaia [0] 19 5 2" xfId="23157" xr:uid="{00000000-0005-0000-0000-0000026F0000}"/>
    <cellStyle name="Migliaia [0] 19 6" xfId="21308" xr:uid="{00000000-0005-0000-0000-0000036F0000}"/>
    <cellStyle name="Migliaia [0] 19 7" xfId="38099" xr:uid="{00000000-0005-0000-0000-0000046F0000}"/>
    <cellStyle name="Migliaia [0] 19 8" xfId="39061" xr:uid="{00000000-0005-0000-0000-0000056F0000}"/>
    <cellStyle name="Migliaia [0] 19 9" xfId="39461" xr:uid="{00000000-0005-0000-0000-0000066F0000}"/>
    <cellStyle name="Migliaia [0] 2" xfId="378" xr:uid="{00000000-0005-0000-0000-0000076F0000}"/>
    <cellStyle name="Migliaia [0] 2 10" xfId="39948" xr:uid="{00000000-0005-0000-0000-0000086F0000}"/>
    <cellStyle name="Migliaia [0] 2 2" xfId="11297" xr:uid="{00000000-0005-0000-0000-0000096F0000}"/>
    <cellStyle name="Migliaia [0] 2 2 2" xfId="20181" xr:uid="{00000000-0005-0000-0000-00000A6F0000}"/>
    <cellStyle name="Migliaia [0] 2 2 2 2" xfId="37691" xr:uid="{00000000-0005-0000-0000-00000B6F0000}"/>
    <cellStyle name="Migliaia [0] 2 2 3" xfId="38646" xr:uid="{00000000-0005-0000-0000-00000C6F0000}"/>
    <cellStyle name="Migliaia [0] 2 3" xfId="11978" xr:uid="{00000000-0005-0000-0000-00000D6F0000}"/>
    <cellStyle name="Migliaia [0] 2 3 2" xfId="30163" xr:uid="{00000000-0005-0000-0000-00000E6F0000}"/>
    <cellStyle name="Migliaia [0] 2 4" xfId="19181" xr:uid="{00000000-0005-0000-0000-00000F6F0000}"/>
    <cellStyle name="Migliaia [0] 2 4 2" xfId="37145" xr:uid="{00000000-0005-0000-0000-0000106F0000}"/>
    <cellStyle name="Migliaia [0] 2 5" xfId="3158" xr:uid="{00000000-0005-0000-0000-0000116F0000}"/>
    <cellStyle name="Migliaia [0] 2 5 2" xfId="23158" xr:uid="{00000000-0005-0000-0000-0000126F0000}"/>
    <cellStyle name="Migliaia [0] 2 6" xfId="21309" xr:uid="{00000000-0005-0000-0000-0000136F0000}"/>
    <cellStyle name="Migliaia [0] 2 7" xfId="38100" xr:uid="{00000000-0005-0000-0000-0000146F0000}"/>
    <cellStyle name="Migliaia [0] 2 8" xfId="39062" xr:uid="{00000000-0005-0000-0000-0000156F0000}"/>
    <cellStyle name="Migliaia [0] 2 9" xfId="39462" xr:uid="{00000000-0005-0000-0000-0000166F0000}"/>
    <cellStyle name="Migliaia [0] 20" xfId="379" xr:uid="{00000000-0005-0000-0000-0000176F0000}"/>
    <cellStyle name="Migliaia [0] 20 10" xfId="39949" xr:uid="{00000000-0005-0000-0000-0000186F0000}"/>
    <cellStyle name="Migliaia [0] 20 2" xfId="11298" xr:uid="{00000000-0005-0000-0000-0000196F0000}"/>
    <cellStyle name="Migliaia [0] 20 2 2" xfId="20182" xr:uid="{00000000-0005-0000-0000-00001A6F0000}"/>
    <cellStyle name="Migliaia [0] 20 2 2 2" xfId="37692" xr:uid="{00000000-0005-0000-0000-00001B6F0000}"/>
    <cellStyle name="Migliaia [0] 20 2 3" xfId="38647" xr:uid="{00000000-0005-0000-0000-00001C6F0000}"/>
    <cellStyle name="Migliaia [0] 20 3" xfId="11979" xr:uid="{00000000-0005-0000-0000-00001D6F0000}"/>
    <cellStyle name="Migliaia [0] 20 3 2" xfId="30164" xr:uid="{00000000-0005-0000-0000-00001E6F0000}"/>
    <cellStyle name="Migliaia [0] 20 4" xfId="19182" xr:uid="{00000000-0005-0000-0000-00001F6F0000}"/>
    <cellStyle name="Migliaia [0] 20 4 2" xfId="37146" xr:uid="{00000000-0005-0000-0000-0000206F0000}"/>
    <cellStyle name="Migliaia [0] 20 5" xfId="3159" xr:uid="{00000000-0005-0000-0000-0000216F0000}"/>
    <cellStyle name="Migliaia [0] 20 5 2" xfId="23159" xr:uid="{00000000-0005-0000-0000-0000226F0000}"/>
    <cellStyle name="Migliaia [0] 20 6" xfId="21310" xr:uid="{00000000-0005-0000-0000-0000236F0000}"/>
    <cellStyle name="Migliaia [0] 20 7" xfId="38101" xr:uid="{00000000-0005-0000-0000-0000246F0000}"/>
    <cellStyle name="Migliaia [0] 20 8" xfId="39063" xr:uid="{00000000-0005-0000-0000-0000256F0000}"/>
    <cellStyle name="Migliaia [0] 20 9" xfId="39463" xr:uid="{00000000-0005-0000-0000-0000266F0000}"/>
    <cellStyle name="Migliaia [0] 21" xfId="380" xr:uid="{00000000-0005-0000-0000-0000276F0000}"/>
    <cellStyle name="Migliaia [0] 21 10" xfId="39950" xr:uid="{00000000-0005-0000-0000-0000286F0000}"/>
    <cellStyle name="Migliaia [0] 21 2" xfId="11299" xr:uid="{00000000-0005-0000-0000-0000296F0000}"/>
    <cellStyle name="Migliaia [0] 21 2 2" xfId="20183" xr:uid="{00000000-0005-0000-0000-00002A6F0000}"/>
    <cellStyle name="Migliaia [0] 21 2 2 2" xfId="37693" xr:uid="{00000000-0005-0000-0000-00002B6F0000}"/>
    <cellStyle name="Migliaia [0] 21 2 3" xfId="38648" xr:uid="{00000000-0005-0000-0000-00002C6F0000}"/>
    <cellStyle name="Migliaia [0] 21 3" xfId="11980" xr:uid="{00000000-0005-0000-0000-00002D6F0000}"/>
    <cellStyle name="Migliaia [0] 21 3 2" xfId="30165" xr:uid="{00000000-0005-0000-0000-00002E6F0000}"/>
    <cellStyle name="Migliaia [0] 21 4" xfId="19183" xr:uid="{00000000-0005-0000-0000-00002F6F0000}"/>
    <cellStyle name="Migliaia [0] 21 4 2" xfId="37147" xr:uid="{00000000-0005-0000-0000-0000306F0000}"/>
    <cellStyle name="Migliaia [0] 21 5" xfId="3160" xr:uid="{00000000-0005-0000-0000-0000316F0000}"/>
    <cellStyle name="Migliaia [0] 21 5 2" xfId="23160" xr:uid="{00000000-0005-0000-0000-0000326F0000}"/>
    <cellStyle name="Migliaia [0] 21 6" xfId="21311" xr:uid="{00000000-0005-0000-0000-0000336F0000}"/>
    <cellStyle name="Migliaia [0] 21 7" xfId="38102" xr:uid="{00000000-0005-0000-0000-0000346F0000}"/>
    <cellStyle name="Migliaia [0] 21 8" xfId="39064" xr:uid="{00000000-0005-0000-0000-0000356F0000}"/>
    <cellStyle name="Migliaia [0] 21 9" xfId="39464" xr:uid="{00000000-0005-0000-0000-0000366F0000}"/>
    <cellStyle name="Migliaia [0] 22" xfId="381" xr:uid="{00000000-0005-0000-0000-0000376F0000}"/>
    <cellStyle name="Migliaia [0] 22 10" xfId="39951" xr:uid="{00000000-0005-0000-0000-0000386F0000}"/>
    <cellStyle name="Migliaia [0] 22 2" xfId="11300" xr:uid="{00000000-0005-0000-0000-0000396F0000}"/>
    <cellStyle name="Migliaia [0] 22 2 2" xfId="20184" xr:uid="{00000000-0005-0000-0000-00003A6F0000}"/>
    <cellStyle name="Migliaia [0] 22 2 2 2" xfId="37694" xr:uid="{00000000-0005-0000-0000-00003B6F0000}"/>
    <cellStyle name="Migliaia [0] 22 2 3" xfId="38649" xr:uid="{00000000-0005-0000-0000-00003C6F0000}"/>
    <cellStyle name="Migliaia [0] 22 3" xfId="11981" xr:uid="{00000000-0005-0000-0000-00003D6F0000}"/>
    <cellStyle name="Migliaia [0] 22 3 2" xfId="30166" xr:uid="{00000000-0005-0000-0000-00003E6F0000}"/>
    <cellStyle name="Migliaia [0] 22 4" xfId="19184" xr:uid="{00000000-0005-0000-0000-00003F6F0000}"/>
    <cellStyle name="Migliaia [0] 22 4 2" xfId="37148" xr:uid="{00000000-0005-0000-0000-0000406F0000}"/>
    <cellStyle name="Migliaia [0] 22 5" xfId="3161" xr:uid="{00000000-0005-0000-0000-0000416F0000}"/>
    <cellStyle name="Migliaia [0] 22 5 2" xfId="23161" xr:uid="{00000000-0005-0000-0000-0000426F0000}"/>
    <cellStyle name="Migliaia [0] 22 6" xfId="21312" xr:uid="{00000000-0005-0000-0000-0000436F0000}"/>
    <cellStyle name="Migliaia [0] 22 7" xfId="38103" xr:uid="{00000000-0005-0000-0000-0000446F0000}"/>
    <cellStyle name="Migliaia [0] 22 8" xfId="39065" xr:uid="{00000000-0005-0000-0000-0000456F0000}"/>
    <cellStyle name="Migliaia [0] 22 9" xfId="39465" xr:uid="{00000000-0005-0000-0000-0000466F0000}"/>
    <cellStyle name="Migliaia [0] 23" xfId="382" xr:uid="{00000000-0005-0000-0000-0000476F0000}"/>
    <cellStyle name="Migliaia [0] 23 10" xfId="39952" xr:uid="{00000000-0005-0000-0000-0000486F0000}"/>
    <cellStyle name="Migliaia [0] 23 2" xfId="11301" xr:uid="{00000000-0005-0000-0000-0000496F0000}"/>
    <cellStyle name="Migliaia [0] 23 2 2" xfId="20185" xr:uid="{00000000-0005-0000-0000-00004A6F0000}"/>
    <cellStyle name="Migliaia [0] 23 2 2 2" xfId="37695" xr:uid="{00000000-0005-0000-0000-00004B6F0000}"/>
    <cellStyle name="Migliaia [0] 23 2 3" xfId="38650" xr:uid="{00000000-0005-0000-0000-00004C6F0000}"/>
    <cellStyle name="Migliaia [0] 23 3" xfId="11982" xr:uid="{00000000-0005-0000-0000-00004D6F0000}"/>
    <cellStyle name="Migliaia [0] 23 3 2" xfId="30167" xr:uid="{00000000-0005-0000-0000-00004E6F0000}"/>
    <cellStyle name="Migliaia [0] 23 4" xfId="19185" xr:uid="{00000000-0005-0000-0000-00004F6F0000}"/>
    <cellStyle name="Migliaia [0] 23 4 2" xfId="37149" xr:uid="{00000000-0005-0000-0000-0000506F0000}"/>
    <cellStyle name="Migliaia [0] 23 5" xfId="3162" xr:uid="{00000000-0005-0000-0000-0000516F0000}"/>
    <cellStyle name="Migliaia [0] 23 5 2" xfId="23162" xr:uid="{00000000-0005-0000-0000-0000526F0000}"/>
    <cellStyle name="Migliaia [0] 23 6" xfId="21313" xr:uid="{00000000-0005-0000-0000-0000536F0000}"/>
    <cellStyle name="Migliaia [0] 23 7" xfId="38104" xr:uid="{00000000-0005-0000-0000-0000546F0000}"/>
    <cellStyle name="Migliaia [0] 23 8" xfId="39066" xr:uid="{00000000-0005-0000-0000-0000556F0000}"/>
    <cellStyle name="Migliaia [0] 23 9" xfId="39466" xr:uid="{00000000-0005-0000-0000-0000566F0000}"/>
    <cellStyle name="Migliaia [0] 24" xfId="383" xr:uid="{00000000-0005-0000-0000-0000576F0000}"/>
    <cellStyle name="Migliaia [0] 24 10" xfId="39953" xr:uid="{00000000-0005-0000-0000-0000586F0000}"/>
    <cellStyle name="Migliaia [0] 24 2" xfId="11302" xr:uid="{00000000-0005-0000-0000-0000596F0000}"/>
    <cellStyle name="Migliaia [0] 24 2 2" xfId="20186" xr:uid="{00000000-0005-0000-0000-00005A6F0000}"/>
    <cellStyle name="Migliaia [0] 24 2 2 2" xfId="37696" xr:uid="{00000000-0005-0000-0000-00005B6F0000}"/>
    <cellStyle name="Migliaia [0] 24 2 3" xfId="38651" xr:uid="{00000000-0005-0000-0000-00005C6F0000}"/>
    <cellStyle name="Migliaia [0] 24 3" xfId="11983" xr:uid="{00000000-0005-0000-0000-00005D6F0000}"/>
    <cellStyle name="Migliaia [0] 24 3 2" xfId="30168" xr:uid="{00000000-0005-0000-0000-00005E6F0000}"/>
    <cellStyle name="Migliaia [0] 24 4" xfId="19186" xr:uid="{00000000-0005-0000-0000-00005F6F0000}"/>
    <cellStyle name="Migliaia [0] 24 4 2" xfId="37150" xr:uid="{00000000-0005-0000-0000-0000606F0000}"/>
    <cellStyle name="Migliaia [0] 24 5" xfId="3163" xr:uid="{00000000-0005-0000-0000-0000616F0000}"/>
    <cellStyle name="Migliaia [0] 24 5 2" xfId="23163" xr:uid="{00000000-0005-0000-0000-0000626F0000}"/>
    <cellStyle name="Migliaia [0] 24 6" xfId="21314" xr:uid="{00000000-0005-0000-0000-0000636F0000}"/>
    <cellStyle name="Migliaia [0] 24 7" xfId="38105" xr:uid="{00000000-0005-0000-0000-0000646F0000}"/>
    <cellStyle name="Migliaia [0] 24 8" xfId="39067" xr:uid="{00000000-0005-0000-0000-0000656F0000}"/>
    <cellStyle name="Migliaia [0] 24 9" xfId="39467" xr:uid="{00000000-0005-0000-0000-0000666F0000}"/>
    <cellStyle name="Migliaia [0] 25" xfId="384" xr:uid="{00000000-0005-0000-0000-0000676F0000}"/>
    <cellStyle name="Migliaia [0] 25 10" xfId="39954" xr:uid="{00000000-0005-0000-0000-0000686F0000}"/>
    <cellStyle name="Migliaia [0] 25 2" xfId="11303" xr:uid="{00000000-0005-0000-0000-0000696F0000}"/>
    <cellStyle name="Migliaia [0] 25 2 2" xfId="20187" xr:uid="{00000000-0005-0000-0000-00006A6F0000}"/>
    <cellStyle name="Migliaia [0] 25 2 2 2" xfId="37697" xr:uid="{00000000-0005-0000-0000-00006B6F0000}"/>
    <cellStyle name="Migliaia [0] 25 2 3" xfId="38652" xr:uid="{00000000-0005-0000-0000-00006C6F0000}"/>
    <cellStyle name="Migliaia [0] 25 3" xfId="11984" xr:uid="{00000000-0005-0000-0000-00006D6F0000}"/>
    <cellStyle name="Migliaia [0] 25 3 2" xfId="30169" xr:uid="{00000000-0005-0000-0000-00006E6F0000}"/>
    <cellStyle name="Migliaia [0] 25 4" xfId="19187" xr:uid="{00000000-0005-0000-0000-00006F6F0000}"/>
    <cellStyle name="Migliaia [0] 25 4 2" xfId="37151" xr:uid="{00000000-0005-0000-0000-0000706F0000}"/>
    <cellStyle name="Migliaia [0] 25 5" xfId="3164" xr:uid="{00000000-0005-0000-0000-0000716F0000}"/>
    <cellStyle name="Migliaia [0] 25 5 2" xfId="23164" xr:uid="{00000000-0005-0000-0000-0000726F0000}"/>
    <cellStyle name="Migliaia [0] 25 6" xfId="21315" xr:uid="{00000000-0005-0000-0000-0000736F0000}"/>
    <cellStyle name="Migliaia [0] 25 7" xfId="38106" xr:uid="{00000000-0005-0000-0000-0000746F0000}"/>
    <cellStyle name="Migliaia [0] 25 8" xfId="39068" xr:uid="{00000000-0005-0000-0000-0000756F0000}"/>
    <cellStyle name="Migliaia [0] 25 9" xfId="39468" xr:uid="{00000000-0005-0000-0000-0000766F0000}"/>
    <cellStyle name="Migliaia [0] 26" xfId="385" xr:uid="{00000000-0005-0000-0000-0000776F0000}"/>
    <cellStyle name="Migliaia [0] 26 10" xfId="39955" xr:uid="{00000000-0005-0000-0000-0000786F0000}"/>
    <cellStyle name="Migliaia [0] 26 2" xfId="11304" xr:uid="{00000000-0005-0000-0000-0000796F0000}"/>
    <cellStyle name="Migliaia [0] 26 2 2" xfId="20188" xr:uid="{00000000-0005-0000-0000-00007A6F0000}"/>
    <cellStyle name="Migliaia [0] 26 2 2 2" xfId="37698" xr:uid="{00000000-0005-0000-0000-00007B6F0000}"/>
    <cellStyle name="Migliaia [0] 26 2 3" xfId="38653" xr:uid="{00000000-0005-0000-0000-00007C6F0000}"/>
    <cellStyle name="Migliaia [0] 26 3" xfId="11985" xr:uid="{00000000-0005-0000-0000-00007D6F0000}"/>
    <cellStyle name="Migliaia [0] 26 3 2" xfId="30170" xr:uid="{00000000-0005-0000-0000-00007E6F0000}"/>
    <cellStyle name="Migliaia [0] 26 4" xfId="19188" xr:uid="{00000000-0005-0000-0000-00007F6F0000}"/>
    <cellStyle name="Migliaia [0] 26 4 2" xfId="37152" xr:uid="{00000000-0005-0000-0000-0000806F0000}"/>
    <cellStyle name="Migliaia [0] 26 5" xfId="3165" xr:uid="{00000000-0005-0000-0000-0000816F0000}"/>
    <cellStyle name="Migliaia [0] 26 5 2" xfId="23165" xr:uid="{00000000-0005-0000-0000-0000826F0000}"/>
    <cellStyle name="Migliaia [0] 26 6" xfId="21316" xr:uid="{00000000-0005-0000-0000-0000836F0000}"/>
    <cellStyle name="Migliaia [0] 26 7" xfId="38107" xr:uid="{00000000-0005-0000-0000-0000846F0000}"/>
    <cellStyle name="Migliaia [0] 26 8" xfId="39069" xr:uid="{00000000-0005-0000-0000-0000856F0000}"/>
    <cellStyle name="Migliaia [0] 26 9" xfId="39469" xr:uid="{00000000-0005-0000-0000-0000866F0000}"/>
    <cellStyle name="Migliaia [0] 27" xfId="386" xr:uid="{00000000-0005-0000-0000-0000876F0000}"/>
    <cellStyle name="Migliaia [0] 27 10" xfId="39956" xr:uid="{00000000-0005-0000-0000-0000886F0000}"/>
    <cellStyle name="Migliaia [0] 27 2" xfId="11305" xr:uid="{00000000-0005-0000-0000-0000896F0000}"/>
    <cellStyle name="Migliaia [0] 27 2 2" xfId="20189" xr:uid="{00000000-0005-0000-0000-00008A6F0000}"/>
    <cellStyle name="Migliaia [0] 27 2 2 2" xfId="37699" xr:uid="{00000000-0005-0000-0000-00008B6F0000}"/>
    <cellStyle name="Migliaia [0] 27 2 3" xfId="38654" xr:uid="{00000000-0005-0000-0000-00008C6F0000}"/>
    <cellStyle name="Migliaia [0] 27 3" xfId="11986" xr:uid="{00000000-0005-0000-0000-00008D6F0000}"/>
    <cellStyle name="Migliaia [0] 27 3 2" xfId="30171" xr:uid="{00000000-0005-0000-0000-00008E6F0000}"/>
    <cellStyle name="Migliaia [0] 27 4" xfId="19189" xr:uid="{00000000-0005-0000-0000-00008F6F0000}"/>
    <cellStyle name="Migliaia [0] 27 4 2" xfId="37153" xr:uid="{00000000-0005-0000-0000-0000906F0000}"/>
    <cellStyle name="Migliaia [0] 27 5" xfId="3166" xr:uid="{00000000-0005-0000-0000-0000916F0000}"/>
    <cellStyle name="Migliaia [0] 27 5 2" xfId="23166" xr:uid="{00000000-0005-0000-0000-0000926F0000}"/>
    <cellStyle name="Migliaia [0] 27 6" xfId="21317" xr:uid="{00000000-0005-0000-0000-0000936F0000}"/>
    <cellStyle name="Migliaia [0] 27 7" xfId="38108" xr:uid="{00000000-0005-0000-0000-0000946F0000}"/>
    <cellStyle name="Migliaia [0] 27 8" xfId="39070" xr:uid="{00000000-0005-0000-0000-0000956F0000}"/>
    <cellStyle name="Migliaia [0] 27 9" xfId="39470" xr:uid="{00000000-0005-0000-0000-0000966F0000}"/>
    <cellStyle name="Migliaia [0] 28" xfId="387" xr:uid="{00000000-0005-0000-0000-0000976F0000}"/>
    <cellStyle name="Migliaia [0] 28 10" xfId="39957" xr:uid="{00000000-0005-0000-0000-0000986F0000}"/>
    <cellStyle name="Migliaia [0] 28 2" xfId="11306" xr:uid="{00000000-0005-0000-0000-0000996F0000}"/>
    <cellStyle name="Migliaia [0] 28 2 2" xfId="20190" xr:uid="{00000000-0005-0000-0000-00009A6F0000}"/>
    <cellStyle name="Migliaia [0] 28 2 2 2" xfId="37700" xr:uid="{00000000-0005-0000-0000-00009B6F0000}"/>
    <cellStyle name="Migliaia [0] 28 2 3" xfId="38655" xr:uid="{00000000-0005-0000-0000-00009C6F0000}"/>
    <cellStyle name="Migliaia [0] 28 3" xfId="11987" xr:uid="{00000000-0005-0000-0000-00009D6F0000}"/>
    <cellStyle name="Migliaia [0] 28 3 2" xfId="30172" xr:uid="{00000000-0005-0000-0000-00009E6F0000}"/>
    <cellStyle name="Migliaia [0] 28 4" xfId="19190" xr:uid="{00000000-0005-0000-0000-00009F6F0000}"/>
    <cellStyle name="Migliaia [0] 28 4 2" xfId="37154" xr:uid="{00000000-0005-0000-0000-0000A06F0000}"/>
    <cellStyle name="Migliaia [0] 28 5" xfId="3167" xr:uid="{00000000-0005-0000-0000-0000A16F0000}"/>
    <cellStyle name="Migliaia [0] 28 5 2" xfId="23167" xr:uid="{00000000-0005-0000-0000-0000A26F0000}"/>
    <cellStyle name="Migliaia [0] 28 6" xfId="21318" xr:uid="{00000000-0005-0000-0000-0000A36F0000}"/>
    <cellStyle name="Migliaia [0] 28 7" xfId="38109" xr:uid="{00000000-0005-0000-0000-0000A46F0000}"/>
    <cellStyle name="Migliaia [0] 28 8" xfId="39071" xr:uid="{00000000-0005-0000-0000-0000A56F0000}"/>
    <cellStyle name="Migliaia [0] 28 9" xfId="39471" xr:uid="{00000000-0005-0000-0000-0000A66F0000}"/>
    <cellStyle name="Migliaia [0] 29" xfId="388" xr:uid="{00000000-0005-0000-0000-0000A76F0000}"/>
    <cellStyle name="Migliaia [0] 29 10" xfId="39958" xr:uid="{00000000-0005-0000-0000-0000A86F0000}"/>
    <cellStyle name="Migliaia [0] 29 2" xfId="11307" xr:uid="{00000000-0005-0000-0000-0000A96F0000}"/>
    <cellStyle name="Migliaia [0] 29 2 2" xfId="20191" xr:uid="{00000000-0005-0000-0000-0000AA6F0000}"/>
    <cellStyle name="Migliaia [0] 29 2 2 2" xfId="37701" xr:uid="{00000000-0005-0000-0000-0000AB6F0000}"/>
    <cellStyle name="Migliaia [0] 29 2 3" xfId="38656" xr:uid="{00000000-0005-0000-0000-0000AC6F0000}"/>
    <cellStyle name="Migliaia [0] 29 3" xfId="11988" xr:uid="{00000000-0005-0000-0000-0000AD6F0000}"/>
    <cellStyle name="Migliaia [0] 29 3 2" xfId="30173" xr:uid="{00000000-0005-0000-0000-0000AE6F0000}"/>
    <cellStyle name="Migliaia [0] 29 4" xfId="19191" xr:uid="{00000000-0005-0000-0000-0000AF6F0000}"/>
    <cellStyle name="Migliaia [0] 29 4 2" xfId="37155" xr:uid="{00000000-0005-0000-0000-0000B06F0000}"/>
    <cellStyle name="Migliaia [0] 29 5" xfId="3168" xr:uid="{00000000-0005-0000-0000-0000B16F0000}"/>
    <cellStyle name="Migliaia [0] 29 5 2" xfId="23168" xr:uid="{00000000-0005-0000-0000-0000B26F0000}"/>
    <cellStyle name="Migliaia [0] 29 6" xfId="21319" xr:uid="{00000000-0005-0000-0000-0000B36F0000}"/>
    <cellStyle name="Migliaia [0] 29 7" xfId="38110" xr:uid="{00000000-0005-0000-0000-0000B46F0000}"/>
    <cellStyle name="Migliaia [0] 29 8" xfId="39072" xr:uid="{00000000-0005-0000-0000-0000B56F0000}"/>
    <cellStyle name="Migliaia [0] 29 9" xfId="39472" xr:uid="{00000000-0005-0000-0000-0000B66F0000}"/>
    <cellStyle name="Migliaia [0] 3" xfId="389" xr:uid="{00000000-0005-0000-0000-0000B76F0000}"/>
    <cellStyle name="Migliaia [0] 3 10" xfId="39959" xr:uid="{00000000-0005-0000-0000-0000B86F0000}"/>
    <cellStyle name="Migliaia [0] 3 2" xfId="11308" xr:uid="{00000000-0005-0000-0000-0000B96F0000}"/>
    <cellStyle name="Migliaia [0] 3 2 2" xfId="20192" xr:uid="{00000000-0005-0000-0000-0000BA6F0000}"/>
    <cellStyle name="Migliaia [0] 3 2 2 2" xfId="37702" xr:uid="{00000000-0005-0000-0000-0000BB6F0000}"/>
    <cellStyle name="Migliaia [0] 3 2 3" xfId="38657" xr:uid="{00000000-0005-0000-0000-0000BC6F0000}"/>
    <cellStyle name="Migliaia [0] 3 3" xfId="11989" xr:uid="{00000000-0005-0000-0000-0000BD6F0000}"/>
    <cellStyle name="Migliaia [0] 3 3 2" xfId="30174" xr:uid="{00000000-0005-0000-0000-0000BE6F0000}"/>
    <cellStyle name="Migliaia [0] 3 4" xfId="19192" xr:uid="{00000000-0005-0000-0000-0000BF6F0000}"/>
    <cellStyle name="Migliaia [0] 3 4 2" xfId="37156" xr:uid="{00000000-0005-0000-0000-0000C06F0000}"/>
    <cellStyle name="Migliaia [0] 3 5" xfId="3169" xr:uid="{00000000-0005-0000-0000-0000C16F0000}"/>
    <cellStyle name="Migliaia [0] 3 5 2" xfId="23169" xr:uid="{00000000-0005-0000-0000-0000C26F0000}"/>
    <cellStyle name="Migliaia [0] 3 6" xfId="21320" xr:uid="{00000000-0005-0000-0000-0000C36F0000}"/>
    <cellStyle name="Migliaia [0] 3 7" xfId="38111" xr:uid="{00000000-0005-0000-0000-0000C46F0000}"/>
    <cellStyle name="Migliaia [0] 3 8" xfId="39073" xr:uid="{00000000-0005-0000-0000-0000C56F0000}"/>
    <cellStyle name="Migliaia [0] 3 9" xfId="39473" xr:uid="{00000000-0005-0000-0000-0000C66F0000}"/>
    <cellStyle name="Migliaia [0] 30" xfId="390" xr:uid="{00000000-0005-0000-0000-0000C76F0000}"/>
    <cellStyle name="Migliaia [0] 30 10" xfId="39960" xr:uid="{00000000-0005-0000-0000-0000C86F0000}"/>
    <cellStyle name="Migliaia [0] 30 2" xfId="11309" xr:uid="{00000000-0005-0000-0000-0000C96F0000}"/>
    <cellStyle name="Migliaia [0] 30 2 2" xfId="20193" xr:uid="{00000000-0005-0000-0000-0000CA6F0000}"/>
    <cellStyle name="Migliaia [0] 30 2 2 2" xfId="37703" xr:uid="{00000000-0005-0000-0000-0000CB6F0000}"/>
    <cellStyle name="Migliaia [0] 30 2 3" xfId="38658" xr:uid="{00000000-0005-0000-0000-0000CC6F0000}"/>
    <cellStyle name="Migliaia [0] 30 3" xfId="11990" xr:uid="{00000000-0005-0000-0000-0000CD6F0000}"/>
    <cellStyle name="Migliaia [0] 30 3 2" xfId="30175" xr:uid="{00000000-0005-0000-0000-0000CE6F0000}"/>
    <cellStyle name="Migliaia [0] 30 4" xfId="19193" xr:uid="{00000000-0005-0000-0000-0000CF6F0000}"/>
    <cellStyle name="Migliaia [0] 30 4 2" xfId="37157" xr:uid="{00000000-0005-0000-0000-0000D06F0000}"/>
    <cellStyle name="Migliaia [0] 30 5" xfId="3170" xr:uid="{00000000-0005-0000-0000-0000D16F0000}"/>
    <cellStyle name="Migliaia [0] 30 5 2" xfId="23170" xr:uid="{00000000-0005-0000-0000-0000D26F0000}"/>
    <cellStyle name="Migliaia [0] 30 6" xfId="21321" xr:uid="{00000000-0005-0000-0000-0000D36F0000}"/>
    <cellStyle name="Migliaia [0] 30 7" xfId="38112" xr:uid="{00000000-0005-0000-0000-0000D46F0000}"/>
    <cellStyle name="Migliaia [0] 30 8" xfId="39074" xr:uid="{00000000-0005-0000-0000-0000D56F0000}"/>
    <cellStyle name="Migliaia [0] 30 9" xfId="39474" xr:uid="{00000000-0005-0000-0000-0000D66F0000}"/>
    <cellStyle name="Migliaia [0] 31" xfId="391" xr:uid="{00000000-0005-0000-0000-0000D76F0000}"/>
    <cellStyle name="Migliaia [0] 31 10" xfId="39961" xr:uid="{00000000-0005-0000-0000-0000D86F0000}"/>
    <cellStyle name="Migliaia [0] 31 2" xfId="11310" xr:uid="{00000000-0005-0000-0000-0000D96F0000}"/>
    <cellStyle name="Migliaia [0] 31 2 2" xfId="20194" xr:uid="{00000000-0005-0000-0000-0000DA6F0000}"/>
    <cellStyle name="Migliaia [0] 31 2 2 2" xfId="37704" xr:uid="{00000000-0005-0000-0000-0000DB6F0000}"/>
    <cellStyle name="Migliaia [0] 31 2 3" xfId="38659" xr:uid="{00000000-0005-0000-0000-0000DC6F0000}"/>
    <cellStyle name="Migliaia [0] 31 3" xfId="11991" xr:uid="{00000000-0005-0000-0000-0000DD6F0000}"/>
    <cellStyle name="Migliaia [0] 31 3 2" xfId="30176" xr:uid="{00000000-0005-0000-0000-0000DE6F0000}"/>
    <cellStyle name="Migliaia [0] 31 4" xfId="19194" xr:uid="{00000000-0005-0000-0000-0000DF6F0000}"/>
    <cellStyle name="Migliaia [0] 31 4 2" xfId="37158" xr:uid="{00000000-0005-0000-0000-0000E06F0000}"/>
    <cellStyle name="Migliaia [0] 31 5" xfId="3171" xr:uid="{00000000-0005-0000-0000-0000E16F0000}"/>
    <cellStyle name="Migliaia [0] 31 5 2" xfId="23171" xr:uid="{00000000-0005-0000-0000-0000E26F0000}"/>
    <cellStyle name="Migliaia [0] 31 6" xfId="21322" xr:uid="{00000000-0005-0000-0000-0000E36F0000}"/>
    <cellStyle name="Migliaia [0] 31 7" xfId="38113" xr:uid="{00000000-0005-0000-0000-0000E46F0000}"/>
    <cellStyle name="Migliaia [0] 31 8" xfId="39075" xr:uid="{00000000-0005-0000-0000-0000E56F0000}"/>
    <cellStyle name="Migliaia [0] 31 9" xfId="39475" xr:uid="{00000000-0005-0000-0000-0000E66F0000}"/>
    <cellStyle name="Migliaia [0] 32" xfId="392" xr:uid="{00000000-0005-0000-0000-0000E76F0000}"/>
    <cellStyle name="Migliaia [0] 32 10" xfId="39962" xr:uid="{00000000-0005-0000-0000-0000E86F0000}"/>
    <cellStyle name="Migliaia [0] 32 2" xfId="11311" xr:uid="{00000000-0005-0000-0000-0000E96F0000}"/>
    <cellStyle name="Migliaia [0] 32 2 2" xfId="20195" xr:uid="{00000000-0005-0000-0000-0000EA6F0000}"/>
    <cellStyle name="Migliaia [0] 32 2 2 2" xfId="37705" xr:uid="{00000000-0005-0000-0000-0000EB6F0000}"/>
    <cellStyle name="Migliaia [0] 32 2 3" xfId="38660" xr:uid="{00000000-0005-0000-0000-0000EC6F0000}"/>
    <cellStyle name="Migliaia [0] 32 3" xfId="11992" xr:uid="{00000000-0005-0000-0000-0000ED6F0000}"/>
    <cellStyle name="Migliaia [0] 32 3 2" xfId="30177" xr:uid="{00000000-0005-0000-0000-0000EE6F0000}"/>
    <cellStyle name="Migliaia [0] 32 4" xfId="19195" xr:uid="{00000000-0005-0000-0000-0000EF6F0000}"/>
    <cellStyle name="Migliaia [0] 32 4 2" xfId="37159" xr:uid="{00000000-0005-0000-0000-0000F06F0000}"/>
    <cellStyle name="Migliaia [0] 32 5" xfId="3172" xr:uid="{00000000-0005-0000-0000-0000F16F0000}"/>
    <cellStyle name="Migliaia [0] 32 5 2" xfId="23172" xr:uid="{00000000-0005-0000-0000-0000F26F0000}"/>
    <cellStyle name="Migliaia [0] 32 6" xfId="21323" xr:uid="{00000000-0005-0000-0000-0000F36F0000}"/>
    <cellStyle name="Migliaia [0] 32 7" xfId="38114" xr:uid="{00000000-0005-0000-0000-0000F46F0000}"/>
    <cellStyle name="Migliaia [0] 32 8" xfId="39076" xr:uid="{00000000-0005-0000-0000-0000F56F0000}"/>
    <cellStyle name="Migliaia [0] 32 9" xfId="39476" xr:uid="{00000000-0005-0000-0000-0000F66F0000}"/>
    <cellStyle name="Migliaia [0] 33" xfId="393" xr:uid="{00000000-0005-0000-0000-0000F76F0000}"/>
    <cellStyle name="Migliaia [0] 33 10" xfId="39963" xr:uid="{00000000-0005-0000-0000-0000F86F0000}"/>
    <cellStyle name="Migliaia [0] 33 2" xfId="11312" xr:uid="{00000000-0005-0000-0000-0000F96F0000}"/>
    <cellStyle name="Migliaia [0] 33 2 2" xfId="20196" xr:uid="{00000000-0005-0000-0000-0000FA6F0000}"/>
    <cellStyle name="Migliaia [0] 33 2 2 2" xfId="37706" xr:uid="{00000000-0005-0000-0000-0000FB6F0000}"/>
    <cellStyle name="Migliaia [0] 33 2 3" xfId="38661" xr:uid="{00000000-0005-0000-0000-0000FC6F0000}"/>
    <cellStyle name="Migliaia [0] 33 3" xfId="11993" xr:uid="{00000000-0005-0000-0000-0000FD6F0000}"/>
    <cellStyle name="Migliaia [0] 33 3 2" xfId="30178" xr:uid="{00000000-0005-0000-0000-0000FE6F0000}"/>
    <cellStyle name="Migliaia [0] 33 4" xfId="19196" xr:uid="{00000000-0005-0000-0000-0000FF6F0000}"/>
    <cellStyle name="Migliaia [0] 33 4 2" xfId="37160" xr:uid="{00000000-0005-0000-0000-000000700000}"/>
    <cellStyle name="Migliaia [0] 33 5" xfId="3173" xr:uid="{00000000-0005-0000-0000-000001700000}"/>
    <cellStyle name="Migliaia [0] 33 5 2" xfId="23173" xr:uid="{00000000-0005-0000-0000-000002700000}"/>
    <cellStyle name="Migliaia [0] 33 6" xfId="21324" xr:uid="{00000000-0005-0000-0000-000003700000}"/>
    <cellStyle name="Migliaia [0] 33 7" xfId="38115" xr:uid="{00000000-0005-0000-0000-000004700000}"/>
    <cellStyle name="Migliaia [0] 33 8" xfId="39077" xr:uid="{00000000-0005-0000-0000-000005700000}"/>
    <cellStyle name="Migliaia [0] 33 9" xfId="39477" xr:uid="{00000000-0005-0000-0000-000006700000}"/>
    <cellStyle name="Migliaia [0] 34" xfId="394" xr:uid="{00000000-0005-0000-0000-000007700000}"/>
    <cellStyle name="Migliaia [0] 34 10" xfId="39964" xr:uid="{00000000-0005-0000-0000-000008700000}"/>
    <cellStyle name="Migliaia [0] 34 2" xfId="11313" xr:uid="{00000000-0005-0000-0000-000009700000}"/>
    <cellStyle name="Migliaia [0] 34 2 2" xfId="20197" xr:uid="{00000000-0005-0000-0000-00000A700000}"/>
    <cellStyle name="Migliaia [0] 34 2 2 2" xfId="37707" xr:uid="{00000000-0005-0000-0000-00000B700000}"/>
    <cellStyle name="Migliaia [0] 34 2 3" xfId="38662" xr:uid="{00000000-0005-0000-0000-00000C700000}"/>
    <cellStyle name="Migliaia [0] 34 3" xfId="11994" xr:uid="{00000000-0005-0000-0000-00000D700000}"/>
    <cellStyle name="Migliaia [0] 34 3 2" xfId="30179" xr:uid="{00000000-0005-0000-0000-00000E700000}"/>
    <cellStyle name="Migliaia [0] 34 4" xfId="19197" xr:uid="{00000000-0005-0000-0000-00000F700000}"/>
    <cellStyle name="Migliaia [0] 34 4 2" xfId="37161" xr:uid="{00000000-0005-0000-0000-000010700000}"/>
    <cellStyle name="Migliaia [0] 34 5" xfId="3174" xr:uid="{00000000-0005-0000-0000-000011700000}"/>
    <cellStyle name="Migliaia [0] 34 5 2" xfId="23174" xr:uid="{00000000-0005-0000-0000-000012700000}"/>
    <cellStyle name="Migliaia [0] 34 6" xfId="21325" xr:uid="{00000000-0005-0000-0000-000013700000}"/>
    <cellStyle name="Migliaia [0] 34 7" xfId="38116" xr:uid="{00000000-0005-0000-0000-000014700000}"/>
    <cellStyle name="Migliaia [0] 34 8" xfId="39078" xr:uid="{00000000-0005-0000-0000-000015700000}"/>
    <cellStyle name="Migliaia [0] 34 9" xfId="39478" xr:uid="{00000000-0005-0000-0000-000016700000}"/>
    <cellStyle name="Migliaia [0] 35" xfId="395" xr:uid="{00000000-0005-0000-0000-000017700000}"/>
    <cellStyle name="Migliaia [0] 35 10" xfId="39965" xr:uid="{00000000-0005-0000-0000-000018700000}"/>
    <cellStyle name="Migliaia [0] 35 2" xfId="11314" xr:uid="{00000000-0005-0000-0000-000019700000}"/>
    <cellStyle name="Migliaia [0] 35 2 2" xfId="20198" xr:uid="{00000000-0005-0000-0000-00001A700000}"/>
    <cellStyle name="Migliaia [0] 35 2 2 2" xfId="37708" xr:uid="{00000000-0005-0000-0000-00001B700000}"/>
    <cellStyle name="Migliaia [0] 35 2 3" xfId="38663" xr:uid="{00000000-0005-0000-0000-00001C700000}"/>
    <cellStyle name="Migliaia [0] 35 3" xfId="11995" xr:uid="{00000000-0005-0000-0000-00001D700000}"/>
    <cellStyle name="Migliaia [0] 35 3 2" xfId="30180" xr:uid="{00000000-0005-0000-0000-00001E700000}"/>
    <cellStyle name="Migliaia [0] 35 4" xfId="19198" xr:uid="{00000000-0005-0000-0000-00001F700000}"/>
    <cellStyle name="Migliaia [0] 35 4 2" xfId="37162" xr:uid="{00000000-0005-0000-0000-000020700000}"/>
    <cellStyle name="Migliaia [0] 35 5" xfId="3175" xr:uid="{00000000-0005-0000-0000-000021700000}"/>
    <cellStyle name="Migliaia [0] 35 5 2" xfId="23175" xr:uid="{00000000-0005-0000-0000-000022700000}"/>
    <cellStyle name="Migliaia [0] 35 6" xfId="21326" xr:uid="{00000000-0005-0000-0000-000023700000}"/>
    <cellStyle name="Migliaia [0] 35 7" xfId="38117" xr:uid="{00000000-0005-0000-0000-000024700000}"/>
    <cellStyle name="Migliaia [0] 35 8" xfId="39079" xr:uid="{00000000-0005-0000-0000-000025700000}"/>
    <cellStyle name="Migliaia [0] 35 9" xfId="39479" xr:uid="{00000000-0005-0000-0000-000026700000}"/>
    <cellStyle name="Migliaia [0] 36" xfId="396" xr:uid="{00000000-0005-0000-0000-000027700000}"/>
    <cellStyle name="Migliaia [0] 36 10" xfId="39966" xr:uid="{00000000-0005-0000-0000-000028700000}"/>
    <cellStyle name="Migliaia [0] 36 2" xfId="11315" xr:uid="{00000000-0005-0000-0000-000029700000}"/>
    <cellStyle name="Migliaia [0] 36 2 2" xfId="20199" xr:uid="{00000000-0005-0000-0000-00002A700000}"/>
    <cellStyle name="Migliaia [0] 36 2 2 2" xfId="37709" xr:uid="{00000000-0005-0000-0000-00002B700000}"/>
    <cellStyle name="Migliaia [0] 36 2 3" xfId="38664" xr:uid="{00000000-0005-0000-0000-00002C700000}"/>
    <cellStyle name="Migliaia [0] 36 3" xfId="11996" xr:uid="{00000000-0005-0000-0000-00002D700000}"/>
    <cellStyle name="Migliaia [0] 36 3 2" xfId="30181" xr:uid="{00000000-0005-0000-0000-00002E700000}"/>
    <cellStyle name="Migliaia [0] 36 4" xfId="19199" xr:uid="{00000000-0005-0000-0000-00002F700000}"/>
    <cellStyle name="Migliaia [0] 36 4 2" xfId="37163" xr:uid="{00000000-0005-0000-0000-000030700000}"/>
    <cellStyle name="Migliaia [0] 36 5" xfId="3176" xr:uid="{00000000-0005-0000-0000-000031700000}"/>
    <cellStyle name="Migliaia [0] 36 5 2" xfId="23176" xr:uid="{00000000-0005-0000-0000-000032700000}"/>
    <cellStyle name="Migliaia [0] 36 6" xfId="21327" xr:uid="{00000000-0005-0000-0000-000033700000}"/>
    <cellStyle name="Migliaia [0] 36 7" xfId="38118" xr:uid="{00000000-0005-0000-0000-000034700000}"/>
    <cellStyle name="Migliaia [0] 36 8" xfId="39080" xr:uid="{00000000-0005-0000-0000-000035700000}"/>
    <cellStyle name="Migliaia [0] 36 9" xfId="39480" xr:uid="{00000000-0005-0000-0000-000036700000}"/>
    <cellStyle name="Migliaia [0] 37" xfId="397" xr:uid="{00000000-0005-0000-0000-000037700000}"/>
    <cellStyle name="Migliaia [0] 37 10" xfId="39967" xr:uid="{00000000-0005-0000-0000-000038700000}"/>
    <cellStyle name="Migliaia [0] 37 2" xfId="11316" xr:uid="{00000000-0005-0000-0000-000039700000}"/>
    <cellStyle name="Migliaia [0] 37 2 2" xfId="20200" xr:uid="{00000000-0005-0000-0000-00003A700000}"/>
    <cellStyle name="Migliaia [0] 37 2 2 2" xfId="37710" xr:uid="{00000000-0005-0000-0000-00003B700000}"/>
    <cellStyle name="Migliaia [0] 37 2 3" xfId="38665" xr:uid="{00000000-0005-0000-0000-00003C700000}"/>
    <cellStyle name="Migliaia [0] 37 3" xfId="11997" xr:uid="{00000000-0005-0000-0000-00003D700000}"/>
    <cellStyle name="Migliaia [0] 37 3 2" xfId="30182" xr:uid="{00000000-0005-0000-0000-00003E700000}"/>
    <cellStyle name="Migliaia [0] 37 4" xfId="19200" xr:uid="{00000000-0005-0000-0000-00003F700000}"/>
    <cellStyle name="Migliaia [0] 37 4 2" xfId="37164" xr:uid="{00000000-0005-0000-0000-000040700000}"/>
    <cellStyle name="Migliaia [0] 37 5" xfId="3177" xr:uid="{00000000-0005-0000-0000-000041700000}"/>
    <cellStyle name="Migliaia [0] 37 5 2" xfId="23177" xr:uid="{00000000-0005-0000-0000-000042700000}"/>
    <cellStyle name="Migliaia [0] 37 6" xfId="21328" xr:uid="{00000000-0005-0000-0000-000043700000}"/>
    <cellStyle name="Migliaia [0] 37 7" xfId="38119" xr:uid="{00000000-0005-0000-0000-000044700000}"/>
    <cellStyle name="Migliaia [0] 37 8" xfId="39081" xr:uid="{00000000-0005-0000-0000-000045700000}"/>
    <cellStyle name="Migliaia [0] 37 9" xfId="39481" xr:uid="{00000000-0005-0000-0000-000046700000}"/>
    <cellStyle name="Migliaia [0] 38" xfId="398" xr:uid="{00000000-0005-0000-0000-000047700000}"/>
    <cellStyle name="Migliaia [0] 38 10" xfId="39968" xr:uid="{00000000-0005-0000-0000-000048700000}"/>
    <cellStyle name="Migliaia [0] 38 2" xfId="11317" xr:uid="{00000000-0005-0000-0000-000049700000}"/>
    <cellStyle name="Migliaia [0] 38 2 2" xfId="20201" xr:uid="{00000000-0005-0000-0000-00004A700000}"/>
    <cellStyle name="Migliaia [0] 38 2 2 2" xfId="37711" xr:uid="{00000000-0005-0000-0000-00004B700000}"/>
    <cellStyle name="Migliaia [0] 38 2 3" xfId="38666" xr:uid="{00000000-0005-0000-0000-00004C700000}"/>
    <cellStyle name="Migliaia [0] 38 3" xfId="11998" xr:uid="{00000000-0005-0000-0000-00004D700000}"/>
    <cellStyle name="Migliaia [0] 38 3 2" xfId="30183" xr:uid="{00000000-0005-0000-0000-00004E700000}"/>
    <cellStyle name="Migliaia [0] 38 4" xfId="19201" xr:uid="{00000000-0005-0000-0000-00004F700000}"/>
    <cellStyle name="Migliaia [0] 38 4 2" xfId="37165" xr:uid="{00000000-0005-0000-0000-000050700000}"/>
    <cellStyle name="Migliaia [0] 38 5" xfId="3178" xr:uid="{00000000-0005-0000-0000-000051700000}"/>
    <cellStyle name="Migliaia [0] 38 5 2" xfId="23178" xr:uid="{00000000-0005-0000-0000-000052700000}"/>
    <cellStyle name="Migliaia [0] 38 6" xfId="21329" xr:uid="{00000000-0005-0000-0000-000053700000}"/>
    <cellStyle name="Migliaia [0] 38 7" xfId="38120" xr:uid="{00000000-0005-0000-0000-000054700000}"/>
    <cellStyle name="Migliaia [0] 38 8" xfId="39082" xr:uid="{00000000-0005-0000-0000-000055700000}"/>
    <cellStyle name="Migliaia [0] 38 9" xfId="39482" xr:uid="{00000000-0005-0000-0000-000056700000}"/>
    <cellStyle name="Migliaia [0] 39" xfId="399" xr:uid="{00000000-0005-0000-0000-000057700000}"/>
    <cellStyle name="Migliaia [0] 39 10" xfId="39969" xr:uid="{00000000-0005-0000-0000-000058700000}"/>
    <cellStyle name="Migliaia [0] 39 2" xfId="11318" xr:uid="{00000000-0005-0000-0000-000059700000}"/>
    <cellStyle name="Migliaia [0] 39 2 2" xfId="20202" xr:uid="{00000000-0005-0000-0000-00005A700000}"/>
    <cellStyle name="Migliaia [0] 39 2 2 2" xfId="37712" xr:uid="{00000000-0005-0000-0000-00005B700000}"/>
    <cellStyle name="Migliaia [0] 39 2 3" xfId="38667" xr:uid="{00000000-0005-0000-0000-00005C700000}"/>
    <cellStyle name="Migliaia [0] 39 3" xfId="11999" xr:uid="{00000000-0005-0000-0000-00005D700000}"/>
    <cellStyle name="Migliaia [0] 39 3 2" xfId="30184" xr:uid="{00000000-0005-0000-0000-00005E700000}"/>
    <cellStyle name="Migliaia [0] 39 4" xfId="19202" xr:uid="{00000000-0005-0000-0000-00005F700000}"/>
    <cellStyle name="Migliaia [0] 39 4 2" xfId="37166" xr:uid="{00000000-0005-0000-0000-000060700000}"/>
    <cellStyle name="Migliaia [0] 39 5" xfId="3179" xr:uid="{00000000-0005-0000-0000-000061700000}"/>
    <cellStyle name="Migliaia [0] 39 5 2" xfId="23179" xr:uid="{00000000-0005-0000-0000-000062700000}"/>
    <cellStyle name="Migliaia [0] 39 6" xfId="21330" xr:uid="{00000000-0005-0000-0000-000063700000}"/>
    <cellStyle name="Migliaia [0] 39 7" xfId="38121" xr:uid="{00000000-0005-0000-0000-000064700000}"/>
    <cellStyle name="Migliaia [0] 39 8" xfId="39083" xr:uid="{00000000-0005-0000-0000-000065700000}"/>
    <cellStyle name="Migliaia [0] 39 9" xfId="39483" xr:uid="{00000000-0005-0000-0000-000066700000}"/>
    <cellStyle name="Migliaia [0] 4" xfId="400" xr:uid="{00000000-0005-0000-0000-000067700000}"/>
    <cellStyle name="Migliaia [0] 4 10" xfId="39970" xr:uid="{00000000-0005-0000-0000-000068700000}"/>
    <cellStyle name="Migliaia [0] 4 2" xfId="11319" xr:uid="{00000000-0005-0000-0000-000069700000}"/>
    <cellStyle name="Migliaia [0] 4 2 2" xfId="20203" xr:uid="{00000000-0005-0000-0000-00006A700000}"/>
    <cellStyle name="Migliaia [0] 4 2 2 2" xfId="37713" xr:uid="{00000000-0005-0000-0000-00006B700000}"/>
    <cellStyle name="Migliaia [0] 4 2 3" xfId="38668" xr:uid="{00000000-0005-0000-0000-00006C700000}"/>
    <cellStyle name="Migliaia [0] 4 3" xfId="12000" xr:uid="{00000000-0005-0000-0000-00006D700000}"/>
    <cellStyle name="Migliaia [0] 4 3 2" xfId="30185" xr:uid="{00000000-0005-0000-0000-00006E700000}"/>
    <cellStyle name="Migliaia [0] 4 4" xfId="19203" xr:uid="{00000000-0005-0000-0000-00006F700000}"/>
    <cellStyle name="Migliaia [0] 4 4 2" xfId="37167" xr:uid="{00000000-0005-0000-0000-000070700000}"/>
    <cellStyle name="Migliaia [0] 4 5" xfId="3180" xr:uid="{00000000-0005-0000-0000-000071700000}"/>
    <cellStyle name="Migliaia [0] 4 5 2" xfId="23180" xr:uid="{00000000-0005-0000-0000-000072700000}"/>
    <cellStyle name="Migliaia [0] 4 6" xfId="21331" xr:uid="{00000000-0005-0000-0000-000073700000}"/>
    <cellStyle name="Migliaia [0] 4 7" xfId="38122" xr:uid="{00000000-0005-0000-0000-000074700000}"/>
    <cellStyle name="Migliaia [0] 4 8" xfId="39084" xr:uid="{00000000-0005-0000-0000-000075700000}"/>
    <cellStyle name="Migliaia [0] 4 9" xfId="39484" xr:uid="{00000000-0005-0000-0000-000076700000}"/>
    <cellStyle name="Migliaia [0] 40" xfId="401" xr:uid="{00000000-0005-0000-0000-000077700000}"/>
    <cellStyle name="Migliaia [0] 40 10" xfId="39971" xr:uid="{00000000-0005-0000-0000-000078700000}"/>
    <cellStyle name="Migliaia [0] 40 2" xfId="11320" xr:uid="{00000000-0005-0000-0000-000079700000}"/>
    <cellStyle name="Migliaia [0] 40 2 2" xfId="20204" xr:uid="{00000000-0005-0000-0000-00007A700000}"/>
    <cellStyle name="Migliaia [0] 40 2 2 2" xfId="37714" xr:uid="{00000000-0005-0000-0000-00007B700000}"/>
    <cellStyle name="Migliaia [0] 40 2 3" xfId="38669" xr:uid="{00000000-0005-0000-0000-00007C700000}"/>
    <cellStyle name="Migliaia [0] 40 3" xfId="12001" xr:uid="{00000000-0005-0000-0000-00007D700000}"/>
    <cellStyle name="Migliaia [0] 40 3 2" xfId="30186" xr:uid="{00000000-0005-0000-0000-00007E700000}"/>
    <cellStyle name="Migliaia [0] 40 4" xfId="19204" xr:uid="{00000000-0005-0000-0000-00007F700000}"/>
    <cellStyle name="Migliaia [0] 40 4 2" xfId="37168" xr:uid="{00000000-0005-0000-0000-000080700000}"/>
    <cellStyle name="Migliaia [0] 40 5" xfId="3181" xr:uid="{00000000-0005-0000-0000-000081700000}"/>
    <cellStyle name="Migliaia [0] 40 5 2" xfId="23181" xr:uid="{00000000-0005-0000-0000-000082700000}"/>
    <cellStyle name="Migliaia [0] 40 6" xfId="21332" xr:uid="{00000000-0005-0000-0000-000083700000}"/>
    <cellStyle name="Migliaia [0] 40 7" xfId="38123" xr:uid="{00000000-0005-0000-0000-000084700000}"/>
    <cellStyle name="Migliaia [0] 40 8" xfId="39085" xr:uid="{00000000-0005-0000-0000-000085700000}"/>
    <cellStyle name="Migliaia [0] 40 9" xfId="39485" xr:uid="{00000000-0005-0000-0000-000086700000}"/>
    <cellStyle name="Migliaia [0] 41" xfId="402" xr:uid="{00000000-0005-0000-0000-000087700000}"/>
    <cellStyle name="Migliaia [0] 41 10" xfId="39972" xr:uid="{00000000-0005-0000-0000-000088700000}"/>
    <cellStyle name="Migliaia [0] 41 2" xfId="11321" xr:uid="{00000000-0005-0000-0000-000089700000}"/>
    <cellStyle name="Migliaia [0] 41 2 2" xfId="20205" xr:uid="{00000000-0005-0000-0000-00008A700000}"/>
    <cellStyle name="Migliaia [0] 41 2 2 2" xfId="37715" xr:uid="{00000000-0005-0000-0000-00008B700000}"/>
    <cellStyle name="Migliaia [0] 41 2 3" xfId="38670" xr:uid="{00000000-0005-0000-0000-00008C700000}"/>
    <cellStyle name="Migliaia [0] 41 3" xfId="12002" xr:uid="{00000000-0005-0000-0000-00008D700000}"/>
    <cellStyle name="Migliaia [0] 41 3 2" xfId="30187" xr:uid="{00000000-0005-0000-0000-00008E700000}"/>
    <cellStyle name="Migliaia [0] 41 4" xfId="19205" xr:uid="{00000000-0005-0000-0000-00008F700000}"/>
    <cellStyle name="Migliaia [0] 41 4 2" xfId="37169" xr:uid="{00000000-0005-0000-0000-000090700000}"/>
    <cellStyle name="Migliaia [0] 41 5" xfId="3182" xr:uid="{00000000-0005-0000-0000-000091700000}"/>
    <cellStyle name="Migliaia [0] 41 5 2" xfId="23182" xr:uid="{00000000-0005-0000-0000-000092700000}"/>
    <cellStyle name="Migliaia [0] 41 6" xfId="21333" xr:uid="{00000000-0005-0000-0000-000093700000}"/>
    <cellStyle name="Migliaia [0] 41 7" xfId="38124" xr:uid="{00000000-0005-0000-0000-000094700000}"/>
    <cellStyle name="Migliaia [0] 41 8" xfId="39086" xr:uid="{00000000-0005-0000-0000-000095700000}"/>
    <cellStyle name="Migliaia [0] 41 9" xfId="39486" xr:uid="{00000000-0005-0000-0000-000096700000}"/>
    <cellStyle name="Migliaia [0] 42" xfId="403" xr:uid="{00000000-0005-0000-0000-000097700000}"/>
    <cellStyle name="Migliaia [0] 42 10" xfId="39973" xr:uid="{00000000-0005-0000-0000-000098700000}"/>
    <cellStyle name="Migliaia [0] 42 2" xfId="11322" xr:uid="{00000000-0005-0000-0000-000099700000}"/>
    <cellStyle name="Migliaia [0] 42 2 2" xfId="20206" xr:uid="{00000000-0005-0000-0000-00009A700000}"/>
    <cellStyle name="Migliaia [0] 42 2 2 2" xfId="37716" xr:uid="{00000000-0005-0000-0000-00009B700000}"/>
    <cellStyle name="Migliaia [0] 42 2 3" xfId="38671" xr:uid="{00000000-0005-0000-0000-00009C700000}"/>
    <cellStyle name="Migliaia [0] 42 3" xfId="12003" xr:uid="{00000000-0005-0000-0000-00009D700000}"/>
    <cellStyle name="Migliaia [0] 42 3 2" xfId="30188" xr:uid="{00000000-0005-0000-0000-00009E700000}"/>
    <cellStyle name="Migliaia [0] 42 4" xfId="19206" xr:uid="{00000000-0005-0000-0000-00009F700000}"/>
    <cellStyle name="Migliaia [0] 42 4 2" xfId="37170" xr:uid="{00000000-0005-0000-0000-0000A0700000}"/>
    <cellStyle name="Migliaia [0] 42 5" xfId="3183" xr:uid="{00000000-0005-0000-0000-0000A1700000}"/>
    <cellStyle name="Migliaia [0] 42 5 2" xfId="23183" xr:uid="{00000000-0005-0000-0000-0000A2700000}"/>
    <cellStyle name="Migliaia [0] 42 6" xfId="21334" xr:uid="{00000000-0005-0000-0000-0000A3700000}"/>
    <cellStyle name="Migliaia [0] 42 7" xfId="38125" xr:uid="{00000000-0005-0000-0000-0000A4700000}"/>
    <cellStyle name="Migliaia [0] 42 8" xfId="39087" xr:uid="{00000000-0005-0000-0000-0000A5700000}"/>
    <cellStyle name="Migliaia [0] 42 9" xfId="39487" xr:uid="{00000000-0005-0000-0000-0000A6700000}"/>
    <cellStyle name="Migliaia [0] 43" xfId="404" xr:uid="{00000000-0005-0000-0000-0000A7700000}"/>
    <cellStyle name="Migliaia [0] 43 10" xfId="39974" xr:uid="{00000000-0005-0000-0000-0000A8700000}"/>
    <cellStyle name="Migliaia [0] 43 2" xfId="11323" xr:uid="{00000000-0005-0000-0000-0000A9700000}"/>
    <cellStyle name="Migliaia [0] 43 2 2" xfId="20207" xr:uid="{00000000-0005-0000-0000-0000AA700000}"/>
    <cellStyle name="Migliaia [0] 43 2 2 2" xfId="37717" xr:uid="{00000000-0005-0000-0000-0000AB700000}"/>
    <cellStyle name="Migliaia [0] 43 2 3" xfId="38672" xr:uid="{00000000-0005-0000-0000-0000AC700000}"/>
    <cellStyle name="Migliaia [0] 43 3" xfId="12004" xr:uid="{00000000-0005-0000-0000-0000AD700000}"/>
    <cellStyle name="Migliaia [0] 43 3 2" xfId="30189" xr:uid="{00000000-0005-0000-0000-0000AE700000}"/>
    <cellStyle name="Migliaia [0] 43 4" xfId="19207" xr:uid="{00000000-0005-0000-0000-0000AF700000}"/>
    <cellStyle name="Migliaia [0] 43 4 2" xfId="37171" xr:uid="{00000000-0005-0000-0000-0000B0700000}"/>
    <cellStyle name="Migliaia [0] 43 5" xfId="3184" xr:uid="{00000000-0005-0000-0000-0000B1700000}"/>
    <cellStyle name="Migliaia [0] 43 5 2" xfId="23184" xr:uid="{00000000-0005-0000-0000-0000B2700000}"/>
    <cellStyle name="Migliaia [0] 43 6" xfId="21335" xr:uid="{00000000-0005-0000-0000-0000B3700000}"/>
    <cellStyle name="Migliaia [0] 43 7" xfId="38126" xr:uid="{00000000-0005-0000-0000-0000B4700000}"/>
    <cellStyle name="Migliaia [0] 43 8" xfId="39088" xr:uid="{00000000-0005-0000-0000-0000B5700000}"/>
    <cellStyle name="Migliaia [0] 43 9" xfId="39488" xr:uid="{00000000-0005-0000-0000-0000B6700000}"/>
    <cellStyle name="Migliaia [0] 44" xfId="405" xr:uid="{00000000-0005-0000-0000-0000B7700000}"/>
    <cellStyle name="Migliaia [0] 44 10" xfId="39975" xr:uid="{00000000-0005-0000-0000-0000B8700000}"/>
    <cellStyle name="Migliaia [0] 44 2" xfId="11324" xr:uid="{00000000-0005-0000-0000-0000B9700000}"/>
    <cellStyle name="Migliaia [0] 44 2 2" xfId="20208" xr:uid="{00000000-0005-0000-0000-0000BA700000}"/>
    <cellStyle name="Migliaia [0] 44 2 2 2" xfId="37718" xr:uid="{00000000-0005-0000-0000-0000BB700000}"/>
    <cellStyle name="Migliaia [0] 44 2 3" xfId="38673" xr:uid="{00000000-0005-0000-0000-0000BC700000}"/>
    <cellStyle name="Migliaia [0] 44 3" xfId="12005" xr:uid="{00000000-0005-0000-0000-0000BD700000}"/>
    <cellStyle name="Migliaia [0] 44 3 2" xfId="30190" xr:uid="{00000000-0005-0000-0000-0000BE700000}"/>
    <cellStyle name="Migliaia [0] 44 4" xfId="19208" xr:uid="{00000000-0005-0000-0000-0000BF700000}"/>
    <cellStyle name="Migliaia [0] 44 4 2" xfId="37172" xr:uid="{00000000-0005-0000-0000-0000C0700000}"/>
    <cellStyle name="Migliaia [0] 44 5" xfId="3185" xr:uid="{00000000-0005-0000-0000-0000C1700000}"/>
    <cellStyle name="Migliaia [0] 44 5 2" xfId="23185" xr:uid="{00000000-0005-0000-0000-0000C2700000}"/>
    <cellStyle name="Migliaia [0] 44 6" xfId="21336" xr:uid="{00000000-0005-0000-0000-0000C3700000}"/>
    <cellStyle name="Migliaia [0] 44 7" xfId="38127" xr:uid="{00000000-0005-0000-0000-0000C4700000}"/>
    <cellStyle name="Migliaia [0] 44 8" xfId="39089" xr:uid="{00000000-0005-0000-0000-0000C5700000}"/>
    <cellStyle name="Migliaia [0] 44 9" xfId="39489" xr:uid="{00000000-0005-0000-0000-0000C6700000}"/>
    <cellStyle name="Migliaia [0] 45" xfId="406" xr:uid="{00000000-0005-0000-0000-0000C7700000}"/>
    <cellStyle name="Migliaia [0] 45 10" xfId="39976" xr:uid="{00000000-0005-0000-0000-0000C8700000}"/>
    <cellStyle name="Migliaia [0] 45 2" xfId="11325" xr:uid="{00000000-0005-0000-0000-0000C9700000}"/>
    <cellStyle name="Migliaia [0] 45 2 2" xfId="20209" xr:uid="{00000000-0005-0000-0000-0000CA700000}"/>
    <cellStyle name="Migliaia [0] 45 2 2 2" xfId="37719" xr:uid="{00000000-0005-0000-0000-0000CB700000}"/>
    <cellStyle name="Migliaia [0] 45 2 3" xfId="38674" xr:uid="{00000000-0005-0000-0000-0000CC700000}"/>
    <cellStyle name="Migliaia [0] 45 3" xfId="12006" xr:uid="{00000000-0005-0000-0000-0000CD700000}"/>
    <cellStyle name="Migliaia [0] 45 3 2" xfId="30191" xr:uid="{00000000-0005-0000-0000-0000CE700000}"/>
    <cellStyle name="Migliaia [0] 45 4" xfId="19209" xr:uid="{00000000-0005-0000-0000-0000CF700000}"/>
    <cellStyle name="Migliaia [0] 45 4 2" xfId="37173" xr:uid="{00000000-0005-0000-0000-0000D0700000}"/>
    <cellStyle name="Migliaia [0] 45 5" xfId="3186" xr:uid="{00000000-0005-0000-0000-0000D1700000}"/>
    <cellStyle name="Migliaia [0] 45 5 2" xfId="23186" xr:uid="{00000000-0005-0000-0000-0000D2700000}"/>
    <cellStyle name="Migliaia [0] 45 6" xfId="21337" xr:uid="{00000000-0005-0000-0000-0000D3700000}"/>
    <cellStyle name="Migliaia [0] 45 7" xfId="38128" xr:uid="{00000000-0005-0000-0000-0000D4700000}"/>
    <cellStyle name="Migliaia [0] 45 8" xfId="39090" xr:uid="{00000000-0005-0000-0000-0000D5700000}"/>
    <cellStyle name="Migliaia [0] 45 9" xfId="39490" xr:uid="{00000000-0005-0000-0000-0000D6700000}"/>
    <cellStyle name="Migliaia [0] 46" xfId="407" xr:uid="{00000000-0005-0000-0000-0000D7700000}"/>
    <cellStyle name="Migliaia [0] 46 10" xfId="39977" xr:uid="{00000000-0005-0000-0000-0000D8700000}"/>
    <cellStyle name="Migliaia [0] 46 2" xfId="11326" xr:uid="{00000000-0005-0000-0000-0000D9700000}"/>
    <cellStyle name="Migliaia [0] 46 2 2" xfId="20210" xr:uid="{00000000-0005-0000-0000-0000DA700000}"/>
    <cellStyle name="Migliaia [0] 46 2 2 2" xfId="37720" xr:uid="{00000000-0005-0000-0000-0000DB700000}"/>
    <cellStyle name="Migliaia [0] 46 2 3" xfId="38675" xr:uid="{00000000-0005-0000-0000-0000DC700000}"/>
    <cellStyle name="Migliaia [0] 46 3" xfId="12007" xr:uid="{00000000-0005-0000-0000-0000DD700000}"/>
    <cellStyle name="Migliaia [0] 46 3 2" xfId="30192" xr:uid="{00000000-0005-0000-0000-0000DE700000}"/>
    <cellStyle name="Migliaia [0] 46 4" xfId="19210" xr:uid="{00000000-0005-0000-0000-0000DF700000}"/>
    <cellStyle name="Migliaia [0] 46 4 2" xfId="37174" xr:uid="{00000000-0005-0000-0000-0000E0700000}"/>
    <cellStyle name="Migliaia [0] 46 5" xfId="3187" xr:uid="{00000000-0005-0000-0000-0000E1700000}"/>
    <cellStyle name="Migliaia [0] 46 5 2" xfId="23187" xr:uid="{00000000-0005-0000-0000-0000E2700000}"/>
    <cellStyle name="Migliaia [0] 46 6" xfId="21338" xr:uid="{00000000-0005-0000-0000-0000E3700000}"/>
    <cellStyle name="Migliaia [0] 46 7" xfId="38129" xr:uid="{00000000-0005-0000-0000-0000E4700000}"/>
    <cellStyle name="Migliaia [0] 46 8" xfId="39091" xr:uid="{00000000-0005-0000-0000-0000E5700000}"/>
    <cellStyle name="Migliaia [0] 46 9" xfId="39491" xr:uid="{00000000-0005-0000-0000-0000E6700000}"/>
    <cellStyle name="Migliaia [0] 47" xfId="408" xr:uid="{00000000-0005-0000-0000-0000E7700000}"/>
    <cellStyle name="Migliaia [0] 47 10" xfId="39978" xr:uid="{00000000-0005-0000-0000-0000E8700000}"/>
    <cellStyle name="Migliaia [0] 47 2" xfId="11327" xr:uid="{00000000-0005-0000-0000-0000E9700000}"/>
    <cellStyle name="Migliaia [0] 47 2 2" xfId="20211" xr:uid="{00000000-0005-0000-0000-0000EA700000}"/>
    <cellStyle name="Migliaia [0] 47 2 2 2" xfId="37721" xr:uid="{00000000-0005-0000-0000-0000EB700000}"/>
    <cellStyle name="Migliaia [0] 47 2 3" xfId="38676" xr:uid="{00000000-0005-0000-0000-0000EC700000}"/>
    <cellStyle name="Migliaia [0] 47 3" xfId="12008" xr:uid="{00000000-0005-0000-0000-0000ED700000}"/>
    <cellStyle name="Migliaia [0] 47 3 2" xfId="30193" xr:uid="{00000000-0005-0000-0000-0000EE700000}"/>
    <cellStyle name="Migliaia [0] 47 4" xfId="19211" xr:uid="{00000000-0005-0000-0000-0000EF700000}"/>
    <cellStyle name="Migliaia [0] 47 4 2" xfId="37175" xr:uid="{00000000-0005-0000-0000-0000F0700000}"/>
    <cellStyle name="Migliaia [0] 47 5" xfId="3188" xr:uid="{00000000-0005-0000-0000-0000F1700000}"/>
    <cellStyle name="Migliaia [0] 47 5 2" xfId="23188" xr:uid="{00000000-0005-0000-0000-0000F2700000}"/>
    <cellStyle name="Migliaia [0] 47 6" xfId="21339" xr:uid="{00000000-0005-0000-0000-0000F3700000}"/>
    <cellStyle name="Migliaia [0] 47 7" xfId="38130" xr:uid="{00000000-0005-0000-0000-0000F4700000}"/>
    <cellStyle name="Migliaia [0] 47 8" xfId="39092" xr:uid="{00000000-0005-0000-0000-0000F5700000}"/>
    <cellStyle name="Migliaia [0] 47 9" xfId="39492" xr:uid="{00000000-0005-0000-0000-0000F6700000}"/>
    <cellStyle name="Migliaia [0] 48" xfId="409" xr:uid="{00000000-0005-0000-0000-0000F7700000}"/>
    <cellStyle name="Migliaia [0] 48 10" xfId="39979" xr:uid="{00000000-0005-0000-0000-0000F8700000}"/>
    <cellStyle name="Migliaia [0] 48 2" xfId="11328" xr:uid="{00000000-0005-0000-0000-0000F9700000}"/>
    <cellStyle name="Migliaia [0] 48 2 2" xfId="20212" xr:uid="{00000000-0005-0000-0000-0000FA700000}"/>
    <cellStyle name="Migliaia [0] 48 2 2 2" xfId="37722" xr:uid="{00000000-0005-0000-0000-0000FB700000}"/>
    <cellStyle name="Migliaia [0] 48 2 3" xfId="38677" xr:uid="{00000000-0005-0000-0000-0000FC700000}"/>
    <cellStyle name="Migliaia [0] 48 3" xfId="12009" xr:uid="{00000000-0005-0000-0000-0000FD700000}"/>
    <cellStyle name="Migliaia [0] 48 3 2" xfId="30194" xr:uid="{00000000-0005-0000-0000-0000FE700000}"/>
    <cellStyle name="Migliaia [0] 48 4" xfId="19212" xr:uid="{00000000-0005-0000-0000-0000FF700000}"/>
    <cellStyle name="Migliaia [0] 48 4 2" xfId="37176" xr:uid="{00000000-0005-0000-0000-000000710000}"/>
    <cellStyle name="Migliaia [0] 48 5" xfId="3189" xr:uid="{00000000-0005-0000-0000-000001710000}"/>
    <cellStyle name="Migliaia [0] 48 5 2" xfId="23189" xr:uid="{00000000-0005-0000-0000-000002710000}"/>
    <cellStyle name="Migliaia [0] 48 6" xfId="21340" xr:uid="{00000000-0005-0000-0000-000003710000}"/>
    <cellStyle name="Migliaia [0] 48 7" xfId="38131" xr:uid="{00000000-0005-0000-0000-000004710000}"/>
    <cellStyle name="Migliaia [0] 48 8" xfId="39093" xr:uid="{00000000-0005-0000-0000-000005710000}"/>
    <cellStyle name="Migliaia [0] 48 9" xfId="39493" xr:uid="{00000000-0005-0000-0000-000006710000}"/>
    <cellStyle name="Migliaia [0] 49" xfId="410" xr:uid="{00000000-0005-0000-0000-000007710000}"/>
    <cellStyle name="Migliaia [0] 49 10" xfId="39980" xr:uid="{00000000-0005-0000-0000-000008710000}"/>
    <cellStyle name="Migliaia [0] 49 2" xfId="11329" xr:uid="{00000000-0005-0000-0000-000009710000}"/>
    <cellStyle name="Migliaia [0] 49 2 2" xfId="20213" xr:uid="{00000000-0005-0000-0000-00000A710000}"/>
    <cellStyle name="Migliaia [0] 49 2 2 2" xfId="37723" xr:uid="{00000000-0005-0000-0000-00000B710000}"/>
    <cellStyle name="Migliaia [0] 49 2 3" xfId="38678" xr:uid="{00000000-0005-0000-0000-00000C710000}"/>
    <cellStyle name="Migliaia [0] 49 3" xfId="12010" xr:uid="{00000000-0005-0000-0000-00000D710000}"/>
    <cellStyle name="Migliaia [0] 49 3 2" xfId="30195" xr:uid="{00000000-0005-0000-0000-00000E710000}"/>
    <cellStyle name="Migliaia [0] 49 4" xfId="19213" xr:uid="{00000000-0005-0000-0000-00000F710000}"/>
    <cellStyle name="Migliaia [0] 49 4 2" xfId="37177" xr:uid="{00000000-0005-0000-0000-000010710000}"/>
    <cellStyle name="Migliaia [0] 49 5" xfId="3190" xr:uid="{00000000-0005-0000-0000-000011710000}"/>
    <cellStyle name="Migliaia [0] 49 5 2" xfId="23190" xr:uid="{00000000-0005-0000-0000-000012710000}"/>
    <cellStyle name="Migliaia [0] 49 6" xfId="21341" xr:uid="{00000000-0005-0000-0000-000013710000}"/>
    <cellStyle name="Migliaia [0] 49 7" xfId="38132" xr:uid="{00000000-0005-0000-0000-000014710000}"/>
    <cellStyle name="Migliaia [0] 49 8" xfId="39094" xr:uid="{00000000-0005-0000-0000-000015710000}"/>
    <cellStyle name="Migliaia [0] 49 9" xfId="39494" xr:uid="{00000000-0005-0000-0000-000016710000}"/>
    <cellStyle name="Migliaia [0] 5" xfId="411" xr:uid="{00000000-0005-0000-0000-000017710000}"/>
    <cellStyle name="Migliaia [0] 5 10" xfId="39981" xr:uid="{00000000-0005-0000-0000-000018710000}"/>
    <cellStyle name="Migliaia [0] 5 2" xfId="11330" xr:uid="{00000000-0005-0000-0000-000019710000}"/>
    <cellStyle name="Migliaia [0] 5 2 2" xfId="20214" xr:uid="{00000000-0005-0000-0000-00001A710000}"/>
    <cellStyle name="Migliaia [0] 5 2 2 2" xfId="37724" xr:uid="{00000000-0005-0000-0000-00001B710000}"/>
    <cellStyle name="Migliaia [0] 5 2 3" xfId="38679" xr:uid="{00000000-0005-0000-0000-00001C710000}"/>
    <cellStyle name="Migliaia [0] 5 3" xfId="12011" xr:uid="{00000000-0005-0000-0000-00001D710000}"/>
    <cellStyle name="Migliaia [0] 5 3 2" xfId="30196" xr:uid="{00000000-0005-0000-0000-00001E710000}"/>
    <cellStyle name="Migliaia [0] 5 4" xfId="19214" xr:uid="{00000000-0005-0000-0000-00001F710000}"/>
    <cellStyle name="Migliaia [0] 5 4 2" xfId="37178" xr:uid="{00000000-0005-0000-0000-000020710000}"/>
    <cellStyle name="Migliaia [0] 5 5" xfId="3191" xr:uid="{00000000-0005-0000-0000-000021710000}"/>
    <cellStyle name="Migliaia [0] 5 5 2" xfId="23191" xr:uid="{00000000-0005-0000-0000-000022710000}"/>
    <cellStyle name="Migliaia [0] 5 6" xfId="21342" xr:uid="{00000000-0005-0000-0000-000023710000}"/>
    <cellStyle name="Migliaia [0] 5 7" xfId="38133" xr:uid="{00000000-0005-0000-0000-000024710000}"/>
    <cellStyle name="Migliaia [0] 5 8" xfId="39095" xr:uid="{00000000-0005-0000-0000-000025710000}"/>
    <cellStyle name="Migliaia [0] 5 9" xfId="39495" xr:uid="{00000000-0005-0000-0000-000026710000}"/>
    <cellStyle name="Migliaia [0] 50" xfId="412" xr:uid="{00000000-0005-0000-0000-000027710000}"/>
    <cellStyle name="Migliaia [0] 50 10" xfId="39982" xr:uid="{00000000-0005-0000-0000-000028710000}"/>
    <cellStyle name="Migliaia [0] 50 2" xfId="11331" xr:uid="{00000000-0005-0000-0000-000029710000}"/>
    <cellStyle name="Migliaia [0] 50 2 2" xfId="20215" xr:uid="{00000000-0005-0000-0000-00002A710000}"/>
    <cellStyle name="Migliaia [0] 50 2 2 2" xfId="37725" xr:uid="{00000000-0005-0000-0000-00002B710000}"/>
    <cellStyle name="Migliaia [0] 50 2 3" xfId="38680" xr:uid="{00000000-0005-0000-0000-00002C710000}"/>
    <cellStyle name="Migliaia [0] 50 3" xfId="12012" xr:uid="{00000000-0005-0000-0000-00002D710000}"/>
    <cellStyle name="Migliaia [0] 50 3 2" xfId="30197" xr:uid="{00000000-0005-0000-0000-00002E710000}"/>
    <cellStyle name="Migliaia [0] 50 4" xfId="19215" xr:uid="{00000000-0005-0000-0000-00002F710000}"/>
    <cellStyle name="Migliaia [0] 50 4 2" xfId="37179" xr:uid="{00000000-0005-0000-0000-000030710000}"/>
    <cellStyle name="Migliaia [0] 50 5" xfId="3192" xr:uid="{00000000-0005-0000-0000-000031710000}"/>
    <cellStyle name="Migliaia [0] 50 5 2" xfId="23192" xr:uid="{00000000-0005-0000-0000-000032710000}"/>
    <cellStyle name="Migliaia [0] 50 6" xfId="21343" xr:uid="{00000000-0005-0000-0000-000033710000}"/>
    <cellStyle name="Migliaia [0] 50 7" xfId="38134" xr:uid="{00000000-0005-0000-0000-000034710000}"/>
    <cellStyle name="Migliaia [0] 50 8" xfId="39096" xr:uid="{00000000-0005-0000-0000-000035710000}"/>
    <cellStyle name="Migliaia [0] 50 9" xfId="39496" xr:uid="{00000000-0005-0000-0000-000036710000}"/>
    <cellStyle name="Migliaia [0] 51" xfId="413" xr:uid="{00000000-0005-0000-0000-000037710000}"/>
    <cellStyle name="Migliaia [0] 51 10" xfId="39983" xr:uid="{00000000-0005-0000-0000-000038710000}"/>
    <cellStyle name="Migliaia [0] 51 2" xfId="11332" xr:uid="{00000000-0005-0000-0000-000039710000}"/>
    <cellStyle name="Migliaia [0] 51 2 2" xfId="20216" xr:uid="{00000000-0005-0000-0000-00003A710000}"/>
    <cellStyle name="Migliaia [0] 51 2 2 2" xfId="37726" xr:uid="{00000000-0005-0000-0000-00003B710000}"/>
    <cellStyle name="Migliaia [0] 51 2 3" xfId="38681" xr:uid="{00000000-0005-0000-0000-00003C710000}"/>
    <cellStyle name="Migliaia [0] 51 3" xfId="12013" xr:uid="{00000000-0005-0000-0000-00003D710000}"/>
    <cellStyle name="Migliaia [0] 51 3 2" xfId="30198" xr:uid="{00000000-0005-0000-0000-00003E710000}"/>
    <cellStyle name="Migliaia [0] 51 4" xfId="19216" xr:uid="{00000000-0005-0000-0000-00003F710000}"/>
    <cellStyle name="Migliaia [0] 51 4 2" xfId="37180" xr:uid="{00000000-0005-0000-0000-000040710000}"/>
    <cellStyle name="Migliaia [0] 51 5" xfId="3193" xr:uid="{00000000-0005-0000-0000-000041710000}"/>
    <cellStyle name="Migliaia [0] 51 5 2" xfId="23193" xr:uid="{00000000-0005-0000-0000-000042710000}"/>
    <cellStyle name="Migliaia [0] 51 6" xfId="21344" xr:uid="{00000000-0005-0000-0000-000043710000}"/>
    <cellStyle name="Migliaia [0] 51 7" xfId="38135" xr:uid="{00000000-0005-0000-0000-000044710000}"/>
    <cellStyle name="Migliaia [0] 51 8" xfId="39097" xr:uid="{00000000-0005-0000-0000-000045710000}"/>
    <cellStyle name="Migliaia [0] 51 9" xfId="39497" xr:uid="{00000000-0005-0000-0000-000046710000}"/>
    <cellStyle name="Migliaia [0] 52" xfId="414" xr:uid="{00000000-0005-0000-0000-000047710000}"/>
    <cellStyle name="Migliaia [0] 52 10" xfId="39984" xr:uid="{00000000-0005-0000-0000-000048710000}"/>
    <cellStyle name="Migliaia [0] 52 2" xfId="11333" xr:uid="{00000000-0005-0000-0000-000049710000}"/>
    <cellStyle name="Migliaia [0] 52 2 2" xfId="20217" xr:uid="{00000000-0005-0000-0000-00004A710000}"/>
    <cellStyle name="Migliaia [0] 52 2 2 2" xfId="37727" xr:uid="{00000000-0005-0000-0000-00004B710000}"/>
    <cellStyle name="Migliaia [0] 52 2 3" xfId="38682" xr:uid="{00000000-0005-0000-0000-00004C710000}"/>
    <cellStyle name="Migliaia [0] 52 3" xfId="12014" xr:uid="{00000000-0005-0000-0000-00004D710000}"/>
    <cellStyle name="Migliaia [0] 52 3 2" xfId="30199" xr:uid="{00000000-0005-0000-0000-00004E710000}"/>
    <cellStyle name="Migliaia [0] 52 4" xfId="19217" xr:uid="{00000000-0005-0000-0000-00004F710000}"/>
    <cellStyle name="Migliaia [0] 52 4 2" xfId="37181" xr:uid="{00000000-0005-0000-0000-000050710000}"/>
    <cellStyle name="Migliaia [0] 52 5" xfId="3194" xr:uid="{00000000-0005-0000-0000-000051710000}"/>
    <cellStyle name="Migliaia [0] 52 5 2" xfId="23194" xr:uid="{00000000-0005-0000-0000-000052710000}"/>
    <cellStyle name="Migliaia [0] 52 6" xfId="21345" xr:uid="{00000000-0005-0000-0000-000053710000}"/>
    <cellStyle name="Migliaia [0] 52 7" xfId="38136" xr:uid="{00000000-0005-0000-0000-000054710000}"/>
    <cellStyle name="Migliaia [0] 52 8" xfId="39098" xr:uid="{00000000-0005-0000-0000-000055710000}"/>
    <cellStyle name="Migliaia [0] 52 9" xfId="39498" xr:uid="{00000000-0005-0000-0000-000056710000}"/>
    <cellStyle name="Migliaia [0] 53" xfId="415" xr:uid="{00000000-0005-0000-0000-000057710000}"/>
    <cellStyle name="Migliaia [0] 53 10" xfId="39985" xr:uid="{00000000-0005-0000-0000-000058710000}"/>
    <cellStyle name="Migliaia [0] 53 2" xfId="11334" xr:uid="{00000000-0005-0000-0000-000059710000}"/>
    <cellStyle name="Migliaia [0] 53 2 2" xfId="20218" xr:uid="{00000000-0005-0000-0000-00005A710000}"/>
    <cellStyle name="Migliaia [0] 53 2 2 2" xfId="37728" xr:uid="{00000000-0005-0000-0000-00005B710000}"/>
    <cellStyle name="Migliaia [0] 53 2 3" xfId="38683" xr:uid="{00000000-0005-0000-0000-00005C710000}"/>
    <cellStyle name="Migliaia [0] 53 3" xfId="12015" xr:uid="{00000000-0005-0000-0000-00005D710000}"/>
    <cellStyle name="Migliaia [0] 53 3 2" xfId="30200" xr:uid="{00000000-0005-0000-0000-00005E710000}"/>
    <cellStyle name="Migliaia [0] 53 4" xfId="19218" xr:uid="{00000000-0005-0000-0000-00005F710000}"/>
    <cellStyle name="Migliaia [0] 53 4 2" xfId="37182" xr:uid="{00000000-0005-0000-0000-000060710000}"/>
    <cellStyle name="Migliaia [0] 53 5" xfId="3195" xr:uid="{00000000-0005-0000-0000-000061710000}"/>
    <cellStyle name="Migliaia [0] 53 5 2" xfId="23195" xr:uid="{00000000-0005-0000-0000-000062710000}"/>
    <cellStyle name="Migliaia [0] 53 6" xfId="21346" xr:uid="{00000000-0005-0000-0000-000063710000}"/>
    <cellStyle name="Migliaia [0] 53 7" xfId="38137" xr:uid="{00000000-0005-0000-0000-000064710000}"/>
    <cellStyle name="Migliaia [0] 53 8" xfId="39099" xr:uid="{00000000-0005-0000-0000-000065710000}"/>
    <cellStyle name="Migliaia [0] 53 9" xfId="39499" xr:uid="{00000000-0005-0000-0000-000066710000}"/>
    <cellStyle name="Migliaia [0] 54" xfId="416" xr:uid="{00000000-0005-0000-0000-000067710000}"/>
    <cellStyle name="Migliaia [0] 54 10" xfId="39986" xr:uid="{00000000-0005-0000-0000-000068710000}"/>
    <cellStyle name="Migliaia [0] 54 2" xfId="11335" xr:uid="{00000000-0005-0000-0000-000069710000}"/>
    <cellStyle name="Migliaia [0] 54 2 2" xfId="20219" xr:uid="{00000000-0005-0000-0000-00006A710000}"/>
    <cellStyle name="Migliaia [0] 54 2 2 2" xfId="37729" xr:uid="{00000000-0005-0000-0000-00006B710000}"/>
    <cellStyle name="Migliaia [0] 54 2 3" xfId="38684" xr:uid="{00000000-0005-0000-0000-00006C710000}"/>
    <cellStyle name="Migliaia [0] 54 3" xfId="12016" xr:uid="{00000000-0005-0000-0000-00006D710000}"/>
    <cellStyle name="Migliaia [0] 54 3 2" xfId="30201" xr:uid="{00000000-0005-0000-0000-00006E710000}"/>
    <cellStyle name="Migliaia [0] 54 4" xfId="19219" xr:uid="{00000000-0005-0000-0000-00006F710000}"/>
    <cellStyle name="Migliaia [0] 54 4 2" xfId="37183" xr:uid="{00000000-0005-0000-0000-000070710000}"/>
    <cellStyle name="Migliaia [0] 54 5" xfId="3196" xr:uid="{00000000-0005-0000-0000-000071710000}"/>
    <cellStyle name="Migliaia [0] 54 5 2" xfId="23196" xr:uid="{00000000-0005-0000-0000-000072710000}"/>
    <cellStyle name="Migliaia [0] 54 6" xfId="21347" xr:uid="{00000000-0005-0000-0000-000073710000}"/>
    <cellStyle name="Migliaia [0] 54 7" xfId="38138" xr:uid="{00000000-0005-0000-0000-000074710000}"/>
    <cellStyle name="Migliaia [0] 54 8" xfId="39100" xr:uid="{00000000-0005-0000-0000-000075710000}"/>
    <cellStyle name="Migliaia [0] 54 9" xfId="39500" xr:uid="{00000000-0005-0000-0000-000076710000}"/>
    <cellStyle name="Migliaia [0] 55" xfId="417" xr:uid="{00000000-0005-0000-0000-000077710000}"/>
    <cellStyle name="Migliaia [0] 55 10" xfId="39987" xr:uid="{00000000-0005-0000-0000-000078710000}"/>
    <cellStyle name="Migliaia [0] 55 2" xfId="11336" xr:uid="{00000000-0005-0000-0000-000079710000}"/>
    <cellStyle name="Migliaia [0] 55 2 2" xfId="20220" xr:uid="{00000000-0005-0000-0000-00007A710000}"/>
    <cellStyle name="Migliaia [0] 55 2 2 2" xfId="37730" xr:uid="{00000000-0005-0000-0000-00007B710000}"/>
    <cellStyle name="Migliaia [0] 55 2 3" xfId="38685" xr:uid="{00000000-0005-0000-0000-00007C710000}"/>
    <cellStyle name="Migliaia [0] 55 3" xfId="12017" xr:uid="{00000000-0005-0000-0000-00007D710000}"/>
    <cellStyle name="Migliaia [0] 55 3 2" xfId="30202" xr:uid="{00000000-0005-0000-0000-00007E710000}"/>
    <cellStyle name="Migliaia [0] 55 4" xfId="19220" xr:uid="{00000000-0005-0000-0000-00007F710000}"/>
    <cellStyle name="Migliaia [0] 55 4 2" xfId="37184" xr:uid="{00000000-0005-0000-0000-000080710000}"/>
    <cellStyle name="Migliaia [0] 55 5" xfId="3197" xr:uid="{00000000-0005-0000-0000-000081710000}"/>
    <cellStyle name="Migliaia [0] 55 5 2" xfId="23197" xr:uid="{00000000-0005-0000-0000-000082710000}"/>
    <cellStyle name="Migliaia [0] 55 6" xfId="21348" xr:uid="{00000000-0005-0000-0000-000083710000}"/>
    <cellStyle name="Migliaia [0] 55 7" xfId="38139" xr:uid="{00000000-0005-0000-0000-000084710000}"/>
    <cellStyle name="Migliaia [0] 55 8" xfId="39101" xr:uid="{00000000-0005-0000-0000-000085710000}"/>
    <cellStyle name="Migliaia [0] 55 9" xfId="39501" xr:uid="{00000000-0005-0000-0000-000086710000}"/>
    <cellStyle name="Migliaia [0] 56" xfId="418" xr:uid="{00000000-0005-0000-0000-000087710000}"/>
    <cellStyle name="Migliaia [0] 56 10" xfId="39988" xr:uid="{00000000-0005-0000-0000-000088710000}"/>
    <cellStyle name="Migliaia [0] 56 2" xfId="11337" xr:uid="{00000000-0005-0000-0000-000089710000}"/>
    <cellStyle name="Migliaia [0] 56 2 2" xfId="20221" xr:uid="{00000000-0005-0000-0000-00008A710000}"/>
    <cellStyle name="Migliaia [0] 56 2 2 2" xfId="37731" xr:uid="{00000000-0005-0000-0000-00008B710000}"/>
    <cellStyle name="Migliaia [0] 56 2 3" xfId="38686" xr:uid="{00000000-0005-0000-0000-00008C710000}"/>
    <cellStyle name="Migliaia [0] 56 3" xfId="12018" xr:uid="{00000000-0005-0000-0000-00008D710000}"/>
    <cellStyle name="Migliaia [0] 56 3 2" xfId="30203" xr:uid="{00000000-0005-0000-0000-00008E710000}"/>
    <cellStyle name="Migliaia [0] 56 4" xfId="19221" xr:uid="{00000000-0005-0000-0000-00008F710000}"/>
    <cellStyle name="Migliaia [0] 56 4 2" xfId="37185" xr:uid="{00000000-0005-0000-0000-000090710000}"/>
    <cellStyle name="Migliaia [0] 56 5" xfId="3198" xr:uid="{00000000-0005-0000-0000-000091710000}"/>
    <cellStyle name="Migliaia [0] 56 5 2" xfId="23198" xr:uid="{00000000-0005-0000-0000-000092710000}"/>
    <cellStyle name="Migliaia [0] 56 6" xfId="21349" xr:uid="{00000000-0005-0000-0000-000093710000}"/>
    <cellStyle name="Migliaia [0] 56 7" xfId="38140" xr:uid="{00000000-0005-0000-0000-000094710000}"/>
    <cellStyle name="Migliaia [0] 56 8" xfId="39102" xr:uid="{00000000-0005-0000-0000-000095710000}"/>
    <cellStyle name="Migliaia [0] 56 9" xfId="39502" xr:uid="{00000000-0005-0000-0000-000096710000}"/>
    <cellStyle name="Migliaia [0] 57" xfId="419" xr:uid="{00000000-0005-0000-0000-000097710000}"/>
    <cellStyle name="Migliaia [0] 57 10" xfId="39989" xr:uid="{00000000-0005-0000-0000-000098710000}"/>
    <cellStyle name="Migliaia [0] 57 2" xfId="11338" xr:uid="{00000000-0005-0000-0000-000099710000}"/>
    <cellStyle name="Migliaia [0] 57 2 2" xfId="20222" xr:uid="{00000000-0005-0000-0000-00009A710000}"/>
    <cellStyle name="Migliaia [0] 57 2 2 2" xfId="37732" xr:uid="{00000000-0005-0000-0000-00009B710000}"/>
    <cellStyle name="Migliaia [0] 57 2 3" xfId="38687" xr:uid="{00000000-0005-0000-0000-00009C710000}"/>
    <cellStyle name="Migliaia [0] 57 3" xfId="12019" xr:uid="{00000000-0005-0000-0000-00009D710000}"/>
    <cellStyle name="Migliaia [0] 57 3 2" xfId="30204" xr:uid="{00000000-0005-0000-0000-00009E710000}"/>
    <cellStyle name="Migliaia [0] 57 4" xfId="19222" xr:uid="{00000000-0005-0000-0000-00009F710000}"/>
    <cellStyle name="Migliaia [0] 57 4 2" xfId="37186" xr:uid="{00000000-0005-0000-0000-0000A0710000}"/>
    <cellStyle name="Migliaia [0] 57 5" xfId="3199" xr:uid="{00000000-0005-0000-0000-0000A1710000}"/>
    <cellStyle name="Migliaia [0] 57 5 2" xfId="23199" xr:uid="{00000000-0005-0000-0000-0000A2710000}"/>
    <cellStyle name="Migliaia [0] 57 6" xfId="21350" xr:uid="{00000000-0005-0000-0000-0000A3710000}"/>
    <cellStyle name="Migliaia [0] 57 7" xfId="38141" xr:uid="{00000000-0005-0000-0000-0000A4710000}"/>
    <cellStyle name="Migliaia [0] 57 8" xfId="39103" xr:uid="{00000000-0005-0000-0000-0000A5710000}"/>
    <cellStyle name="Migliaia [0] 57 9" xfId="39503" xr:uid="{00000000-0005-0000-0000-0000A6710000}"/>
    <cellStyle name="Migliaia [0] 58" xfId="420" xr:uid="{00000000-0005-0000-0000-0000A7710000}"/>
    <cellStyle name="Migliaia [0] 58 10" xfId="39990" xr:uid="{00000000-0005-0000-0000-0000A8710000}"/>
    <cellStyle name="Migliaia [0] 58 2" xfId="11339" xr:uid="{00000000-0005-0000-0000-0000A9710000}"/>
    <cellStyle name="Migliaia [0] 58 2 2" xfId="20223" xr:uid="{00000000-0005-0000-0000-0000AA710000}"/>
    <cellStyle name="Migliaia [0] 58 2 2 2" xfId="37733" xr:uid="{00000000-0005-0000-0000-0000AB710000}"/>
    <cellStyle name="Migliaia [0] 58 2 3" xfId="38688" xr:uid="{00000000-0005-0000-0000-0000AC710000}"/>
    <cellStyle name="Migliaia [0] 58 3" xfId="12020" xr:uid="{00000000-0005-0000-0000-0000AD710000}"/>
    <cellStyle name="Migliaia [0] 58 3 2" xfId="30205" xr:uid="{00000000-0005-0000-0000-0000AE710000}"/>
    <cellStyle name="Migliaia [0] 58 4" xfId="19223" xr:uid="{00000000-0005-0000-0000-0000AF710000}"/>
    <cellStyle name="Migliaia [0] 58 4 2" xfId="37187" xr:uid="{00000000-0005-0000-0000-0000B0710000}"/>
    <cellStyle name="Migliaia [0] 58 5" xfId="3200" xr:uid="{00000000-0005-0000-0000-0000B1710000}"/>
    <cellStyle name="Migliaia [0] 58 5 2" xfId="23200" xr:uid="{00000000-0005-0000-0000-0000B2710000}"/>
    <cellStyle name="Migliaia [0] 58 6" xfId="21351" xr:uid="{00000000-0005-0000-0000-0000B3710000}"/>
    <cellStyle name="Migliaia [0] 58 7" xfId="38142" xr:uid="{00000000-0005-0000-0000-0000B4710000}"/>
    <cellStyle name="Migliaia [0] 58 8" xfId="39104" xr:uid="{00000000-0005-0000-0000-0000B5710000}"/>
    <cellStyle name="Migliaia [0] 58 9" xfId="39504" xr:uid="{00000000-0005-0000-0000-0000B6710000}"/>
    <cellStyle name="Migliaia [0] 59" xfId="421" xr:uid="{00000000-0005-0000-0000-0000B7710000}"/>
    <cellStyle name="Migliaia [0] 59 10" xfId="39991" xr:uid="{00000000-0005-0000-0000-0000B8710000}"/>
    <cellStyle name="Migliaia [0] 59 2" xfId="11340" xr:uid="{00000000-0005-0000-0000-0000B9710000}"/>
    <cellStyle name="Migliaia [0] 59 2 2" xfId="20224" xr:uid="{00000000-0005-0000-0000-0000BA710000}"/>
    <cellStyle name="Migliaia [0] 59 2 2 2" xfId="37734" xr:uid="{00000000-0005-0000-0000-0000BB710000}"/>
    <cellStyle name="Migliaia [0] 59 2 3" xfId="38689" xr:uid="{00000000-0005-0000-0000-0000BC710000}"/>
    <cellStyle name="Migliaia [0] 59 3" xfId="12021" xr:uid="{00000000-0005-0000-0000-0000BD710000}"/>
    <cellStyle name="Migliaia [0] 59 3 2" xfId="30206" xr:uid="{00000000-0005-0000-0000-0000BE710000}"/>
    <cellStyle name="Migliaia [0] 59 4" xfId="19224" xr:uid="{00000000-0005-0000-0000-0000BF710000}"/>
    <cellStyle name="Migliaia [0] 59 4 2" xfId="37188" xr:uid="{00000000-0005-0000-0000-0000C0710000}"/>
    <cellStyle name="Migliaia [0] 59 5" xfId="3201" xr:uid="{00000000-0005-0000-0000-0000C1710000}"/>
    <cellStyle name="Migliaia [0] 59 5 2" xfId="23201" xr:uid="{00000000-0005-0000-0000-0000C2710000}"/>
    <cellStyle name="Migliaia [0] 59 6" xfId="21352" xr:uid="{00000000-0005-0000-0000-0000C3710000}"/>
    <cellStyle name="Migliaia [0] 59 7" xfId="38143" xr:uid="{00000000-0005-0000-0000-0000C4710000}"/>
    <cellStyle name="Migliaia [0] 59 8" xfId="39105" xr:uid="{00000000-0005-0000-0000-0000C5710000}"/>
    <cellStyle name="Migliaia [0] 59 9" xfId="39505" xr:uid="{00000000-0005-0000-0000-0000C6710000}"/>
    <cellStyle name="Migliaia [0] 6" xfId="422" xr:uid="{00000000-0005-0000-0000-0000C7710000}"/>
    <cellStyle name="Migliaia [0] 6 10" xfId="39992" xr:uid="{00000000-0005-0000-0000-0000C8710000}"/>
    <cellStyle name="Migliaia [0] 6 2" xfId="11341" xr:uid="{00000000-0005-0000-0000-0000C9710000}"/>
    <cellStyle name="Migliaia [0] 6 2 2" xfId="20225" xr:uid="{00000000-0005-0000-0000-0000CA710000}"/>
    <cellStyle name="Migliaia [0] 6 2 2 2" xfId="37735" xr:uid="{00000000-0005-0000-0000-0000CB710000}"/>
    <cellStyle name="Migliaia [0] 6 2 3" xfId="38690" xr:uid="{00000000-0005-0000-0000-0000CC710000}"/>
    <cellStyle name="Migliaia [0] 6 3" xfId="12022" xr:uid="{00000000-0005-0000-0000-0000CD710000}"/>
    <cellStyle name="Migliaia [0] 6 3 2" xfId="30207" xr:uid="{00000000-0005-0000-0000-0000CE710000}"/>
    <cellStyle name="Migliaia [0] 6 4" xfId="19225" xr:uid="{00000000-0005-0000-0000-0000CF710000}"/>
    <cellStyle name="Migliaia [0] 6 4 2" xfId="37189" xr:uid="{00000000-0005-0000-0000-0000D0710000}"/>
    <cellStyle name="Migliaia [0] 6 5" xfId="3202" xr:uid="{00000000-0005-0000-0000-0000D1710000}"/>
    <cellStyle name="Migliaia [0] 6 5 2" xfId="23202" xr:uid="{00000000-0005-0000-0000-0000D2710000}"/>
    <cellStyle name="Migliaia [0] 6 6" xfId="21353" xr:uid="{00000000-0005-0000-0000-0000D3710000}"/>
    <cellStyle name="Migliaia [0] 6 7" xfId="38144" xr:uid="{00000000-0005-0000-0000-0000D4710000}"/>
    <cellStyle name="Migliaia [0] 6 8" xfId="39106" xr:uid="{00000000-0005-0000-0000-0000D5710000}"/>
    <cellStyle name="Migliaia [0] 6 9" xfId="39506" xr:uid="{00000000-0005-0000-0000-0000D6710000}"/>
    <cellStyle name="Migliaia [0] 7" xfId="423" xr:uid="{00000000-0005-0000-0000-0000D7710000}"/>
    <cellStyle name="Migliaia [0] 7 10" xfId="39993" xr:uid="{00000000-0005-0000-0000-0000D8710000}"/>
    <cellStyle name="Migliaia [0] 7 2" xfId="11342" xr:uid="{00000000-0005-0000-0000-0000D9710000}"/>
    <cellStyle name="Migliaia [0] 7 2 2" xfId="20226" xr:uid="{00000000-0005-0000-0000-0000DA710000}"/>
    <cellStyle name="Migliaia [0] 7 2 2 2" xfId="37736" xr:uid="{00000000-0005-0000-0000-0000DB710000}"/>
    <cellStyle name="Migliaia [0] 7 2 3" xfId="38691" xr:uid="{00000000-0005-0000-0000-0000DC710000}"/>
    <cellStyle name="Migliaia [0] 7 3" xfId="12023" xr:uid="{00000000-0005-0000-0000-0000DD710000}"/>
    <cellStyle name="Migliaia [0] 7 3 2" xfId="30208" xr:uid="{00000000-0005-0000-0000-0000DE710000}"/>
    <cellStyle name="Migliaia [0] 7 4" xfId="19226" xr:uid="{00000000-0005-0000-0000-0000DF710000}"/>
    <cellStyle name="Migliaia [0] 7 4 2" xfId="37190" xr:uid="{00000000-0005-0000-0000-0000E0710000}"/>
    <cellStyle name="Migliaia [0] 7 5" xfId="3203" xr:uid="{00000000-0005-0000-0000-0000E1710000}"/>
    <cellStyle name="Migliaia [0] 7 5 2" xfId="23203" xr:uid="{00000000-0005-0000-0000-0000E2710000}"/>
    <cellStyle name="Migliaia [0] 7 6" xfId="21354" xr:uid="{00000000-0005-0000-0000-0000E3710000}"/>
    <cellStyle name="Migliaia [0] 7 7" xfId="38145" xr:uid="{00000000-0005-0000-0000-0000E4710000}"/>
    <cellStyle name="Migliaia [0] 7 8" xfId="39107" xr:uid="{00000000-0005-0000-0000-0000E5710000}"/>
    <cellStyle name="Migliaia [0] 7 9" xfId="39507" xr:uid="{00000000-0005-0000-0000-0000E6710000}"/>
    <cellStyle name="Migliaia [0] 8" xfId="424" xr:uid="{00000000-0005-0000-0000-0000E7710000}"/>
    <cellStyle name="Migliaia [0] 8 10" xfId="39994" xr:uid="{00000000-0005-0000-0000-0000E8710000}"/>
    <cellStyle name="Migliaia [0] 8 2" xfId="11343" xr:uid="{00000000-0005-0000-0000-0000E9710000}"/>
    <cellStyle name="Migliaia [0] 8 2 2" xfId="20227" xr:uid="{00000000-0005-0000-0000-0000EA710000}"/>
    <cellStyle name="Migliaia [0] 8 2 2 2" xfId="37737" xr:uid="{00000000-0005-0000-0000-0000EB710000}"/>
    <cellStyle name="Migliaia [0] 8 2 3" xfId="38692" xr:uid="{00000000-0005-0000-0000-0000EC710000}"/>
    <cellStyle name="Migliaia [0] 8 3" xfId="12024" xr:uid="{00000000-0005-0000-0000-0000ED710000}"/>
    <cellStyle name="Migliaia [0] 8 3 2" xfId="30209" xr:uid="{00000000-0005-0000-0000-0000EE710000}"/>
    <cellStyle name="Migliaia [0] 8 4" xfId="19227" xr:uid="{00000000-0005-0000-0000-0000EF710000}"/>
    <cellStyle name="Migliaia [0] 8 4 2" xfId="37191" xr:uid="{00000000-0005-0000-0000-0000F0710000}"/>
    <cellStyle name="Migliaia [0] 8 5" xfId="3204" xr:uid="{00000000-0005-0000-0000-0000F1710000}"/>
    <cellStyle name="Migliaia [0] 8 5 2" xfId="23204" xr:uid="{00000000-0005-0000-0000-0000F2710000}"/>
    <cellStyle name="Migliaia [0] 8 6" xfId="21355" xr:uid="{00000000-0005-0000-0000-0000F3710000}"/>
    <cellStyle name="Migliaia [0] 8 7" xfId="38146" xr:uid="{00000000-0005-0000-0000-0000F4710000}"/>
    <cellStyle name="Migliaia [0] 8 8" xfId="39108" xr:uid="{00000000-0005-0000-0000-0000F5710000}"/>
    <cellStyle name="Migliaia [0] 8 9" xfId="39508" xr:uid="{00000000-0005-0000-0000-0000F6710000}"/>
    <cellStyle name="Migliaia [0] 9" xfId="425" xr:uid="{00000000-0005-0000-0000-0000F7710000}"/>
    <cellStyle name="Migliaia [0] 9 10" xfId="39995" xr:uid="{00000000-0005-0000-0000-0000F8710000}"/>
    <cellStyle name="Migliaia [0] 9 2" xfId="11344" xr:uid="{00000000-0005-0000-0000-0000F9710000}"/>
    <cellStyle name="Migliaia [0] 9 2 2" xfId="20228" xr:uid="{00000000-0005-0000-0000-0000FA710000}"/>
    <cellStyle name="Migliaia [0] 9 2 2 2" xfId="37738" xr:uid="{00000000-0005-0000-0000-0000FB710000}"/>
    <cellStyle name="Migliaia [0] 9 2 3" xfId="38693" xr:uid="{00000000-0005-0000-0000-0000FC710000}"/>
    <cellStyle name="Migliaia [0] 9 3" xfId="12025" xr:uid="{00000000-0005-0000-0000-0000FD710000}"/>
    <cellStyle name="Migliaia [0] 9 3 2" xfId="30210" xr:uid="{00000000-0005-0000-0000-0000FE710000}"/>
    <cellStyle name="Migliaia [0] 9 4" xfId="19228" xr:uid="{00000000-0005-0000-0000-0000FF710000}"/>
    <cellStyle name="Migliaia [0] 9 4 2" xfId="37192" xr:uid="{00000000-0005-0000-0000-000000720000}"/>
    <cellStyle name="Migliaia [0] 9 5" xfId="3205" xr:uid="{00000000-0005-0000-0000-000001720000}"/>
    <cellStyle name="Migliaia [0] 9 5 2" xfId="23205" xr:uid="{00000000-0005-0000-0000-000002720000}"/>
    <cellStyle name="Migliaia [0] 9 6" xfId="21356" xr:uid="{00000000-0005-0000-0000-000003720000}"/>
    <cellStyle name="Migliaia [0] 9 7" xfId="38147" xr:uid="{00000000-0005-0000-0000-000004720000}"/>
    <cellStyle name="Migliaia [0] 9 8" xfId="39109" xr:uid="{00000000-0005-0000-0000-000005720000}"/>
    <cellStyle name="Migliaia [0] 9 9" xfId="39509" xr:uid="{00000000-0005-0000-0000-000006720000}"/>
    <cellStyle name="Migliaia 10" xfId="426" xr:uid="{00000000-0005-0000-0000-000007720000}"/>
    <cellStyle name="Migliaia 10 10" xfId="21357" xr:uid="{00000000-0005-0000-0000-000008720000}"/>
    <cellStyle name="Migliaia 10 11" xfId="38148" xr:uid="{00000000-0005-0000-0000-000009720000}"/>
    <cellStyle name="Migliaia 10 12" xfId="39110" xr:uid="{00000000-0005-0000-0000-00000A720000}"/>
    <cellStyle name="Migliaia 10 13" xfId="39510" xr:uid="{00000000-0005-0000-0000-00000B720000}"/>
    <cellStyle name="Migliaia 10 14" xfId="39996" xr:uid="{00000000-0005-0000-0000-00000C720000}"/>
    <cellStyle name="Migliaia 10 2" xfId="427" xr:uid="{00000000-0005-0000-0000-00000D720000}"/>
    <cellStyle name="Migliaia 10 2 10" xfId="39511" xr:uid="{00000000-0005-0000-0000-00000E720000}"/>
    <cellStyle name="Migliaia 10 2 11" xfId="39997" xr:uid="{00000000-0005-0000-0000-00000F720000}"/>
    <cellStyle name="Migliaia 10 2 2" xfId="3538" xr:uid="{00000000-0005-0000-0000-000010720000}"/>
    <cellStyle name="Migliaia 10 2 2 2" xfId="12299" xr:uid="{00000000-0005-0000-0000-000011720000}"/>
    <cellStyle name="Migliaia 10 2 2 2 2" xfId="30469" xr:uid="{00000000-0005-0000-0000-000012720000}"/>
    <cellStyle name="Migliaia 10 2 2 3" xfId="20427" xr:uid="{00000000-0005-0000-0000-000013720000}"/>
    <cellStyle name="Migliaia 10 2 2 3 2" xfId="37744" xr:uid="{00000000-0005-0000-0000-000014720000}"/>
    <cellStyle name="Migliaia 10 2 2 4" xfId="23467" xr:uid="{00000000-0005-0000-0000-000015720000}"/>
    <cellStyle name="Migliaia 10 2 2 5" xfId="38699" xr:uid="{00000000-0005-0000-0000-000016720000}"/>
    <cellStyle name="Migliaia 10 2 2 6" xfId="39383" xr:uid="{00000000-0005-0000-0000-000017720000}"/>
    <cellStyle name="Migliaia 10 2 3" xfId="11346" xr:uid="{00000000-0005-0000-0000-000018720000}"/>
    <cellStyle name="Migliaia 10 2 4" xfId="12027" xr:uid="{00000000-0005-0000-0000-000019720000}"/>
    <cellStyle name="Migliaia 10 2 4 2" xfId="30212" xr:uid="{00000000-0005-0000-0000-00001A720000}"/>
    <cellStyle name="Migliaia 10 2 5" xfId="19230" xr:uid="{00000000-0005-0000-0000-00001B720000}"/>
    <cellStyle name="Migliaia 10 2 5 2" xfId="37194" xr:uid="{00000000-0005-0000-0000-00001C720000}"/>
    <cellStyle name="Migliaia 10 2 6" xfId="3207" xr:uid="{00000000-0005-0000-0000-00001D720000}"/>
    <cellStyle name="Migliaia 10 2 6 2" xfId="23207" xr:uid="{00000000-0005-0000-0000-00001E720000}"/>
    <cellStyle name="Migliaia 10 2 7" xfId="21358" xr:uid="{00000000-0005-0000-0000-00001F720000}"/>
    <cellStyle name="Migliaia 10 2 8" xfId="38149" xr:uid="{00000000-0005-0000-0000-000020720000}"/>
    <cellStyle name="Migliaia 10 2 9" xfId="39111" xr:uid="{00000000-0005-0000-0000-000021720000}"/>
    <cellStyle name="Migliaia 10 3" xfId="428" xr:uid="{00000000-0005-0000-0000-000022720000}"/>
    <cellStyle name="Migliaia 10 3 10" xfId="39512" xr:uid="{00000000-0005-0000-0000-000023720000}"/>
    <cellStyle name="Migliaia 10 3 11" xfId="39998" xr:uid="{00000000-0005-0000-0000-000024720000}"/>
    <cellStyle name="Migliaia 10 3 2" xfId="429" xr:uid="{00000000-0005-0000-0000-000025720000}"/>
    <cellStyle name="Migliaia 10 3 2 10" xfId="39999" xr:uid="{00000000-0005-0000-0000-000026720000}"/>
    <cellStyle name="Migliaia 10 3 2 2" xfId="11348" xr:uid="{00000000-0005-0000-0000-000027720000}"/>
    <cellStyle name="Migliaia 10 3 2 3" xfId="12029" xr:uid="{00000000-0005-0000-0000-000028720000}"/>
    <cellStyle name="Migliaia 10 3 2 3 2" xfId="30214" xr:uid="{00000000-0005-0000-0000-000029720000}"/>
    <cellStyle name="Migliaia 10 3 2 4" xfId="19232" xr:uid="{00000000-0005-0000-0000-00002A720000}"/>
    <cellStyle name="Migliaia 10 3 2 4 2" xfId="37196" xr:uid="{00000000-0005-0000-0000-00002B720000}"/>
    <cellStyle name="Migliaia 10 3 2 5" xfId="3209" xr:uid="{00000000-0005-0000-0000-00002C720000}"/>
    <cellStyle name="Migliaia 10 3 2 5 2" xfId="23209" xr:uid="{00000000-0005-0000-0000-00002D720000}"/>
    <cellStyle name="Migliaia 10 3 2 6" xfId="21360" xr:uid="{00000000-0005-0000-0000-00002E720000}"/>
    <cellStyle name="Migliaia 10 3 2 7" xfId="38151" xr:uid="{00000000-0005-0000-0000-00002F720000}"/>
    <cellStyle name="Migliaia 10 3 2 8" xfId="39113" xr:uid="{00000000-0005-0000-0000-000030720000}"/>
    <cellStyle name="Migliaia 10 3 2 9" xfId="39513" xr:uid="{00000000-0005-0000-0000-000031720000}"/>
    <cellStyle name="Migliaia 10 3 3" xfId="11347" xr:uid="{00000000-0005-0000-0000-000032720000}"/>
    <cellStyle name="Migliaia 10 3 3 2" xfId="20429" xr:uid="{00000000-0005-0000-0000-000033720000}"/>
    <cellStyle name="Migliaia 10 3 3 2 2" xfId="37746" xr:uid="{00000000-0005-0000-0000-000034720000}"/>
    <cellStyle name="Migliaia 10 3 3 2 3" xfId="38701" xr:uid="{00000000-0005-0000-0000-000035720000}"/>
    <cellStyle name="Migliaia 10 3 3 3" xfId="19233" xr:uid="{00000000-0005-0000-0000-000036720000}"/>
    <cellStyle name="Migliaia 10 3 3 3 2" xfId="37197" xr:uid="{00000000-0005-0000-0000-000037720000}"/>
    <cellStyle name="Migliaia 10 3 3 4" xfId="38152" xr:uid="{00000000-0005-0000-0000-000038720000}"/>
    <cellStyle name="Migliaia 10 3 4" xfId="12028" xr:uid="{00000000-0005-0000-0000-000039720000}"/>
    <cellStyle name="Migliaia 10 3 4 2" xfId="20428" xr:uid="{00000000-0005-0000-0000-00003A720000}"/>
    <cellStyle name="Migliaia 10 3 4 2 2" xfId="37745" xr:uid="{00000000-0005-0000-0000-00003B720000}"/>
    <cellStyle name="Migliaia 10 3 4 3" xfId="30213" xr:uid="{00000000-0005-0000-0000-00003C720000}"/>
    <cellStyle name="Migliaia 10 3 4 4" xfId="38700" xr:uid="{00000000-0005-0000-0000-00003D720000}"/>
    <cellStyle name="Migliaia 10 3 5" xfId="19231" xr:uid="{00000000-0005-0000-0000-00003E720000}"/>
    <cellStyle name="Migliaia 10 3 5 2" xfId="37195" xr:uid="{00000000-0005-0000-0000-00003F720000}"/>
    <cellStyle name="Migliaia 10 3 6" xfId="3208" xr:uid="{00000000-0005-0000-0000-000040720000}"/>
    <cellStyle name="Migliaia 10 3 6 2" xfId="23208" xr:uid="{00000000-0005-0000-0000-000041720000}"/>
    <cellStyle name="Migliaia 10 3 7" xfId="21359" xr:uid="{00000000-0005-0000-0000-000042720000}"/>
    <cellStyle name="Migliaia 10 3 8" xfId="38150" xr:uid="{00000000-0005-0000-0000-000043720000}"/>
    <cellStyle name="Migliaia 10 3 9" xfId="39112" xr:uid="{00000000-0005-0000-0000-000044720000}"/>
    <cellStyle name="Migliaia 10 4" xfId="430" xr:uid="{00000000-0005-0000-0000-000045720000}"/>
    <cellStyle name="Migliaia 10 4 2" xfId="19235" xr:uid="{00000000-0005-0000-0000-000046720000}"/>
    <cellStyle name="Migliaia 10 4 2 2" xfId="20431" xr:uid="{00000000-0005-0000-0000-000047720000}"/>
    <cellStyle name="Migliaia 10 4 2 2 2" xfId="37748" xr:uid="{00000000-0005-0000-0000-000048720000}"/>
    <cellStyle name="Migliaia 10 4 2 2 3" xfId="38703" xr:uid="{00000000-0005-0000-0000-000049720000}"/>
    <cellStyle name="Migliaia 10 4 2 3" xfId="37199" xr:uid="{00000000-0005-0000-0000-00004A720000}"/>
    <cellStyle name="Migliaia 10 4 2 4" xfId="38154" xr:uid="{00000000-0005-0000-0000-00004B720000}"/>
    <cellStyle name="Migliaia 10 4 3" xfId="20430" xr:uid="{00000000-0005-0000-0000-00004C720000}"/>
    <cellStyle name="Migliaia 10 4 3 2" xfId="37747" xr:uid="{00000000-0005-0000-0000-00004D720000}"/>
    <cellStyle name="Migliaia 10 4 3 3" xfId="38702" xr:uid="{00000000-0005-0000-0000-00004E720000}"/>
    <cellStyle name="Migliaia 10 4 4" xfId="19234" xr:uid="{00000000-0005-0000-0000-00004F720000}"/>
    <cellStyle name="Migliaia 10 4 4 2" xfId="37198" xr:uid="{00000000-0005-0000-0000-000050720000}"/>
    <cellStyle name="Migliaia 10 4 5" xfId="11349" xr:uid="{00000000-0005-0000-0000-000051720000}"/>
    <cellStyle name="Migliaia 10 4 6" xfId="21361" xr:uid="{00000000-0005-0000-0000-000052720000}"/>
    <cellStyle name="Migliaia 10 4 7" xfId="38153" xr:uid="{00000000-0005-0000-0000-000053720000}"/>
    <cellStyle name="Migliaia 10 4 8" xfId="39514" xr:uid="{00000000-0005-0000-0000-000054720000}"/>
    <cellStyle name="Migliaia 10 4 9" xfId="40000" xr:uid="{00000000-0005-0000-0000-000055720000}"/>
    <cellStyle name="Migliaia 10 5" xfId="431" xr:uid="{00000000-0005-0000-0000-000056720000}"/>
    <cellStyle name="Migliaia 10 5 2" xfId="19236" xr:uid="{00000000-0005-0000-0000-000057720000}"/>
    <cellStyle name="Migliaia 10 5 2 2" xfId="37200" xr:uid="{00000000-0005-0000-0000-000058720000}"/>
    <cellStyle name="Migliaia 10 5 3" xfId="11350" xr:uid="{00000000-0005-0000-0000-000059720000}"/>
    <cellStyle name="Migliaia 10 5 4" xfId="21362" xr:uid="{00000000-0005-0000-0000-00005A720000}"/>
    <cellStyle name="Migliaia 10 5 5" xfId="38155" xr:uid="{00000000-0005-0000-0000-00005B720000}"/>
    <cellStyle name="Migliaia 10 5 6" xfId="39515" xr:uid="{00000000-0005-0000-0000-00005C720000}"/>
    <cellStyle name="Migliaia 10 5 7" xfId="40001" xr:uid="{00000000-0005-0000-0000-00005D720000}"/>
    <cellStyle name="Migliaia 10 6" xfId="432" xr:uid="{00000000-0005-0000-0000-00005E720000}"/>
    <cellStyle name="Migliaia 10 6 2" xfId="11345" xr:uid="{00000000-0005-0000-0000-00005F720000}"/>
    <cellStyle name="Migliaia 10 6 3" xfId="21363" xr:uid="{00000000-0005-0000-0000-000060720000}"/>
    <cellStyle name="Migliaia 10 6 4" xfId="39516" xr:uid="{00000000-0005-0000-0000-000061720000}"/>
    <cellStyle name="Migliaia 10 6 5" xfId="40002" xr:uid="{00000000-0005-0000-0000-000062720000}"/>
    <cellStyle name="Migliaia 10 7" xfId="12026" xr:uid="{00000000-0005-0000-0000-000063720000}"/>
    <cellStyle name="Migliaia 10 7 2" xfId="30211" xr:uid="{00000000-0005-0000-0000-000064720000}"/>
    <cellStyle name="Migliaia 10 8" xfId="19229" xr:uid="{00000000-0005-0000-0000-000065720000}"/>
    <cellStyle name="Migliaia 10 8 2" xfId="37193" xr:uid="{00000000-0005-0000-0000-000066720000}"/>
    <cellStyle name="Migliaia 10 9" xfId="3206" xr:uid="{00000000-0005-0000-0000-000067720000}"/>
    <cellStyle name="Migliaia 10 9 2" xfId="23206" xr:uid="{00000000-0005-0000-0000-000068720000}"/>
    <cellStyle name="Migliaia 11" xfId="433" xr:uid="{00000000-0005-0000-0000-000069720000}"/>
    <cellStyle name="Migliaia 11 10" xfId="21364" xr:uid="{00000000-0005-0000-0000-00006A720000}"/>
    <cellStyle name="Migliaia 11 11" xfId="38156" xr:uid="{00000000-0005-0000-0000-00006B720000}"/>
    <cellStyle name="Migliaia 11 12" xfId="39114" xr:uid="{00000000-0005-0000-0000-00006C720000}"/>
    <cellStyle name="Migliaia 11 13" xfId="39517" xr:uid="{00000000-0005-0000-0000-00006D720000}"/>
    <cellStyle name="Migliaia 11 14" xfId="40003" xr:uid="{00000000-0005-0000-0000-00006E720000}"/>
    <cellStyle name="Migliaia 11 2" xfId="434" xr:uid="{00000000-0005-0000-0000-00006F720000}"/>
    <cellStyle name="Migliaia 11 2 10" xfId="39518" xr:uid="{00000000-0005-0000-0000-000070720000}"/>
    <cellStyle name="Migliaia 11 2 11" xfId="40004" xr:uid="{00000000-0005-0000-0000-000071720000}"/>
    <cellStyle name="Migliaia 11 2 2" xfId="3539" xr:uid="{00000000-0005-0000-0000-000072720000}"/>
    <cellStyle name="Migliaia 11 2 2 2" xfId="12300" xr:uid="{00000000-0005-0000-0000-000073720000}"/>
    <cellStyle name="Migliaia 11 2 2 2 2" xfId="30470" xr:uid="{00000000-0005-0000-0000-000074720000}"/>
    <cellStyle name="Migliaia 11 2 2 3" xfId="20432" xr:uid="{00000000-0005-0000-0000-000075720000}"/>
    <cellStyle name="Migliaia 11 2 2 3 2" xfId="37749" xr:uid="{00000000-0005-0000-0000-000076720000}"/>
    <cellStyle name="Migliaia 11 2 2 4" xfId="23468" xr:uid="{00000000-0005-0000-0000-000077720000}"/>
    <cellStyle name="Migliaia 11 2 2 5" xfId="38704" xr:uid="{00000000-0005-0000-0000-000078720000}"/>
    <cellStyle name="Migliaia 11 2 2 6" xfId="39384" xr:uid="{00000000-0005-0000-0000-000079720000}"/>
    <cellStyle name="Migliaia 11 2 3" xfId="11352" xr:uid="{00000000-0005-0000-0000-00007A720000}"/>
    <cellStyle name="Migliaia 11 2 4" xfId="12031" xr:uid="{00000000-0005-0000-0000-00007B720000}"/>
    <cellStyle name="Migliaia 11 2 4 2" xfId="30216" xr:uid="{00000000-0005-0000-0000-00007C720000}"/>
    <cellStyle name="Migliaia 11 2 5" xfId="19238" xr:uid="{00000000-0005-0000-0000-00007D720000}"/>
    <cellStyle name="Migliaia 11 2 5 2" xfId="37202" xr:uid="{00000000-0005-0000-0000-00007E720000}"/>
    <cellStyle name="Migliaia 11 2 6" xfId="3211" xr:uid="{00000000-0005-0000-0000-00007F720000}"/>
    <cellStyle name="Migliaia 11 2 6 2" xfId="23211" xr:uid="{00000000-0005-0000-0000-000080720000}"/>
    <cellStyle name="Migliaia 11 2 7" xfId="21365" xr:uid="{00000000-0005-0000-0000-000081720000}"/>
    <cellStyle name="Migliaia 11 2 8" xfId="38157" xr:uid="{00000000-0005-0000-0000-000082720000}"/>
    <cellStyle name="Migliaia 11 2 9" xfId="39115" xr:uid="{00000000-0005-0000-0000-000083720000}"/>
    <cellStyle name="Migliaia 11 3" xfId="435" xr:uid="{00000000-0005-0000-0000-000084720000}"/>
    <cellStyle name="Migliaia 11 3 10" xfId="39519" xr:uid="{00000000-0005-0000-0000-000085720000}"/>
    <cellStyle name="Migliaia 11 3 11" xfId="40005" xr:uid="{00000000-0005-0000-0000-000086720000}"/>
    <cellStyle name="Migliaia 11 3 2" xfId="436" xr:uid="{00000000-0005-0000-0000-000087720000}"/>
    <cellStyle name="Migliaia 11 3 2 10" xfId="40006" xr:uid="{00000000-0005-0000-0000-000088720000}"/>
    <cellStyle name="Migliaia 11 3 2 2" xfId="11354" xr:uid="{00000000-0005-0000-0000-000089720000}"/>
    <cellStyle name="Migliaia 11 3 2 3" xfId="12033" xr:uid="{00000000-0005-0000-0000-00008A720000}"/>
    <cellStyle name="Migliaia 11 3 2 3 2" xfId="30218" xr:uid="{00000000-0005-0000-0000-00008B720000}"/>
    <cellStyle name="Migliaia 11 3 2 4" xfId="19240" xr:uid="{00000000-0005-0000-0000-00008C720000}"/>
    <cellStyle name="Migliaia 11 3 2 4 2" xfId="37204" xr:uid="{00000000-0005-0000-0000-00008D720000}"/>
    <cellStyle name="Migliaia 11 3 2 5" xfId="3213" xr:uid="{00000000-0005-0000-0000-00008E720000}"/>
    <cellStyle name="Migliaia 11 3 2 5 2" xfId="23213" xr:uid="{00000000-0005-0000-0000-00008F720000}"/>
    <cellStyle name="Migliaia 11 3 2 6" xfId="21367" xr:uid="{00000000-0005-0000-0000-000090720000}"/>
    <cellStyle name="Migliaia 11 3 2 7" xfId="38159" xr:uid="{00000000-0005-0000-0000-000091720000}"/>
    <cellStyle name="Migliaia 11 3 2 8" xfId="39117" xr:uid="{00000000-0005-0000-0000-000092720000}"/>
    <cellStyle name="Migliaia 11 3 2 9" xfId="39520" xr:uid="{00000000-0005-0000-0000-000093720000}"/>
    <cellStyle name="Migliaia 11 3 3" xfId="11353" xr:uid="{00000000-0005-0000-0000-000094720000}"/>
    <cellStyle name="Migliaia 11 3 3 2" xfId="20434" xr:uid="{00000000-0005-0000-0000-000095720000}"/>
    <cellStyle name="Migliaia 11 3 3 2 2" xfId="37751" xr:uid="{00000000-0005-0000-0000-000096720000}"/>
    <cellStyle name="Migliaia 11 3 3 2 3" xfId="38706" xr:uid="{00000000-0005-0000-0000-000097720000}"/>
    <cellStyle name="Migliaia 11 3 3 3" xfId="19241" xr:uid="{00000000-0005-0000-0000-000098720000}"/>
    <cellStyle name="Migliaia 11 3 3 3 2" xfId="37205" xr:uid="{00000000-0005-0000-0000-000099720000}"/>
    <cellStyle name="Migliaia 11 3 3 4" xfId="38160" xr:uid="{00000000-0005-0000-0000-00009A720000}"/>
    <cellStyle name="Migliaia 11 3 4" xfId="12032" xr:uid="{00000000-0005-0000-0000-00009B720000}"/>
    <cellStyle name="Migliaia 11 3 4 2" xfId="20433" xr:uid="{00000000-0005-0000-0000-00009C720000}"/>
    <cellStyle name="Migliaia 11 3 4 2 2" xfId="37750" xr:uid="{00000000-0005-0000-0000-00009D720000}"/>
    <cellStyle name="Migliaia 11 3 4 3" xfId="30217" xr:uid="{00000000-0005-0000-0000-00009E720000}"/>
    <cellStyle name="Migliaia 11 3 4 4" xfId="38705" xr:uid="{00000000-0005-0000-0000-00009F720000}"/>
    <cellStyle name="Migliaia 11 3 5" xfId="19239" xr:uid="{00000000-0005-0000-0000-0000A0720000}"/>
    <cellStyle name="Migliaia 11 3 5 2" xfId="37203" xr:uid="{00000000-0005-0000-0000-0000A1720000}"/>
    <cellStyle name="Migliaia 11 3 6" xfId="3212" xr:uid="{00000000-0005-0000-0000-0000A2720000}"/>
    <cellStyle name="Migliaia 11 3 6 2" xfId="23212" xr:uid="{00000000-0005-0000-0000-0000A3720000}"/>
    <cellStyle name="Migliaia 11 3 7" xfId="21366" xr:uid="{00000000-0005-0000-0000-0000A4720000}"/>
    <cellStyle name="Migliaia 11 3 8" xfId="38158" xr:uid="{00000000-0005-0000-0000-0000A5720000}"/>
    <cellStyle name="Migliaia 11 3 9" xfId="39116" xr:uid="{00000000-0005-0000-0000-0000A6720000}"/>
    <cellStyle name="Migliaia 11 4" xfId="437" xr:uid="{00000000-0005-0000-0000-0000A7720000}"/>
    <cellStyle name="Migliaia 11 4 2" xfId="19243" xr:uid="{00000000-0005-0000-0000-0000A8720000}"/>
    <cellStyle name="Migliaia 11 4 2 2" xfId="20436" xr:uid="{00000000-0005-0000-0000-0000A9720000}"/>
    <cellStyle name="Migliaia 11 4 2 2 2" xfId="37753" xr:uid="{00000000-0005-0000-0000-0000AA720000}"/>
    <cellStyle name="Migliaia 11 4 2 2 3" xfId="38708" xr:uid="{00000000-0005-0000-0000-0000AB720000}"/>
    <cellStyle name="Migliaia 11 4 2 3" xfId="37207" xr:uid="{00000000-0005-0000-0000-0000AC720000}"/>
    <cellStyle name="Migliaia 11 4 2 4" xfId="38162" xr:uid="{00000000-0005-0000-0000-0000AD720000}"/>
    <cellStyle name="Migliaia 11 4 3" xfId="20435" xr:uid="{00000000-0005-0000-0000-0000AE720000}"/>
    <cellStyle name="Migliaia 11 4 3 2" xfId="37752" xr:uid="{00000000-0005-0000-0000-0000AF720000}"/>
    <cellStyle name="Migliaia 11 4 3 3" xfId="38707" xr:uid="{00000000-0005-0000-0000-0000B0720000}"/>
    <cellStyle name="Migliaia 11 4 4" xfId="19242" xr:uid="{00000000-0005-0000-0000-0000B1720000}"/>
    <cellStyle name="Migliaia 11 4 4 2" xfId="37206" xr:uid="{00000000-0005-0000-0000-0000B2720000}"/>
    <cellStyle name="Migliaia 11 4 5" xfId="11355" xr:uid="{00000000-0005-0000-0000-0000B3720000}"/>
    <cellStyle name="Migliaia 11 4 6" xfId="21368" xr:uid="{00000000-0005-0000-0000-0000B4720000}"/>
    <cellStyle name="Migliaia 11 4 7" xfId="38161" xr:uid="{00000000-0005-0000-0000-0000B5720000}"/>
    <cellStyle name="Migliaia 11 4 8" xfId="39521" xr:uid="{00000000-0005-0000-0000-0000B6720000}"/>
    <cellStyle name="Migliaia 11 4 9" xfId="40007" xr:uid="{00000000-0005-0000-0000-0000B7720000}"/>
    <cellStyle name="Migliaia 11 5" xfId="438" xr:uid="{00000000-0005-0000-0000-0000B8720000}"/>
    <cellStyle name="Migliaia 11 5 2" xfId="19244" xr:uid="{00000000-0005-0000-0000-0000B9720000}"/>
    <cellStyle name="Migliaia 11 5 2 2" xfId="37208" xr:uid="{00000000-0005-0000-0000-0000BA720000}"/>
    <cellStyle name="Migliaia 11 5 3" xfId="11356" xr:uid="{00000000-0005-0000-0000-0000BB720000}"/>
    <cellStyle name="Migliaia 11 5 4" xfId="21369" xr:uid="{00000000-0005-0000-0000-0000BC720000}"/>
    <cellStyle name="Migliaia 11 5 5" xfId="38163" xr:uid="{00000000-0005-0000-0000-0000BD720000}"/>
    <cellStyle name="Migliaia 11 5 6" xfId="39522" xr:uid="{00000000-0005-0000-0000-0000BE720000}"/>
    <cellStyle name="Migliaia 11 5 7" xfId="40008" xr:uid="{00000000-0005-0000-0000-0000BF720000}"/>
    <cellStyle name="Migliaia 11 6" xfId="439" xr:uid="{00000000-0005-0000-0000-0000C0720000}"/>
    <cellStyle name="Migliaia 11 6 2" xfId="11351" xr:uid="{00000000-0005-0000-0000-0000C1720000}"/>
    <cellStyle name="Migliaia 11 6 3" xfId="21370" xr:uid="{00000000-0005-0000-0000-0000C2720000}"/>
    <cellStyle name="Migliaia 11 6 4" xfId="39523" xr:uid="{00000000-0005-0000-0000-0000C3720000}"/>
    <cellStyle name="Migliaia 11 6 5" xfId="40009" xr:uid="{00000000-0005-0000-0000-0000C4720000}"/>
    <cellStyle name="Migliaia 11 7" xfId="12030" xr:uid="{00000000-0005-0000-0000-0000C5720000}"/>
    <cellStyle name="Migliaia 11 7 2" xfId="30215" xr:uid="{00000000-0005-0000-0000-0000C6720000}"/>
    <cellStyle name="Migliaia 11 8" xfId="19237" xr:uid="{00000000-0005-0000-0000-0000C7720000}"/>
    <cellStyle name="Migliaia 11 8 2" xfId="37201" xr:uid="{00000000-0005-0000-0000-0000C8720000}"/>
    <cellStyle name="Migliaia 11 9" xfId="3210" xr:uid="{00000000-0005-0000-0000-0000C9720000}"/>
    <cellStyle name="Migliaia 11 9 2" xfId="23210" xr:uid="{00000000-0005-0000-0000-0000CA720000}"/>
    <cellStyle name="Migliaia 12" xfId="440" xr:uid="{00000000-0005-0000-0000-0000CB720000}"/>
    <cellStyle name="Migliaia 12 10" xfId="21371" xr:uid="{00000000-0005-0000-0000-0000CC720000}"/>
    <cellStyle name="Migliaia 12 11" xfId="38164" xr:uid="{00000000-0005-0000-0000-0000CD720000}"/>
    <cellStyle name="Migliaia 12 12" xfId="39118" xr:uid="{00000000-0005-0000-0000-0000CE720000}"/>
    <cellStyle name="Migliaia 12 13" xfId="39524" xr:uid="{00000000-0005-0000-0000-0000CF720000}"/>
    <cellStyle name="Migliaia 12 14" xfId="40010" xr:uid="{00000000-0005-0000-0000-0000D0720000}"/>
    <cellStyle name="Migliaia 12 2" xfId="441" xr:uid="{00000000-0005-0000-0000-0000D1720000}"/>
    <cellStyle name="Migliaia 12 2 10" xfId="39525" xr:uid="{00000000-0005-0000-0000-0000D2720000}"/>
    <cellStyle name="Migliaia 12 2 11" xfId="40011" xr:uid="{00000000-0005-0000-0000-0000D3720000}"/>
    <cellStyle name="Migliaia 12 2 2" xfId="3540" xr:uid="{00000000-0005-0000-0000-0000D4720000}"/>
    <cellStyle name="Migliaia 12 2 2 2" xfId="12301" xr:uid="{00000000-0005-0000-0000-0000D5720000}"/>
    <cellStyle name="Migliaia 12 2 2 2 2" xfId="30471" xr:uid="{00000000-0005-0000-0000-0000D6720000}"/>
    <cellStyle name="Migliaia 12 2 2 3" xfId="20437" xr:uid="{00000000-0005-0000-0000-0000D7720000}"/>
    <cellStyle name="Migliaia 12 2 2 3 2" xfId="37754" xr:uid="{00000000-0005-0000-0000-0000D8720000}"/>
    <cellStyle name="Migliaia 12 2 2 4" xfId="23469" xr:uid="{00000000-0005-0000-0000-0000D9720000}"/>
    <cellStyle name="Migliaia 12 2 2 5" xfId="38709" xr:uid="{00000000-0005-0000-0000-0000DA720000}"/>
    <cellStyle name="Migliaia 12 2 2 6" xfId="39385" xr:uid="{00000000-0005-0000-0000-0000DB720000}"/>
    <cellStyle name="Migliaia 12 2 3" xfId="11358" xr:uid="{00000000-0005-0000-0000-0000DC720000}"/>
    <cellStyle name="Migliaia 12 2 4" xfId="12035" xr:uid="{00000000-0005-0000-0000-0000DD720000}"/>
    <cellStyle name="Migliaia 12 2 4 2" xfId="30220" xr:uid="{00000000-0005-0000-0000-0000DE720000}"/>
    <cellStyle name="Migliaia 12 2 5" xfId="19246" xr:uid="{00000000-0005-0000-0000-0000DF720000}"/>
    <cellStyle name="Migliaia 12 2 5 2" xfId="37210" xr:uid="{00000000-0005-0000-0000-0000E0720000}"/>
    <cellStyle name="Migliaia 12 2 6" xfId="3215" xr:uid="{00000000-0005-0000-0000-0000E1720000}"/>
    <cellStyle name="Migliaia 12 2 6 2" xfId="23215" xr:uid="{00000000-0005-0000-0000-0000E2720000}"/>
    <cellStyle name="Migliaia 12 2 7" xfId="21372" xr:uid="{00000000-0005-0000-0000-0000E3720000}"/>
    <cellStyle name="Migliaia 12 2 8" xfId="38165" xr:uid="{00000000-0005-0000-0000-0000E4720000}"/>
    <cellStyle name="Migliaia 12 2 9" xfId="39119" xr:uid="{00000000-0005-0000-0000-0000E5720000}"/>
    <cellStyle name="Migliaia 12 3" xfId="442" xr:uid="{00000000-0005-0000-0000-0000E6720000}"/>
    <cellStyle name="Migliaia 12 3 10" xfId="39526" xr:uid="{00000000-0005-0000-0000-0000E7720000}"/>
    <cellStyle name="Migliaia 12 3 11" xfId="40012" xr:uid="{00000000-0005-0000-0000-0000E8720000}"/>
    <cellStyle name="Migliaia 12 3 2" xfId="443" xr:uid="{00000000-0005-0000-0000-0000E9720000}"/>
    <cellStyle name="Migliaia 12 3 2 10" xfId="40013" xr:uid="{00000000-0005-0000-0000-0000EA720000}"/>
    <cellStyle name="Migliaia 12 3 2 2" xfId="11360" xr:uid="{00000000-0005-0000-0000-0000EB720000}"/>
    <cellStyle name="Migliaia 12 3 2 3" xfId="12037" xr:uid="{00000000-0005-0000-0000-0000EC720000}"/>
    <cellStyle name="Migliaia 12 3 2 3 2" xfId="30222" xr:uid="{00000000-0005-0000-0000-0000ED720000}"/>
    <cellStyle name="Migliaia 12 3 2 4" xfId="19248" xr:uid="{00000000-0005-0000-0000-0000EE720000}"/>
    <cellStyle name="Migliaia 12 3 2 4 2" xfId="37212" xr:uid="{00000000-0005-0000-0000-0000EF720000}"/>
    <cellStyle name="Migliaia 12 3 2 5" xfId="3217" xr:uid="{00000000-0005-0000-0000-0000F0720000}"/>
    <cellStyle name="Migliaia 12 3 2 5 2" xfId="23217" xr:uid="{00000000-0005-0000-0000-0000F1720000}"/>
    <cellStyle name="Migliaia 12 3 2 6" xfId="21374" xr:uid="{00000000-0005-0000-0000-0000F2720000}"/>
    <cellStyle name="Migliaia 12 3 2 7" xfId="38167" xr:uid="{00000000-0005-0000-0000-0000F3720000}"/>
    <cellStyle name="Migliaia 12 3 2 8" xfId="39121" xr:uid="{00000000-0005-0000-0000-0000F4720000}"/>
    <cellStyle name="Migliaia 12 3 2 9" xfId="39527" xr:uid="{00000000-0005-0000-0000-0000F5720000}"/>
    <cellStyle name="Migliaia 12 3 3" xfId="11359" xr:uid="{00000000-0005-0000-0000-0000F6720000}"/>
    <cellStyle name="Migliaia 12 3 3 2" xfId="20439" xr:uid="{00000000-0005-0000-0000-0000F7720000}"/>
    <cellStyle name="Migliaia 12 3 3 2 2" xfId="37756" xr:uid="{00000000-0005-0000-0000-0000F8720000}"/>
    <cellStyle name="Migliaia 12 3 3 2 3" xfId="38711" xr:uid="{00000000-0005-0000-0000-0000F9720000}"/>
    <cellStyle name="Migliaia 12 3 3 3" xfId="19249" xr:uid="{00000000-0005-0000-0000-0000FA720000}"/>
    <cellStyle name="Migliaia 12 3 3 3 2" xfId="37213" xr:uid="{00000000-0005-0000-0000-0000FB720000}"/>
    <cellStyle name="Migliaia 12 3 3 4" xfId="38168" xr:uid="{00000000-0005-0000-0000-0000FC720000}"/>
    <cellStyle name="Migliaia 12 3 4" xfId="12036" xr:uid="{00000000-0005-0000-0000-0000FD720000}"/>
    <cellStyle name="Migliaia 12 3 4 2" xfId="20438" xr:uid="{00000000-0005-0000-0000-0000FE720000}"/>
    <cellStyle name="Migliaia 12 3 4 2 2" xfId="37755" xr:uid="{00000000-0005-0000-0000-0000FF720000}"/>
    <cellStyle name="Migliaia 12 3 4 3" xfId="30221" xr:uid="{00000000-0005-0000-0000-000000730000}"/>
    <cellStyle name="Migliaia 12 3 4 4" xfId="38710" xr:uid="{00000000-0005-0000-0000-000001730000}"/>
    <cellStyle name="Migliaia 12 3 5" xfId="19247" xr:uid="{00000000-0005-0000-0000-000002730000}"/>
    <cellStyle name="Migliaia 12 3 5 2" xfId="37211" xr:uid="{00000000-0005-0000-0000-000003730000}"/>
    <cellStyle name="Migliaia 12 3 6" xfId="3216" xr:uid="{00000000-0005-0000-0000-000004730000}"/>
    <cellStyle name="Migliaia 12 3 6 2" xfId="23216" xr:uid="{00000000-0005-0000-0000-000005730000}"/>
    <cellStyle name="Migliaia 12 3 7" xfId="21373" xr:uid="{00000000-0005-0000-0000-000006730000}"/>
    <cellStyle name="Migliaia 12 3 8" xfId="38166" xr:uid="{00000000-0005-0000-0000-000007730000}"/>
    <cellStyle name="Migliaia 12 3 9" xfId="39120" xr:uid="{00000000-0005-0000-0000-000008730000}"/>
    <cellStyle name="Migliaia 12 4" xfId="444" xr:uid="{00000000-0005-0000-0000-000009730000}"/>
    <cellStyle name="Migliaia 12 4 2" xfId="19251" xr:uid="{00000000-0005-0000-0000-00000A730000}"/>
    <cellStyle name="Migliaia 12 4 2 2" xfId="20441" xr:uid="{00000000-0005-0000-0000-00000B730000}"/>
    <cellStyle name="Migliaia 12 4 2 2 2" xfId="37758" xr:uid="{00000000-0005-0000-0000-00000C730000}"/>
    <cellStyle name="Migliaia 12 4 2 2 3" xfId="38713" xr:uid="{00000000-0005-0000-0000-00000D730000}"/>
    <cellStyle name="Migliaia 12 4 2 3" xfId="37215" xr:uid="{00000000-0005-0000-0000-00000E730000}"/>
    <cellStyle name="Migliaia 12 4 2 4" xfId="38170" xr:uid="{00000000-0005-0000-0000-00000F730000}"/>
    <cellStyle name="Migliaia 12 4 3" xfId="20440" xr:uid="{00000000-0005-0000-0000-000010730000}"/>
    <cellStyle name="Migliaia 12 4 3 2" xfId="37757" xr:uid="{00000000-0005-0000-0000-000011730000}"/>
    <cellStyle name="Migliaia 12 4 3 3" xfId="38712" xr:uid="{00000000-0005-0000-0000-000012730000}"/>
    <cellStyle name="Migliaia 12 4 4" xfId="19250" xr:uid="{00000000-0005-0000-0000-000013730000}"/>
    <cellStyle name="Migliaia 12 4 4 2" xfId="37214" xr:uid="{00000000-0005-0000-0000-000014730000}"/>
    <cellStyle name="Migliaia 12 4 5" xfId="11361" xr:uid="{00000000-0005-0000-0000-000015730000}"/>
    <cellStyle name="Migliaia 12 4 6" xfId="21375" xr:uid="{00000000-0005-0000-0000-000016730000}"/>
    <cellStyle name="Migliaia 12 4 7" xfId="38169" xr:uid="{00000000-0005-0000-0000-000017730000}"/>
    <cellStyle name="Migliaia 12 4 8" xfId="39528" xr:uid="{00000000-0005-0000-0000-000018730000}"/>
    <cellStyle name="Migliaia 12 4 9" xfId="40014" xr:uid="{00000000-0005-0000-0000-000019730000}"/>
    <cellStyle name="Migliaia 12 5" xfId="445" xr:uid="{00000000-0005-0000-0000-00001A730000}"/>
    <cellStyle name="Migliaia 12 5 2" xfId="19252" xr:uid="{00000000-0005-0000-0000-00001B730000}"/>
    <cellStyle name="Migliaia 12 5 2 2" xfId="37216" xr:uid="{00000000-0005-0000-0000-00001C730000}"/>
    <cellStyle name="Migliaia 12 5 3" xfId="11362" xr:uid="{00000000-0005-0000-0000-00001D730000}"/>
    <cellStyle name="Migliaia 12 5 4" xfId="21376" xr:uid="{00000000-0005-0000-0000-00001E730000}"/>
    <cellStyle name="Migliaia 12 5 5" xfId="38171" xr:uid="{00000000-0005-0000-0000-00001F730000}"/>
    <cellStyle name="Migliaia 12 5 6" xfId="39529" xr:uid="{00000000-0005-0000-0000-000020730000}"/>
    <cellStyle name="Migliaia 12 5 7" xfId="40015" xr:uid="{00000000-0005-0000-0000-000021730000}"/>
    <cellStyle name="Migliaia 12 6" xfId="446" xr:uid="{00000000-0005-0000-0000-000022730000}"/>
    <cellStyle name="Migliaia 12 6 2" xfId="11357" xr:uid="{00000000-0005-0000-0000-000023730000}"/>
    <cellStyle name="Migliaia 12 6 3" xfId="21377" xr:uid="{00000000-0005-0000-0000-000024730000}"/>
    <cellStyle name="Migliaia 12 6 4" xfId="39530" xr:uid="{00000000-0005-0000-0000-000025730000}"/>
    <cellStyle name="Migliaia 12 6 5" xfId="40016" xr:uid="{00000000-0005-0000-0000-000026730000}"/>
    <cellStyle name="Migliaia 12 7" xfId="12034" xr:uid="{00000000-0005-0000-0000-000027730000}"/>
    <cellStyle name="Migliaia 12 7 2" xfId="30219" xr:uid="{00000000-0005-0000-0000-000028730000}"/>
    <cellStyle name="Migliaia 12 8" xfId="19245" xr:uid="{00000000-0005-0000-0000-000029730000}"/>
    <cellStyle name="Migliaia 12 8 2" xfId="37209" xr:uid="{00000000-0005-0000-0000-00002A730000}"/>
    <cellStyle name="Migliaia 12 9" xfId="3214" xr:uid="{00000000-0005-0000-0000-00002B730000}"/>
    <cellStyle name="Migliaia 12 9 2" xfId="23214" xr:uid="{00000000-0005-0000-0000-00002C730000}"/>
    <cellStyle name="Migliaia 13" xfId="447" xr:uid="{00000000-0005-0000-0000-00002D730000}"/>
    <cellStyle name="Migliaia 13 10" xfId="21378" xr:uid="{00000000-0005-0000-0000-00002E730000}"/>
    <cellStyle name="Migliaia 13 11" xfId="38172" xr:uid="{00000000-0005-0000-0000-00002F730000}"/>
    <cellStyle name="Migliaia 13 12" xfId="39122" xr:uid="{00000000-0005-0000-0000-000030730000}"/>
    <cellStyle name="Migliaia 13 13" xfId="39531" xr:uid="{00000000-0005-0000-0000-000031730000}"/>
    <cellStyle name="Migliaia 13 14" xfId="40017" xr:uid="{00000000-0005-0000-0000-000032730000}"/>
    <cellStyle name="Migliaia 13 2" xfId="448" xr:uid="{00000000-0005-0000-0000-000033730000}"/>
    <cellStyle name="Migliaia 13 2 10" xfId="39532" xr:uid="{00000000-0005-0000-0000-000034730000}"/>
    <cellStyle name="Migliaia 13 2 11" xfId="40018" xr:uid="{00000000-0005-0000-0000-000035730000}"/>
    <cellStyle name="Migliaia 13 2 2" xfId="3541" xr:uid="{00000000-0005-0000-0000-000036730000}"/>
    <cellStyle name="Migliaia 13 2 2 2" xfId="12302" xr:uid="{00000000-0005-0000-0000-000037730000}"/>
    <cellStyle name="Migliaia 13 2 2 2 2" xfId="30472" xr:uid="{00000000-0005-0000-0000-000038730000}"/>
    <cellStyle name="Migliaia 13 2 2 3" xfId="20442" xr:uid="{00000000-0005-0000-0000-000039730000}"/>
    <cellStyle name="Migliaia 13 2 2 3 2" xfId="37759" xr:uid="{00000000-0005-0000-0000-00003A730000}"/>
    <cellStyle name="Migliaia 13 2 2 4" xfId="23470" xr:uid="{00000000-0005-0000-0000-00003B730000}"/>
    <cellStyle name="Migliaia 13 2 2 5" xfId="38714" xr:uid="{00000000-0005-0000-0000-00003C730000}"/>
    <cellStyle name="Migliaia 13 2 2 6" xfId="39386" xr:uid="{00000000-0005-0000-0000-00003D730000}"/>
    <cellStyle name="Migliaia 13 2 3" xfId="11364" xr:uid="{00000000-0005-0000-0000-00003E730000}"/>
    <cellStyle name="Migliaia 13 2 4" xfId="12039" xr:uid="{00000000-0005-0000-0000-00003F730000}"/>
    <cellStyle name="Migliaia 13 2 4 2" xfId="30224" xr:uid="{00000000-0005-0000-0000-000040730000}"/>
    <cellStyle name="Migliaia 13 2 5" xfId="19254" xr:uid="{00000000-0005-0000-0000-000041730000}"/>
    <cellStyle name="Migliaia 13 2 5 2" xfId="37218" xr:uid="{00000000-0005-0000-0000-000042730000}"/>
    <cellStyle name="Migliaia 13 2 6" xfId="3219" xr:uid="{00000000-0005-0000-0000-000043730000}"/>
    <cellStyle name="Migliaia 13 2 6 2" xfId="23219" xr:uid="{00000000-0005-0000-0000-000044730000}"/>
    <cellStyle name="Migliaia 13 2 7" xfId="21379" xr:uid="{00000000-0005-0000-0000-000045730000}"/>
    <cellStyle name="Migliaia 13 2 8" xfId="38173" xr:uid="{00000000-0005-0000-0000-000046730000}"/>
    <cellStyle name="Migliaia 13 2 9" xfId="39123" xr:uid="{00000000-0005-0000-0000-000047730000}"/>
    <cellStyle name="Migliaia 13 3" xfId="449" xr:uid="{00000000-0005-0000-0000-000048730000}"/>
    <cellStyle name="Migliaia 13 3 10" xfId="39533" xr:uid="{00000000-0005-0000-0000-000049730000}"/>
    <cellStyle name="Migliaia 13 3 11" xfId="40019" xr:uid="{00000000-0005-0000-0000-00004A730000}"/>
    <cellStyle name="Migliaia 13 3 2" xfId="450" xr:uid="{00000000-0005-0000-0000-00004B730000}"/>
    <cellStyle name="Migliaia 13 3 2 10" xfId="40020" xr:uid="{00000000-0005-0000-0000-00004C730000}"/>
    <cellStyle name="Migliaia 13 3 2 2" xfId="11366" xr:uid="{00000000-0005-0000-0000-00004D730000}"/>
    <cellStyle name="Migliaia 13 3 2 3" xfId="12041" xr:uid="{00000000-0005-0000-0000-00004E730000}"/>
    <cellStyle name="Migliaia 13 3 2 3 2" xfId="30226" xr:uid="{00000000-0005-0000-0000-00004F730000}"/>
    <cellStyle name="Migliaia 13 3 2 4" xfId="19256" xr:uid="{00000000-0005-0000-0000-000050730000}"/>
    <cellStyle name="Migliaia 13 3 2 4 2" xfId="37220" xr:uid="{00000000-0005-0000-0000-000051730000}"/>
    <cellStyle name="Migliaia 13 3 2 5" xfId="3221" xr:uid="{00000000-0005-0000-0000-000052730000}"/>
    <cellStyle name="Migliaia 13 3 2 5 2" xfId="23221" xr:uid="{00000000-0005-0000-0000-000053730000}"/>
    <cellStyle name="Migliaia 13 3 2 6" xfId="21381" xr:uid="{00000000-0005-0000-0000-000054730000}"/>
    <cellStyle name="Migliaia 13 3 2 7" xfId="38175" xr:uid="{00000000-0005-0000-0000-000055730000}"/>
    <cellStyle name="Migliaia 13 3 2 8" xfId="39125" xr:uid="{00000000-0005-0000-0000-000056730000}"/>
    <cellStyle name="Migliaia 13 3 2 9" xfId="39534" xr:uid="{00000000-0005-0000-0000-000057730000}"/>
    <cellStyle name="Migliaia 13 3 3" xfId="11365" xr:uid="{00000000-0005-0000-0000-000058730000}"/>
    <cellStyle name="Migliaia 13 3 3 2" xfId="20444" xr:uid="{00000000-0005-0000-0000-000059730000}"/>
    <cellStyle name="Migliaia 13 3 3 2 2" xfId="37761" xr:uid="{00000000-0005-0000-0000-00005A730000}"/>
    <cellStyle name="Migliaia 13 3 3 2 3" xfId="38716" xr:uid="{00000000-0005-0000-0000-00005B730000}"/>
    <cellStyle name="Migliaia 13 3 3 3" xfId="19257" xr:uid="{00000000-0005-0000-0000-00005C730000}"/>
    <cellStyle name="Migliaia 13 3 3 3 2" xfId="37221" xr:uid="{00000000-0005-0000-0000-00005D730000}"/>
    <cellStyle name="Migliaia 13 3 3 4" xfId="38176" xr:uid="{00000000-0005-0000-0000-00005E730000}"/>
    <cellStyle name="Migliaia 13 3 4" xfId="12040" xr:uid="{00000000-0005-0000-0000-00005F730000}"/>
    <cellStyle name="Migliaia 13 3 4 2" xfId="20443" xr:uid="{00000000-0005-0000-0000-000060730000}"/>
    <cellStyle name="Migliaia 13 3 4 2 2" xfId="37760" xr:uid="{00000000-0005-0000-0000-000061730000}"/>
    <cellStyle name="Migliaia 13 3 4 3" xfId="30225" xr:uid="{00000000-0005-0000-0000-000062730000}"/>
    <cellStyle name="Migliaia 13 3 4 4" xfId="38715" xr:uid="{00000000-0005-0000-0000-000063730000}"/>
    <cellStyle name="Migliaia 13 3 5" xfId="19255" xr:uid="{00000000-0005-0000-0000-000064730000}"/>
    <cellStyle name="Migliaia 13 3 5 2" xfId="37219" xr:uid="{00000000-0005-0000-0000-000065730000}"/>
    <cellStyle name="Migliaia 13 3 6" xfId="3220" xr:uid="{00000000-0005-0000-0000-000066730000}"/>
    <cellStyle name="Migliaia 13 3 6 2" xfId="23220" xr:uid="{00000000-0005-0000-0000-000067730000}"/>
    <cellStyle name="Migliaia 13 3 7" xfId="21380" xr:uid="{00000000-0005-0000-0000-000068730000}"/>
    <cellStyle name="Migliaia 13 3 8" xfId="38174" xr:uid="{00000000-0005-0000-0000-000069730000}"/>
    <cellStyle name="Migliaia 13 3 9" xfId="39124" xr:uid="{00000000-0005-0000-0000-00006A730000}"/>
    <cellStyle name="Migliaia 13 4" xfId="451" xr:uid="{00000000-0005-0000-0000-00006B730000}"/>
    <cellStyle name="Migliaia 13 4 2" xfId="19259" xr:uid="{00000000-0005-0000-0000-00006C730000}"/>
    <cellStyle name="Migliaia 13 4 2 2" xfId="20446" xr:uid="{00000000-0005-0000-0000-00006D730000}"/>
    <cellStyle name="Migliaia 13 4 2 2 2" xfId="37763" xr:uid="{00000000-0005-0000-0000-00006E730000}"/>
    <cellStyle name="Migliaia 13 4 2 2 3" xfId="38718" xr:uid="{00000000-0005-0000-0000-00006F730000}"/>
    <cellStyle name="Migliaia 13 4 2 3" xfId="37223" xr:uid="{00000000-0005-0000-0000-000070730000}"/>
    <cellStyle name="Migliaia 13 4 2 4" xfId="38178" xr:uid="{00000000-0005-0000-0000-000071730000}"/>
    <cellStyle name="Migliaia 13 4 3" xfId="20445" xr:uid="{00000000-0005-0000-0000-000072730000}"/>
    <cellStyle name="Migliaia 13 4 3 2" xfId="37762" xr:uid="{00000000-0005-0000-0000-000073730000}"/>
    <cellStyle name="Migliaia 13 4 3 3" xfId="38717" xr:uid="{00000000-0005-0000-0000-000074730000}"/>
    <cellStyle name="Migliaia 13 4 4" xfId="19258" xr:uid="{00000000-0005-0000-0000-000075730000}"/>
    <cellStyle name="Migliaia 13 4 4 2" xfId="37222" xr:uid="{00000000-0005-0000-0000-000076730000}"/>
    <cellStyle name="Migliaia 13 4 5" xfId="11367" xr:uid="{00000000-0005-0000-0000-000077730000}"/>
    <cellStyle name="Migliaia 13 4 6" xfId="21382" xr:uid="{00000000-0005-0000-0000-000078730000}"/>
    <cellStyle name="Migliaia 13 4 7" xfId="38177" xr:uid="{00000000-0005-0000-0000-000079730000}"/>
    <cellStyle name="Migliaia 13 4 8" xfId="39535" xr:uid="{00000000-0005-0000-0000-00007A730000}"/>
    <cellStyle name="Migliaia 13 4 9" xfId="40021" xr:uid="{00000000-0005-0000-0000-00007B730000}"/>
    <cellStyle name="Migliaia 13 5" xfId="452" xr:uid="{00000000-0005-0000-0000-00007C730000}"/>
    <cellStyle name="Migliaia 13 5 2" xfId="19260" xr:uid="{00000000-0005-0000-0000-00007D730000}"/>
    <cellStyle name="Migliaia 13 5 2 2" xfId="37224" xr:uid="{00000000-0005-0000-0000-00007E730000}"/>
    <cellStyle name="Migliaia 13 5 3" xfId="11368" xr:uid="{00000000-0005-0000-0000-00007F730000}"/>
    <cellStyle name="Migliaia 13 5 4" xfId="21383" xr:uid="{00000000-0005-0000-0000-000080730000}"/>
    <cellStyle name="Migliaia 13 5 5" xfId="38179" xr:uid="{00000000-0005-0000-0000-000081730000}"/>
    <cellStyle name="Migliaia 13 5 6" xfId="39536" xr:uid="{00000000-0005-0000-0000-000082730000}"/>
    <cellStyle name="Migliaia 13 5 7" xfId="40022" xr:uid="{00000000-0005-0000-0000-000083730000}"/>
    <cellStyle name="Migliaia 13 6" xfId="453" xr:uid="{00000000-0005-0000-0000-000084730000}"/>
    <cellStyle name="Migliaia 13 6 2" xfId="11363" xr:uid="{00000000-0005-0000-0000-000085730000}"/>
    <cellStyle name="Migliaia 13 6 3" xfId="21384" xr:uid="{00000000-0005-0000-0000-000086730000}"/>
    <cellStyle name="Migliaia 13 6 4" xfId="39537" xr:uid="{00000000-0005-0000-0000-000087730000}"/>
    <cellStyle name="Migliaia 13 6 5" xfId="40023" xr:uid="{00000000-0005-0000-0000-000088730000}"/>
    <cellStyle name="Migliaia 13 7" xfId="12038" xr:uid="{00000000-0005-0000-0000-000089730000}"/>
    <cellStyle name="Migliaia 13 7 2" xfId="30223" xr:uid="{00000000-0005-0000-0000-00008A730000}"/>
    <cellStyle name="Migliaia 13 8" xfId="19253" xr:uid="{00000000-0005-0000-0000-00008B730000}"/>
    <cellStyle name="Migliaia 13 8 2" xfId="37217" xr:uid="{00000000-0005-0000-0000-00008C730000}"/>
    <cellStyle name="Migliaia 13 9" xfId="3218" xr:uid="{00000000-0005-0000-0000-00008D730000}"/>
    <cellStyle name="Migliaia 13 9 2" xfId="23218" xr:uid="{00000000-0005-0000-0000-00008E730000}"/>
    <cellStyle name="Migliaia 14" xfId="454" xr:uid="{00000000-0005-0000-0000-00008F730000}"/>
    <cellStyle name="Migliaia 14 10" xfId="21385" xr:uid="{00000000-0005-0000-0000-000090730000}"/>
    <cellStyle name="Migliaia 14 11" xfId="38180" xr:uid="{00000000-0005-0000-0000-000091730000}"/>
    <cellStyle name="Migliaia 14 12" xfId="39126" xr:uid="{00000000-0005-0000-0000-000092730000}"/>
    <cellStyle name="Migliaia 14 13" xfId="39538" xr:uid="{00000000-0005-0000-0000-000093730000}"/>
    <cellStyle name="Migliaia 14 14" xfId="40024" xr:uid="{00000000-0005-0000-0000-000094730000}"/>
    <cellStyle name="Migliaia 14 2" xfId="455" xr:uid="{00000000-0005-0000-0000-000095730000}"/>
    <cellStyle name="Migliaia 14 2 10" xfId="39539" xr:uid="{00000000-0005-0000-0000-000096730000}"/>
    <cellStyle name="Migliaia 14 2 11" xfId="40025" xr:uid="{00000000-0005-0000-0000-000097730000}"/>
    <cellStyle name="Migliaia 14 2 2" xfId="3542" xr:uid="{00000000-0005-0000-0000-000098730000}"/>
    <cellStyle name="Migliaia 14 2 2 2" xfId="12303" xr:uid="{00000000-0005-0000-0000-000099730000}"/>
    <cellStyle name="Migliaia 14 2 2 2 2" xfId="30473" xr:uid="{00000000-0005-0000-0000-00009A730000}"/>
    <cellStyle name="Migliaia 14 2 2 3" xfId="20447" xr:uid="{00000000-0005-0000-0000-00009B730000}"/>
    <cellStyle name="Migliaia 14 2 2 3 2" xfId="37764" xr:uid="{00000000-0005-0000-0000-00009C730000}"/>
    <cellStyle name="Migliaia 14 2 2 4" xfId="23471" xr:uid="{00000000-0005-0000-0000-00009D730000}"/>
    <cellStyle name="Migliaia 14 2 2 5" xfId="38719" xr:uid="{00000000-0005-0000-0000-00009E730000}"/>
    <cellStyle name="Migliaia 14 2 2 6" xfId="39387" xr:uid="{00000000-0005-0000-0000-00009F730000}"/>
    <cellStyle name="Migliaia 14 2 3" xfId="11370" xr:uid="{00000000-0005-0000-0000-0000A0730000}"/>
    <cellStyle name="Migliaia 14 2 4" xfId="12043" xr:uid="{00000000-0005-0000-0000-0000A1730000}"/>
    <cellStyle name="Migliaia 14 2 4 2" xfId="30228" xr:uid="{00000000-0005-0000-0000-0000A2730000}"/>
    <cellStyle name="Migliaia 14 2 5" xfId="19262" xr:uid="{00000000-0005-0000-0000-0000A3730000}"/>
    <cellStyle name="Migliaia 14 2 5 2" xfId="37226" xr:uid="{00000000-0005-0000-0000-0000A4730000}"/>
    <cellStyle name="Migliaia 14 2 6" xfId="3223" xr:uid="{00000000-0005-0000-0000-0000A5730000}"/>
    <cellStyle name="Migliaia 14 2 6 2" xfId="23223" xr:uid="{00000000-0005-0000-0000-0000A6730000}"/>
    <cellStyle name="Migliaia 14 2 7" xfId="21386" xr:uid="{00000000-0005-0000-0000-0000A7730000}"/>
    <cellStyle name="Migliaia 14 2 8" xfId="38181" xr:uid="{00000000-0005-0000-0000-0000A8730000}"/>
    <cellStyle name="Migliaia 14 2 9" xfId="39127" xr:uid="{00000000-0005-0000-0000-0000A9730000}"/>
    <cellStyle name="Migliaia 14 3" xfId="456" xr:uid="{00000000-0005-0000-0000-0000AA730000}"/>
    <cellStyle name="Migliaia 14 3 10" xfId="39540" xr:uid="{00000000-0005-0000-0000-0000AB730000}"/>
    <cellStyle name="Migliaia 14 3 11" xfId="40026" xr:uid="{00000000-0005-0000-0000-0000AC730000}"/>
    <cellStyle name="Migliaia 14 3 2" xfId="457" xr:uid="{00000000-0005-0000-0000-0000AD730000}"/>
    <cellStyle name="Migliaia 14 3 2 10" xfId="40027" xr:uid="{00000000-0005-0000-0000-0000AE730000}"/>
    <cellStyle name="Migliaia 14 3 2 2" xfId="11372" xr:uid="{00000000-0005-0000-0000-0000AF730000}"/>
    <cellStyle name="Migliaia 14 3 2 3" xfId="12045" xr:uid="{00000000-0005-0000-0000-0000B0730000}"/>
    <cellStyle name="Migliaia 14 3 2 3 2" xfId="30230" xr:uid="{00000000-0005-0000-0000-0000B1730000}"/>
    <cellStyle name="Migliaia 14 3 2 4" xfId="19264" xr:uid="{00000000-0005-0000-0000-0000B2730000}"/>
    <cellStyle name="Migliaia 14 3 2 4 2" xfId="37228" xr:uid="{00000000-0005-0000-0000-0000B3730000}"/>
    <cellStyle name="Migliaia 14 3 2 5" xfId="3225" xr:uid="{00000000-0005-0000-0000-0000B4730000}"/>
    <cellStyle name="Migliaia 14 3 2 5 2" xfId="23225" xr:uid="{00000000-0005-0000-0000-0000B5730000}"/>
    <cellStyle name="Migliaia 14 3 2 6" xfId="21388" xr:uid="{00000000-0005-0000-0000-0000B6730000}"/>
    <cellStyle name="Migliaia 14 3 2 7" xfId="38183" xr:uid="{00000000-0005-0000-0000-0000B7730000}"/>
    <cellStyle name="Migliaia 14 3 2 8" xfId="39129" xr:uid="{00000000-0005-0000-0000-0000B8730000}"/>
    <cellStyle name="Migliaia 14 3 2 9" xfId="39541" xr:uid="{00000000-0005-0000-0000-0000B9730000}"/>
    <cellStyle name="Migliaia 14 3 3" xfId="11371" xr:uid="{00000000-0005-0000-0000-0000BA730000}"/>
    <cellStyle name="Migliaia 14 3 3 2" xfId="20449" xr:uid="{00000000-0005-0000-0000-0000BB730000}"/>
    <cellStyle name="Migliaia 14 3 3 2 2" xfId="37766" xr:uid="{00000000-0005-0000-0000-0000BC730000}"/>
    <cellStyle name="Migliaia 14 3 3 2 3" xfId="38721" xr:uid="{00000000-0005-0000-0000-0000BD730000}"/>
    <cellStyle name="Migliaia 14 3 3 3" xfId="19265" xr:uid="{00000000-0005-0000-0000-0000BE730000}"/>
    <cellStyle name="Migliaia 14 3 3 3 2" xfId="37229" xr:uid="{00000000-0005-0000-0000-0000BF730000}"/>
    <cellStyle name="Migliaia 14 3 3 4" xfId="38184" xr:uid="{00000000-0005-0000-0000-0000C0730000}"/>
    <cellStyle name="Migliaia 14 3 4" xfId="12044" xr:uid="{00000000-0005-0000-0000-0000C1730000}"/>
    <cellStyle name="Migliaia 14 3 4 2" xfId="20448" xr:uid="{00000000-0005-0000-0000-0000C2730000}"/>
    <cellStyle name="Migliaia 14 3 4 2 2" xfId="37765" xr:uid="{00000000-0005-0000-0000-0000C3730000}"/>
    <cellStyle name="Migliaia 14 3 4 3" xfId="30229" xr:uid="{00000000-0005-0000-0000-0000C4730000}"/>
    <cellStyle name="Migliaia 14 3 4 4" xfId="38720" xr:uid="{00000000-0005-0000-0000-0000C5730000}"/>
    <cellStyle name="Migliaia 14 3 5" xfId="19263" xr:uid="{00000000-0005-0000-0000-0000C6730000}"/>
    <cellStyle name="Migliaia 14 3 5 2" xfId="37227" xr:uid="{00000000-0005-0000-0000-0000C7730000}"/>
    <cellStyle name="Migliaia 14 3 6" xfId="3224" xr:uid="{00000000-0005-0000-0000-0000C8730000}"/>
    <cellStyle name="Migliaia 14 3 6 2" xfId="23224" xr:uid="{00000000-0005-0000-0000-0000C9730000}"/>
    <cellStyle name="Migliaia 14 3 7" xfId="21387" xr:uid="{00000000-0005-0000-0000-0000CA730000}"/>
    <cellStyle name="Migliaia 14 3 8" xfId="38182" xr:uid="{00000000-0005-0000-0000-0000CB730000}"/>
    <cellStyle name="Migliaia 14 3 9" xfId="39128" xr:uid="{00000000-0005-0000-0000-0000CC730000}"/>
    <cellStyle name="Migliaia 14 4" xfId="458" xr:uid="{00000000-0005-0000-0000-0000CD730000}"/>
    <cellStyle name="Migliaia 14 4 2" xfId="19267" xr:uid="{00000000-0005-0000-0000-0000CE730000}"/>
    <cellStyle name="Migliaia 14 4 2 2" xfId="20451" xr:uid="{00000000-0005-0000-0000-0000CF730000}"/>
    <cellStyle name="Migliaia 14 4 2 2 2" xfId="37768" xr:uid="{00000000-0005-0000-0000-0000D0730000}"/>
    <cellStyle name="Migliaia 14 4 2 2 3" xfId="38723" xr:uid="{00000000-0005-0000-0000-0000D1730000}"/>
    <cellStyle name="Migliaia 14 4 2 3" xfId="37231" xr:uid="{00000000-0005-0000-0000-0000D2730000}"/>
    <cellStyle name="Migliaia 14 4 2 4" xfId="38186" xr:uid="{00000000-0005-0000-0000-0000D3730000}"/>
    <cellStyle name="Migliaia 14 4 3" xfId="20450" xr:uid="{00000000-0005-0000-0000-0000D4730000}"/>
    <cellStyle name="Migliaia 14 4 3 2" xfId="37767" xr:uid="{00000000-0005-0000-0000-0000D5730000}"/>
    <cellStyle name="Migliaia 14 4 3 3" xfId="38722" xr:uid="{00000000-0005-0000-0000-0000D6730000}"/>
    <cellStyle name="Migliaia 14 4 4" xfId="19266" xr:uid="{00000000-0005-0000-0000-0000D7730000}"/>
    <cellStyle name="Migliaia 14 4 4 2" xfId="37230" xr:uid="{00000000-0005-0000-0000-0000D8730000}"/>
    <cellStyle name="Migliaia 14 4 5" xfId="11373" xr:uid="{00000000-0005-0000-0000-0000D9730000}"/>
    <cellStyle name="Migliaia 14 4 6" xfId="21389" xr:uid="{00000000-0005-0000-0000-0000DA730000}"/>
    <cellStyle name="Migliaia 14 4 7" xfId="38185" xr:uid="{00000000-0005-0000-0000-0000DB730000}"/>
    <cellStyle name="Migliaia 14 4 8" xfId="39542" xr:uid="{00000000-0005-0000-0000-0000DC730000}"/>
    <cellStyle name="Migliaia 14 4 9" xfId="40028" xr:uid="{00000000-0005-0000-0000-0000DD730000}"/>
    <cellStyle name="Migliaia 14 5" xfId="459" xr:uid="{00000000-0005-0000-0000-0000DE730000}"/>
    <cellStyle name="Migliaia 14 5 2" xfId="19268" xr:uid="{00000000-0005-0000-0000-0000DF730000}"/>
    <cellStyle name="Migliaia 14 5 2 2" xfId="37232" xr:uid="{00000000-0005-0000-0000-0000E0730000}"/>
    <cellStyle name="Migliaia 14 5 3" xfId="11374" xr:uid="{00000000-0005-0000-0000-0000E1730000}"/>
    <cellStyle name="Migliaia 14 5 4" xfId="21390" xr:uid="{00000000-0005-0000-0000-0000E2730000}"/>
    <cellStyle name="Migliaia 14 5 5" xfId="38187" xr:uid="{00000000-0005-0000-0000-0000E3730000}"/>
    <cellStyle name="Migliaia 14 5 6" xfId="39543" xr:uid="{00000000-0005-0000-0000-0000E4730000}"/>
    <cellStyle name="Migliaia 14 5 7" xfId="40029" xr:uid="{00000000-0005-0000-0000-0000E5730000}"/>
    <cellStyle name="Migliaia 14 6" xfId="460" xr:uid="{00000000-0005-0000-0000-0000E6730000}"/>
    <cellStyle name="Migliaia 14 6 2" xfId="11369" xr:uid="{00000000-0005-0000-0000-0000E7730000}"/>
    <cellStyle name="Migliaia 14 6 3" xfId="21391" xr:uid="{00000000-0005-0000-0000-0000E8730000}"/>
    <cellStyle name="Migliaia 14 6 4" xfId="39544" xr:uid="{00000000-0005-0000-0000-0000E9730000}"/>
    <cellStyle name="Migliaia 14 6 5" xfId="40030" xr:uid="{00000000-0005-0000-0000-0000EA730000}"/>
    <cellStyle name="Migliaia 14 7" xfId="12042" xr:uid="{00000000-0005-0000-0000-0000EB730000}"/>
    <cellStyle name="Migliaia 14 7 2" xfId="30227" xr:uid="{00000000-0005-0000-0000-0000EC730000}"/>
    <cellStyle name="Migliaia 14 8" xfId="19261" xr:uid="{00000000-0005-0000-0000-0000ED730000}"/>
    <cellStyle name="Migliaia 14 8 2" xfId="37225" xr:uid="{00000000-0005-0000-0000-0000EE730000}"/>
    <cellStyle name="Migliaia 14 9" xfId="3222" xr:uid="{00000000-0005-0000-0000-0000EF730000}"/>
    <cellStyle name="Migliaia 14 9 2" xfId="23222" xr:uid="{00000000-0005-0000-0000-0000F0730000}"/>
    <cellStyle name="Migliaia 15" xfId="461" xr:uid="{00000000-0005-0000-0000-0000F1730000}"/>
    <cellStyle name="Migliaia 15 10" xfId="21392" xr:uid="{00000000-0005-0000-0000-0000F2730000}"/>
    <cellStyle name="Migliaia 15 11" xfId="38188" xr:uid="{00000000-0005-0000-0000-0000F3730000}"/>
    <cellStyle name="Migliaia 15 12" xfId="39130" xr:uid="{00000000-0005-0000-0000-0000F4730000}"/>
    <cellStyle name="Migliaia 15 13" xfId="39545" xr:uid="{00000000-0005-0000-0000-0000F5730000}"/>
    <cellStyle name="Migliaia 15 14" xfId="40031" xr:uid="{00000000-0005-0000-0000-0000F6730000}"/>
    <cellStyle name="Migliaia 15 2" xfId="462" xr:uid="{00000000-0005-0000-0000-0000F7730000}"/>
    <cellStyle name="Migliaia 15 2 10" xfId="39546" xr:uid="{00000000-0005-0000-0000-0000F8730000}"/>
    <cellStyle name="Migliaia 15 2 11" xfId="40032" xr:uid="{00000000-0005-0000-0000-0000F9730000}"/>
    <cellStyle name="Migliaia 15 2 2" xfId="3543" xr:uid="{00000000-0005-0000-0000-0000FA730000}"/>
    <cellStyle name="Migliaia 15 2 2 2" xfId="12304" xr:uid="{00000000-0005-0000-0000-0000FB730000}"/>
    <cellStyle name="Migliaia 15 2 2 2 2" xfId="30474" xr:uid="{00000000-0005-0000-0000-0000FC730000}"/>
    <cellStyle name="Migliaia 15 2 2 3" xfId="20452" xr:uid="{00000000-0005-0000-0000-0000FD730000}"/>
    <cellStyle name="Migliaia 15 2 2 3 2" xfId="37769" xr:uid="{00000000-0005-0000-0000-0000FE730000}"/>
    <cellStyle name="Migliaia 15 2 2 4" xfId="23472" xr:uid="{00000000-0005-0000-0000-0000FF730000}"/>
    <cellStyle name="Migliaia 15 2 2 5" xfId="38724" xr:uid="{00000000-0005-0000-0000-000000740000}"/>
    <cellStyle name="Migliaia 15 2 2 6" xfId="39388" xr:uid="{00000000-0005-0000-0000-000001740000}"/>
    <cellStyle name="Migliaia 15 2 3" xfId="11376" xr:uid="{00000000-0005-0000-0000-000002740000}"/>
    <cellStyle name="Migliaia 15 2 4" xfId="12047" xr:uid="{00000000-0005-0000-0000-000003740000}"/>
    <cellStyle name="Migliaia 15 2 4 2" xfId="30232" xr:uid="{00000000-0005-0000-0000-000004740000}"/>
    <cellStyle name="Migliaia 15 2 5" xfId="19270" xr:uid="{00000000-0005-0000-0000-000005740000}"/>
    <cellStyle name="Migliaia 15 2 5 2" xfId="37234" xr:uid="{00000000-0005-0000-0000-000006740000}"/>
    <cellStyle name="Migliaia 15 2 6" xfId="3227" xr:uid="{00000000-0005-0000-0000-000007740000}"/>
    <cellStyle name="Migliaia 15 2 6 2" xfId="23227" xr:uid="{00000000-0005-0000-0000-000008740000}"/>
    <cellStyle name="Migliaia 15 2 7" xfId="21393" xr:uid="{00000000-0005-0000-0000-000009740000}"/>
    <cellStyle name="Migliaia 15 2 8" xfId="38189" xr:uid="{00000000-0005-0000-0000-00000A740000}"/>
    <cellStyle name="Migliaia 15 2 9" xfId="39131" xr:uid="{00000000-0005-0000-0000-00000B740000}"/>
    <cellStyle name="Migliaia 15 3" xfId="463" xr:uid="{00000000-0005-0000-0000-00000C740000}"/>
    <cellStyle name="Migliaia 15 3 10" xfId="39547" xr:uid="{00000000-0005-0000-0000-00000D740000}"/>
    <cellStyle name="Migliaia 15 3 11" xfId="40033" xr:uid="{00000000-0005-0000-0000-00000E740000}"/>
    <cellStyle name="Migliaia 15 3 2" xfId="464" xr:uid="{00000000-0005-0000-0000-00000F740000}"/>
    <cellStyle name="Migliaia 15 3 2 10" xfId="40034" xr:uid="{00000000-0005-0000-0000-000010740000}"/>
    <cellStyle name="Migliaia 15 3 2 2" xfId="11378" xr:uid="{00000000-0005-0000-0000-000011740000}"/>
    <cellStyle name="Migliaia 15 3 2 3" xfId="12049" xr:uid="{00000000-0005-0000-0000-000012740000}"/>
    <cellStyle name="Migliaia 15 3 2 3 2" xfId="30234" xr:uid="{00000000-0005-0000-0000-000013740000}"/>
    <cellStyle name="Migliaia 15 3 2 4" xfId="19272" xr:uid="{00000000-0005-0000-0000-000014740000}"/>
    <cellStyle name="Migliaia 15 3 2 4 2" xfId="37236" xr:uid="{00000000-0005-0000-0000-000015740000}"/>
    <cellStyle name="Migliaia 15 3 2 5" xfId="3229" xr:uid="{00000000-0005-0000-0000-000016740000}"/>
    <cellStyle name="Migliaia 15 3 2 5 2" xfId="23229" xr:uid="{00000000-0005-0000-0000-000017740000}"/>
    <cellStyle name="Migliaia 15 3 2 6" xfId="21395" xr:uid="{00000000-0005-0000-0000-000018740000}"/>
    <cellStyle name="Migliaia 15 3 2 7" xfId="38191" xr:uid="{00000000-0005-0000-0000-000019740000}"/>
    <cellStyle name="Migliaia 15 3 2 8" xfId="39133" xr:uid="{00000000-0005-0000-0000-00001A740000}"/>
    <cellStyle name="Migliaia 15 3 2 9" xfId="39548" xr:uid="{00000000-0005-0000-0000-00001B740000}"/>
    <cellStyle name="Migliaia 15 3 3" xfId="11377" xr:uid="{00000000-0005-0000-0000-00001C740000}"/>
    <cellStyle name="Migliaia 15 3 3 2" xfId="20454" xr:uid="{00000000-0005-0000-0000-00001D740000}"/>
    <cellStyle name="Migliaia 15 3 3 2 2" xfId="37771" xr:uid="{00000000-0005-0000-0000-00001E740000}"/>
    <cellStyle name="Migliaia 15 3 3 2 3" xfId="38726" xr:uid="{00000000-0005-0000-0000-00001F740000}"/>
    <cellStyle name="Migliaia 15 3 3 3" xfId="19273" xr:uid="{00000000-0005-0000-0000-000020740000}"/>
    <cellStyle name="Migliaia 15 3 3 3 2" xfId="37237" xr:uid="{00000000-0005-0000-0000-000021740000}"/>
    <cellStyle name="Migliaia 15 3 3 4" xfId="38192" xr:uid="{00000000-0005-0000-0000-000022740000}"/>
    <cellStyle name="Migliaia 15 3 4" xfId="12048" xr:uid="{00000000-0005-0000-0000-000023740000}"/>
    <cellStyle name="Migliaia 15 3 4 2" xfId="20453" xr:uid="{00000000-0005-0000-0000-000024740000}"/>
    <cellStyle name="Migliaia 15 3 4 2 2" xfId="37770" xr:uid="{00000000-0005-0000-0000-000025740000}"/>
    <cellStyle name="Migliaia 15 3 4 3" xfId="30233" xr:uid="{00000000-0005-0000-0000-000026740000}"/>
    <cellStyle name="Migliaia 15 3 4 4" xfId="38725" xr:uid="{00000000-0005-0000-0000-000027740000}"/>
    <cellStyle name="Migliaia 15 3 5" xfId="19271" xr:uid="{00000000-0005-0000-0000-000028740000}"/>
    <cellStyle name="Migliaia 15 3 5 2" xfId="37235" xr:uid="{00000000-0005-0000-0000-000029740000}"/>
    <cellStyle name="Migliaia 15 3 6" xfId="3228" xr:uid="{00000000-0005-0000-0000-00002A740000}"/>
    <cellStyle name="Migliaia 15 3 6 2" xfId="23228" xr:uid="{00000000-0005-0000-0000-00002B740000}"/>
    <cellStyle name="Migliaia 15 3 7" xfId="21394" xr:uid="{00000000-0005-0000-0000-00002C740000}"/>
    <cellStyle name="Migliaia 15 3 8" xfId="38190" xr:uid="{00000000-0005-0000-0000-00002D740000}"/>
    <cellStyle name="Migliaia 15 3 9" xfId="39132" xr:uid="{00000000-0005-0000-0000-00002E740000}"/>
    <cellStyle name="Migliaia 15 4" xfId="465" xr:uid="{00000000-0005-0000-0000-00002F740000}"/>
    <cellStyle name="Migliaia 15 4 2" xfId="19275" xr:uid="{00000000-0005-0000-0000-000030740000}"/>
    <cellStyle name="Migliaia 15 4 2 2" xfId="20456" xr:uid="{00000000-0005-0000-0000-000031740000}"/>
    <cellStyle name="Migliaia 15 4 2 2 2" xfId="37773" xr:uid="{00000000-0005-0000-0000-000032740000}"/>
    <cellStyle name="Migliaia 15 4 2 2 3" xfId="38728" xr:uid="{00000000-0005-0000-0000-000033740000}"/>
    <cellStyle name="Migliaia 15 4 2 3" xfId="37239" xr:uid="{00000000-0005-0000-0000-000034740000}"/>
    <cellStyle name="Migliaia 15 4 2 4" xfId="38194" xr:uid="{00000000-0005-0000-0000-000035740000}"/>
    <cellStyle name="Migliaia 15 4 3" xfId="20455" xr:uid="{00000000-0005-0000-0000-000036740000}"/>
    <cellStyle name="Migliaia 15 4 3 2" xfId="37772" xr:uid="{00000000-0005-0000-0000-000037740000}"/>
    <cellStyle name="Migliaia 15 4 3 3" xfId="38727" xr:uid="{00000000-0005-0000-0000-000038740000}"/>
    <cellStyle name="Migliaia 15 4 4" xfId="19274" xr:uid="{00000000-0005-0000-0000-000039740000}"/>
    <cellStyle name="Migliaia 15 4 4 2" xfId="37238" xr:uid="{00000000-0005-0000-0000-00003A740000}"/>
    <cellStyle name="Migliaia 15 4 5" xfId="11379" xr:uid="{00000000-0005-0000-0000-00003B740000}"/>
    <cellStyle name="Migliaia 15 4 6" xfId="21396" xr:uid="{00000000-0005-0000-0000-00003C740000}"/>
    <cellStyle name="Migliaia 15 4 7" xfId="38193" xr:uid="{00000000-0005-0000-0000-00003D740000}"/>
    <cellStyle name="Migliaia 15 4 8" xfId="39549" xr:uid="{00000000-0005-0000-0000-00003E740000}"/>
    <cellStyle name="Migliaia 15 4 9" xfId="40035" xr:uid="{00000000-0005-0000-0000-00003F740000}"/>
    <cellStyle name="Migliaia 15 5" xfId="466" xr:uid="{00000000-0005-0000-0000-000040740000}"/>
    <cellStyle name="Migliaia 15 5 2" xfId="19276" xr:uid="{00000000-0005-0000-0000-000041740000}"/>
    <cellStyle name="Migliaia 15 5 2 2" xfId="37240" xr:uid="{00000000-0005-0000-0000-000042740000}"/>
    <cellStyle name="Migliaia 15 5 3" xfId="11380" xr:uid="{00000000-0005-0000-0000-000043740000}"/>
    <cellStyle name="Migliaia 15 5 4" xfId="21397" xr:uid="{00000000-0005-0000-0000-000044740000}"/>
    <cellStyle name="Migliaia 15 5 5" xfId="38195" xr:uid="{00000000-0005-0000-0000-000045740000}"/>
    <cellStyle name="Migliaia 15 5 6" xfId="39550" xr:uid="{00000000-0005-0000-0000-000046740000}"/>
    <cellStyle name="Migliaia 15 5 7" xfId="40036" xr:uid="{00000000-0005-0000-0000-000047740000}"/>
    <cellStyle name="Migliaia 15 6" xfId="467" xr:uid="{00000000-0005-0000-0000-000048740000}"/>
    <cellStyle name="Migliaia 15 6 2" xfId="11375" xr:uid="{00000000-0005-0000-0000-000049740000}"/>
    <cellStyle name="Migliaia 15 6 3" xfId="21398" xr:uid="{00000000-0005-0000-0000-00004A740000}"/>
    <cellStyle name="Migliaia 15 6 4" xfId="39551" xr:uid="{00000000-0005-0000-0000-00004B740000}"/>
    <cellStyle name="Migliaia 15 6 5" xfId="40037" xr:uid="{00000000-0005-0000-0000-00004C740000}"/>
    <cellStyle name="Migliaia 15 7" xfId="12046" xr:uid="{00000000-0005-0000-0000-00004D740000}"/>
    <cellStyle name="Migliaia 15 7 2" xfId="30231" xr:uid="{00000000-0005-0000-0000-00004E740000}"/>
    <cellStyle name="Migliaia 15 8" xfId="19269" xr:uid="{00000000-0005-0000-0000-00004F740000}"/>
    <cellStyle name="Migliaia 15 8 2" xfId="37233" xr:uid="{00000000-0005-0000-0000-000050740000}"/>
    <cellStyle name="Migliaia 15 9" xfId="3226" xr:uid="{00000000-0005-0000-0000-000051740000}"/>
    <cellStyle name="Migliaia 15 9 2" xfId="23226" xr:uid="{00000000-0005-0000-0000-000052740000}"/>
    <cellStyle name="Migliaia 16" xfId="468" xr:uid="{00000000-0005-0000-0000-000053740000}"/>
    <cellStyle name="Migliaia 16 10" xfId="21399" xr:uid="{00000000-0005-0000-0000-000054740000}"/>
    <cellStyle name="Migliaia 16 11" xfId="38196" xr:uid="{00000000-0005-0000-0000-000055740000}"/>
    <cellStyle name="Migliaia 16 12" xfId="39134" xr:uid="{00000000-0005-0000-0000-000056740000}"/>
    <cellStyle name="Migliaia 16 13" xfId="39552" xr:uid="{00000000-0005-0000-0000-000057740000}"/>
    <cellStyle name="Migliaia 16 14" xfId="40038" xr:uid="{00000000-0005-0000-0000-000058740000}"/>
    <cellStyle name="Migliaia 16 2" xfId="469" xr:uid="{00000000-0005-0000-0000-000059740000}"/>
    <cellStyle name="Migliaia 16 2 10" xfId="39553" xr:uid="{00000000-0005-0000-0000-00005A740000}"/>
    <cellStyle name="Migliaia 16 2 11" xfId="40039" xr:uid="{00000000-0005-0000-0000-00005B740000}"/>
    <cellStyle name="Migliaia 16 2 2" xfId="3544" xr:uid="{00000000-0005-0000-0000-00005C740000}"/>
    <cellStyle name="Migliaia 16 2 2 2" xfId="12305" xr:uid="{00000000-0005-0000-0000-00005D740000}"/>
    <cellStyle name="Migliaia 16 2 2 2 2" xfId="30475" xr:uid="{00000000-0005-0000-0000-00005E740000}"/>
    <cellStyle name="Migliaia 16 2 2 3" xfId="20457" xr:uid="{00000000-0005-0000-0000-00005F740000}"/>
    <cellStyle name="Migliaia 16 2 2 3 2" xfId="37774" xr:uid="{00000000-0005-0000-0000-000060740000}"/>
    <cellStyle name="Migliaia 16 2 2 4" xfId="23473" xr:uid="{00000000-0005-0000-0000-000061740000}"/>
    <cellStyle name="Migliaia 16 2 2 5" xfId="38729" xr:uid="{00000000-0005-0000-0000-000062740000}"/>
    <cellStyle name="Migliaia 16 2 2 6" xfId="39389" xr:uid="{00000000-0005-0000-0000-000063740000}"/>
    <cellStyle name="Migliaia 16 2 3" xfId="11382" xr:uid="{00000000-0005-0000-0000-000064740000}"/>
    <cellStyle name="Migliaia 16 2 4" xfId="12051" xr:uid="{00000000-0005-0000-0000-000065740000}"/>
    <cellStyle name="Migliaia 16 2 4 2" xfId="30236" xr:uid="{00000000-0005-0000-0000-000066740000}"/>
    <cellStyle name="Migliaia 16 2 5" xfId="19278" xr:uid="{00000000-0005-0000-0000-000067740000}"/>
    <cellStyle name="Migliaia 16 2 5 2" xfId="37242" xr:uid="{00000000-0005-0000-0000-000068740000}"/>
    <cellStyle name="Migliaia 16 2 6" xfId="3231" xr:uid="{00000000-0005-0000-0000-000069740000}"/>
    <cellStyle name="Migliaia 16 2 6 2" xfId="23231" xr:uid="{00000000-0005-0000-0000-00006A740000}"/>
    <cellStyle name="Migliaia 16 2 7" xfId="21400" xr:uid="{00000000-0005-0000-0000-00006B740000}"/>
    <cellStyle name="Migliaia 16 2 8" xfId="38197" xr:uid="{00000000-0005-0000-0000-00006C740000}"/>
    <cellStyle name="Migliaia 16 2 9" xfId="39135" xr:uid="{00000000-0005-0000-0000-00006D740000}"/>
    <cellStyle name="Migliaia 16 3" xfId="470" xr:uid="{00000000-0005-0000-0000-00006E740000}"/>
    <cellStyle name="Migliaia 16 3 10" xfId="39554" xr:uid="{00000000-0005-0000-0000-00006F740000}"/>
    <cellStyle name="Migliaia 16 3 11" xfId="40040" xr:uid="{00000000-0005-0000-0000-000070740000}"/>
    <cellStyle name="Migliaia 16 3 2" xfId="471" xr:uid="{00000000-0005-0000-0000-000071740000}"/>
    <cellStyle name="Migliaia 16 3 2 10" xfId="40041" xr:uid="{00000000-0005-0000-0000-000072740000}"/>
    <cellStyle name="Migliaia 16 3 2 2" xfId="11384" xr:uid="{00000000-0005-0000-0000-000073740000}"/>
    <cellStyle name="Migliaia 16 3 2 3" xfId="12053" xr:uid="{00000000-0005-0000-0000-000074740000}"/>
    <cellStyle name="Migliaia 16 3 2 3 2" xfId="30238" xr:uid="{00000000-0005-0000-0000-000075740000}"/>
    <cellStyle name="Migliaia 16 3 2 4" xfId="19280" xr:uid="{00000000-0005-0000-0000-000076740000}"/>
    <cellStyle name="Migliaia 16 3 2 4 2" xfId="37244" xr:uid="{00000000-0005-0000-0000-000077740000}"/>
    <cellStyle name="Migliaia 16 3 2 5" xfId="3233" xr:uid="{00000000-0005-0000-0000-000078740000}"/>
    <cellStyle name="Migliaia 16 3 2 5 2" xfId="23233" xr:uid="{00000000-0005-0000-0000-000079740000}"/>
    <cellStyle name="Migliaia 16 3 2 6" xfId="21402" xr:uid="{00000000-0005-0000-0000-00007A740000}"/>
    <cellStyle name="Migliaia 16 3 2 7" xfId="38199" xr:uid="{00000000-0005-0000-0000-00007B740000}"/>
    <cellStyle name="Migliaia 16 3 2 8" xfId="39137" xr:uid="{00000000-0005-0000-0000-00007C740000}"/>
    <cellStyle name="Migliaia 16 3 2 9" xfId="39555" xr:uid="{00000000-0005-0000-0000-00007D740000}"/>
    <cellStyle name="Migliaia 16 3 3" xfId="11383" xr:uid="{00000000-0005-0000-0000-00007E740000}"/>
    <cellStyle name="Migliaia 16 3 3 2" xfId="20459" xr:uid="{00000000-0005-0000-0000-00007F740000}"/>
    <cellStyle name="Migliaia 16 3 3 2 2" xfId="37776" xr:uid="{00000000-0005-0000-0000-000080740000}"/>
    <cellStyle name="Migliaia 16 3 3 2 3" xfId="38731" xr:uid="{00000000-0005-0000-0000-000081740000}"/>
    <cellStyle name="Migliaia 16 3 3 3" xfId="19281" xr:uid="{00000000-0005-0000-0000-000082740000}"/>
    <cellStyle name="Migliaia 16 3 3 3 2" xfId="37245" xr:uid="{00000000-0005-0000-0000-000083740000}"/>
    <cellStyle name="Migliaia 16 3 3 4" xfId="38200" xr:uid="{00000000-0005-0000-0000-000084740000}"/>
    <cellStyle name="Migliaia 16 3 4" xfId="12052" xr:uid="{00000000-0005-0000-0000-000085740000}"/>
    <cellStyle name="Migliaia 16 3 4 2" xfId="20458" xr:uid="{00000000-0005-0000-0000-000086740000}"/>
    <cellStyle name="Migliaia 16 3 4 2 2" xfId="37775" xr:uid="{00000000-0005-0000-0000-000087740000}"/>
    <cellStyle name="Migliaia 16 3 4 3" xfId="30237" xr:uid="{00000000-0005-0000-0000-000088740000}"/>
    <cellStyle name="Migliaia 16 3 4 4" xfId="38730" xr:uid="{00000000-0005-0000-0000-000089740000}"/>
    <cellStyle name="Migliaia 16 3 5" xfId="19279" xr:uid="{00000000-0005-0000-0000-00008A740000}"/>
    <cellStyle name="Migliaia 16 3 5 2" xfId="37243" xr:uid="{00000000-0005-0000-0000-00008B740000}"/>
    <cellStyle name="Migliaia 16 3 6" xfId="3232" xr:uid="{00000000-0005-0000-0000-00008C740000}"/>
    <cellStyle name="Migliaia 16 3 6 2" xfId="23232" xr:uid="{00000000-0005-0000-0000-00008D740000}"/>
    <cellStyle name="Migliaia 16 3 7" xfId="21401" xr:uid="{00000000-0005-0000-0000-00008E740000}"/>
    <cellStyle name="Migliaia 16 3 8" xfId="38198" xr:uid="{00000000-0005-0000-0000-00008F740000}"/>
    <cellStyle name="Migliaia 16 3 9" xfId="39136" xr:uid="{00000000-0005-0000-0000-000090740000}"/>
    <cellStyle name="Migliaia 16 4" xfId="472" xr:uid="{00000000-0005-0000-0000-000091740000}"/>
    <cellStyle name="Migliaia 16 4 2" xfId="19283" xr:uid="{00000000-0005-0000-0000-000092740000}"/>
    <cellStyle name="Migliaia 16 4 2 2" xfId="20461" xr:uid="{00000000-0005-0000-0000-000093740000}"/>
    <cellStyle name="Migliaia 16 4 2 2 2" xfId="37778" xr:uid="{00000000-0005-0000-0000-000094740000}"/>
    <cellStyle name="Migliaia 16 4 2 2 3" xfId="38733" xr:uid="{00000000-0005-0000-0000-000095740000}"/>
    <cellStyle name="Migliaia 16 4 2 3" xfId="37247" xr:uid="{00000000-0005-0000-0000-000096740000}"/>
    <cellStyle name="Migliaia 16 4 2 4" xfId="38202" xr:uid="{00000000-0005-0000-0000-000097740000}"/>
    <cellStyle name="Migliaia 16 4 3" xfId="20460" xr:uid="{00000000-0005-0000-0000-000098740000}"/>
    <cellStyle name="Migliaia 16 4 3 2" xfId="37777" xr:uid="{00000000-0005-0000-0000-000099740000}"/>
    <cellStyle name="Migliaia 16 4 3 3" xfId="38732" xr:uid="{00000000-0005-0000-0000-00009A740000}"/>
    <cellStyle name="Migliaia 16 4 4" xfId="19282" xr:uid="{00000000-0005-0000-0000-00009B740000}"/>
    <cellStyle name="Migliaia 16 4 4 2" xfId="37246" xr:uid="{00000000-0005-0000-0000-00009C740000}"/>
    <cellStyle name="Migliaia 16 4 5" xfId="11385" xr:uid="{00000000-0005-0000-0000-00009D740000}"/>
    <cellStyle name="Migliaia 16 4 6" xfId="21403" xr:uid="{00000000-0005-0000-0000-00009E740000}"/>
    <cellStyle name="Migliaia 16 4 7" xfId="38201" xr:uid="{00000000-0005-0000-0000-00009F740000}"/>
    <cellStyle name="Migliaia 16 4 8" xfId="39556" xr:uid="{00000000-0005-0000-0000-0000A0740000}"/>
    <cellStyle name="Migliaia 16 4 9" xfId="40042" xr:uid="{00000000-0005-0000-0000-0000A1740000}"/>
    <cellStyle name="Migliaia 16 5" xfId="473" xr:uid="{00000000-0005-0000-0000-0000A2740000}"/>
    <cellStyle name="Migliaia 16 5 2" xfId="19284" xr:uid="{00000000-0005-0000-0000-0000A3740000}"/>
    <cellStyle name="Migliaia 16 5 2 2" xfId="37248" xr:uid="{00000000-0005-0000-0000-0000A4740000}"/>
    <cellStyle name="Migliaia 16 5 3" xfId="11386" xr:uid="{00000000-0005-0000-0000-0000A5740000}"/>
    <cellStyle name="Migliaia 16 5 4" xfId="21404" xr:uid="{00000000-0005-0000-0000-0000A6740000}"/>
    <cellStyle name="Migliaia 16 5 5" xfId="38203" xr:uid="{00000000-0005-0000-0000-0000A7740000}"/>
    <cellStyle name="Migliaia 16 5 6" xfId="39557" xr:uid="{00000000-0005-0000-0000-0000A8740000}"/>
    <cellStyle name="Migliaia 16 5 7" xfId="40043" xr:uid="{00000000-0005-0000-0000-0000A9740000}"/>
    <cellStyle name="Migliaia 16 6" xfId="474" xr:uid="{00000000-0005-0000-0000-0000AA740000}"/>
    <cellStyle name="Migliaia 16 6 2" xfId="11381" xr:uid="{00000000-0005-0000-0000-0000AB740000}"/>
    <cellStyle name="Migliaia 16 6 3" xfId="21405" xr:uid="{00000000-0005-0000-0000-0000AC740000}"/>
    <cellStyle name="Migliaia 16 6 4" xfId="39558" xr:uid="{00000000-0005-0000-0000-0000AD740000}"/>
    <cellStyle name="Migliaia 16 6 5" xfId="40044" xr:uid="{00000000-0005-0000-0000-0000AE740000}"/>
    <cellStyle name="Migliaia 16 7" xfId="12050" xr:uid="{00000000-0005-0000-0000-0000AF740000}"/>
    <cellStyle name="Migliaia 16 7 2" xfId="30235" xr:uid="{00000000-0005-0000-0000-0000B0740000}"/>
    <cellStyle name="Migliaia 16 8" xfId="19277" xr:uid="{00000000-0005-0000-0000-0000B1740000}"/>
    <cellStyle name="Migliaia 16 8 2" xfId="37241" xr:uid="{00000000-0005-0000-0000-0000B2740000}"/>
    <cellStyle name="Migliaia 16 9" xfId="3230" xr:uid="{00000000-0005-0000-0000-0000B3740000}"/>
    <cellStyle name="Migliaia 16 9 2" xfId="23230" xr:uid="{00000000-0005-0000-0000-0000B4740000}"/>
    <cellStyle name="Migliaia 17" xfId="475" xr:uid="{00000000-0005-0000-0000-0000B5740000}"/>
    <cellStyle name="Migliaia 17 10" xfId="21406" xr:uid="{00000000-0005-0000-0000-0000B6740000}"/>
    <cellStyle name="Migliaia 17 11" xfId="38204" xr:uid="{00000000-0005-0000-0000-0000B7740000}"/>
    <cellStyle name="Migliaia 17 12" xfId="39138" xr:uid="{00000000-0005-0000-0000-0000B8740000}"/>
    <cellStyle name="Migliaia 17 13" xfId="39559" xr:uid="{00000000-0005-0000-0000-0000B9740000}"/>
    <cellStyle name="Migliaia 17 14" xfId="40045" xr:uid="{00000000-0005-0000-0000-0000BA740000}"/>
    <cellStyle name="Migliaia 17 2" xfId="476" xr:uid="{00000000-0005-0000-0000-0000BB740000}"/>
    <cellStyle name="Migliaia 17 2 10" xfId="39560" xr:uid="{00000000-0005-0000-0000-0000BC740000}"/>
    <cellStyle name="Migliaia 17 2 11" xfId="40046" xr:uid="{00000000-0005-0000-0000-0000BD740000}"/>
    <cellStyle name="Migliaia 17 2 2" xfId="3545" xr:uid="{00000000-0005-0000-0000-0000BE740000}"/>
    <cellStyle name="Migliaia 17 2 2 2" xfId="12306" xr:uid="{00000000-0005-0000-0000-0000BF740000}"/>
    <cellStyle name="Migliaia 17 2 2 2 2" xfId="30476" xr:uid="{00000000-0005-0000-0000-0000C0740000}"/>
    <cellStyle name="Migliaia 17 2 2 3" xfId="20462" xr:uid="{00000000-0005-0000-0000-0000C1740000}"/>
    <cellStyle name="Migliaia 17 2 2 3 2" xfId="37779" xr:uid="{00000000-0005-0000-0000-0000C2740000}"/>
    <cellStyle name="Migliaia 17 2 2 4" xfId="23474" xr:uid="{00000000-0005-0000-0000-0000C3740000}"/>
    <cellStyle name="Migliaia 17 2 2 5" xfId="38734" xr:uid="{00000000-0005-0000-0000-0000C4740000}"/>
    <cellStyle name="Migliaia 17 2 2 6" xfId="39390" xr:uid="{00000000-0005-0000-0000-0000C5740000}"/>
    <cellStyle name="Migliaia 17 2 3" xfId="11388" xr:uid="{00000000-0005-0000-0000-0000C6740000}"/>
    <cellStyle name="Migliaia 17 2 4" xfId="12055" xr:uid="{00000000-0005-0000-0000-0000C7740000}"/>
    <cellStyle name="Migliaia 17 2 4 2" xfId="30240" xr:uid="{00000000-0005-0000-0000-0000C8740000}"/>
    <cellStyle name="Migliaia 17 2 5" xfId="19286" xr:uid="{00000000-0005-0000-0000-0000C9740000}"/>
    <cellStyle name="Migliaia 17 2 5 2" xfId="37250" xr:uid="{00000000-0005-0000-0000-0000CA740000}"/>
    <cellStyle name="Migliaia 17 2 6" xfId="3235" xr:uid="{00000000-0005-0000-0000-0000CB740000}"/>
    <cellStyle name="Migliaia 17 2 6 2" xfId="23235" xr:uid="{00000000-0005-0000-0000-0000CC740000}"/>
    <cellStyle name="Migliaia 17 2 7" xfId="21407" xr:uid="{00000000-0005-0000-0000-0000CD740000}"/>
    <cellStyle name="Migliaia 17 2 8" xfId="38205" xr:uid="{00000000-0005-0000-0000-0000CE740000}"/>
    <cellStyle name="Migliaia 17 2 9" xfId="39139" xr:uid="{00000000-0005-0000-0000-0000CF740000}"/>
    <cellStyle name="Migliaia 17 3" xfId="477" xr:uid="{00000000-0005-0000-0000-0000D0740000}"/>
    <cellStyle name="Migliaia 17 3 10" xfId="39561" xr:uid="{00000000-0005-0000-0000-0000D1740000}"/>
    <cellStyle name="Migliaia 17 3 11" xfId="40047" xr:uid="{00000000-0005-0000-0000-0000D2740000}"/>
    <cellStyle name="Migliaia 17 3 2" xfId="478" xr:uid="{00000000-0005-0000-0000-0000D3740000}"/>
    <cellStyle name="Migliaia 17 3 2 10" xfId="40048" xr:uid="{00000000-0005-0000-0000-0000D4740000}"/>
    <cellStyle name="Migliaia 17 3 2 2" xfId="11390" xr:uid="{00000000-0005-0000-0000-0000D5740000}"/>
    <cellStyle name="Migliaia 17 3 2 3" xfId="12057" xr:uid="{00000000-0005-0000-0000-0000D6740000}"/>
    <cellStyle name="Migliaia 17 3 2 3 2" xfId="30242" xr:uid="{00000000-0005-0000-0000-0000D7740000}"/>
    <cellStyle name="Migliaia 17 3 2 4" xfId="19288" xr:uid="{00000000-0005-0000-0000-0000D8740000}"/>
    <cellStyle name="Migliaia 17 3 2 4 2" xfId="37252" xr:uid="{00000000-0005-0000-0000-0000D9740000}"/>
    <cellStyle name="Migliaia 17 3 2 5" xfId="3237" xr:uid="{00000000-0005-0000-0000-0000DA740000}"/>
    <cellStyle name="Migliaia 17 3 2 5 2" xfId="23237" xr:uid="{00000000-0005-0000-0000-0000DB740000}"/>
    <cellStyle name="Migliaia 17 3 2 6" xfId="21409" xr:uid="{00000000-0005-0000-0000-0000DC740000}"/>
    <cellStyle name="Migliaia 17 3 2 7" xfId="38207" xr:uid="{00000000-0005-0000-0000-0000DD740000}"/>
    <cellStyle name="Migliaia 17 3 2 8" xfId="39141" xr:uid="{00000000-0005-0000-0000-0000DE740000}"/>
    <cellStyle name="Migliaia 17 3 2 9" xfId="39562" xr:uid="{00000000-0005-0000-0000-0000DF740000}"/>
    <cellStyle name="Migliaia 17 3 3" xfId="11389" xr:uid="{00000000-0005-0000-0000-0000E0740000}"/>
    <cellStyle name="Migliaia 17 3 3 2" xfId="20464" xr:uid="{00000000-0005-0000-0000-0000E1740000}"/>
    <cellStyle name="Migliaia 17 3 3 2 2" xfId="37781" xr:uid="{00000000-0005-0000-0000-0000E2740000}"/>
    <cellStyle name="Migliaia 17 3 3 2 3" xfId="38736" xr:uid="{00000000-0005-0000-0000-0000E3740000}"/>
    <cellStyle name="Migliaia 17 3 3 3" xfId="19289" xr:uid="{00000000-0005-0000-0000-0000E4740000}"/>
    <cellStyle name="Migliaia 17 3 3 3 2" xfId="37253" xr:uid="{00000000-0005-0000-0000-0000E5740000}"/>
    <cellStyle name="Migliaia 17 3 3 4" xfId="38208" xr:uid="{00000000-0005-0000-0000-0000E6740000}"/>
    <cellStyle name="Migliaia 17 3 4" xfId="12056" xr:uid="{00000000-0005-0000-0000-0000E7740000}"/>
    <cellStyle name="Migliaia 17 3 4 2" xfId="20463" xr:uid="{00000000-0005-0000-0000-0000E8740000}"/>
    <cellStyle name="Migliaia 17 3 4 2 2" xfId="37780" xr:uid="{00000000-0005-0000-0000-0000E9740000}"/>
    <cellStyle name="Migliaia 17 3 4 3" xfId="30241" xr:uid="{00000000-0005-0000-0000-0000EA740000}"/>
    <cellStyle name="Migliaia 17 3 4 4" xfId="38735" xr:uid="{00000000-0005-0000-0000-0000EB740000}"/>
    <cellStyle name="Migliaia 17 3 5" xfId="19287" xr:uid="{00000000-0005-0000-0000-0000EC740000}"/>
    <cellStyle name="Migliaia 17 3 5 2" xfId="37251" xr:uid="{00000000-0005-0000-0000-0000ED740000}"/>
    <cellStyle name="Migliaia 17 3 6" xfId="3236" xr:uid="{00000000-0005-0000-0000-0000EE740000}"/>
    <cellStyle name="Migliaia 17 3 6 2" xfId="23236" xr:uid="{00000000-0005-0000-0000-0000EF740000}"/>
    <cellStyle name="Migliaia 17 3 7" xfId="21408" xr:uid="{00000000-0005-0000-0000-0000F0740000}"/>
    <cellStyle name="Migliaia 17 3 8" xfId="38206" xr:uid="{00000000-0005-0000-0000-0000F1740000}"/>
    <cellStyle name="Migliaia 17 3 9" xfId="39140" xr:uid="{00000000-0005-0000-0000-0000F2740000}"/>
    <cellStyle name="Migliaia 17 4" xfId="479" xr:uid="{00000000-0005-0000-0000-0000F3740000}"/>
    <cellStyle name="Migliaia 17 4 2" xfId="19291" xr:uid="{00000000-0005-0000-0000-0000F4740000}"/>
    <cellStyle name="Migliaia 17 4 2 2" xfId="20466" xr:uid="{00000000-0005-0000-0000-0000F5740000}"/>
    <cellStyle name="Migliaia 17 4 2 2 2" xfId="37783" xr:uid="{00000000-0005-0000-0000-0000F6740000}"/>
    <cellStyle name="Migliaia 17 4 2 2 3" xfId="38738" xr:uid="{00000000-0005-0000-0000-0000F7740000}"/>
    <cellStyle name="Migliaia 17 4 2 3" xfId="37255" xr:uid="{00000000-0005-0000-0000-0000F8740000}"/>
    <cellStyle name="Migliaia 17 4 2 4" xfId="38210" xr:uid="{00000000-0005-0000-0000-0000F9740000}"/>
    <cellStyle name="Migliaia 17 4 3" xfId="20465" xr:uid="{00000000-0005-0000-0000-0000FA740000}"/>
    <cellStyle name="Migliaia 17 4 3 2" xfId="37782" xr:uid="{00000000-0005-0000-0000-0000FB740000}"/>
    <cellStyle name="Migliaia 17 4 3 3" xfId="38737" xr:uid="{00000000-0005-0000-0000-0000FC740000}"/>
    <cellStyle name="Migliaia 17 4 4" xfId="19290" xr:uid="{00000000-0005-0000-0000-0000FD740000}"/>
    <cellStyle name="Migliaia 17 4 4 2" xfId="37254" xr:uid="{00000000-0005-0000-0000-0000FE740000}"/>
    <cellStyle name="Migliaia 17 4 5" xfId="11391" xr:uid="{00000000-0005-0000-0000-0000FF740000}"/>
    <cellStyle name="Migliaia 17 4 6" xfId="21410" xr:uid="{00000000-0005-0000-0000-000000750000}"/>
    <cellStyle name="Migliaia 17 4 7" xfId="38209" xr:uid="{00000000-0005-0000-0000-000001750000}"/>
    <cellStyle name="Migliaia 17 4 8" xfId="39563" xr:uid="{00000000-0005-0000-0000-000002750000}"/>
    <cellStyle name="Migliaia 17 4 9" xfId="40049" xr:uid="{00000000-0005-0000-0000-000003750000}"/>
    <cellStyle name="Migliaia 17 5" xfId="480" xr:uid="{00000000-0005-0000-0000-000004750000}"/>
    <cellStyle name="Migliaia 17 5 2" xfId="19292" xr:uid="{00000000-0005-0000-0000-000005750000}"/>
    <cellStyle name="Migliaia 17 5 2 2" xfId="37256" xr:uid="{00000000-0005-0000-0000-000006750000}"/>
    <cellStyle name="Migliaia 17 5 3" xfId="11392" xr:uid="{00000000-0005-0000-0000-000007750000}"/>
    <cellStyle name="Migliaia 17 5 4" xfId="21411" xr:uid="{00000000-0005-0000-0000-000008750000}"/>
    <cellStyle name="Migliaia 17 5 5" xfId="38211" xr:uid="{00000000-0005-0000-0000-000009750000}"/>
    <cellStyle name="Migliaia 17 5 6" xfId="39564" xr:uid="{00000000-0005-0000-0000-00000A750000}"/>
    <cellStyle name="Migliaia 17 5 7" xfId="40050" xr:uid="{00000000-0005-0000-0000-00000B750000}"/>
    <cellStyle name="Migliaia 17 6" xfId="481" xr:uid="{00000000-0005-0000-0000-00000C750000}"/>
    <cellStyle name="Migliaia 17 6 2" xfId="11387" xr:uid="{00000000-0005-0000-0000-00000D750000}"/>
    <cellStyle name="Migliaia 17 6 3" xfId="21412" xr:uid="{00000000-0005-0000-0000-00000E750000}"/>
    <cellStyle name="Migliaia 17 6 4" xfId="39565" xr:uid="{00000000-0005-0000-0000-00000F750000}"/>
    <cellStyle name="Migliaia 17 6 5" xfId="40051" xr:uid="{00000000-0005-0000-0000-000010750000}"/>
    <cellStyle name="Migliaia 17 7" xfId="12054" xr:uid="{00000000-0005-0000-0000-000011750000}"/>
    <cellStyle name="Migliaia 17 7 2" xfId="30239" xr:uid="{00000000-0005-0000-0000-000012750000}"/>
    <cellStyle name="Migliaia 17 8" xfId="19285" xr:uid="{00000000-0005-0000-0000-000013750000}"/>
    <cellStyle name="Migliaia 17 8 2" xfId="37249" xr:uid="{00000000-0005-0000-0000-000014750000}"/>
    <cellStyle name="Migliaia 17 9" xfId="3234" xr:uid="{00000000-0005-0000-0000-000015750000}"/>
    <cellStyle name="Migliaia 17 9 2" xfId="23234" xr:uid="{00000000-0005-0000-0000-000016750000}"/>
    <cellStyle name="Migliaia 18" xfId="482" xr:uid="{00000000-0005-0000-0000-000017750000}"/>
    <cellStyle name="Migliaia 18 10" xfId="21413" xr:uid="{00000000-0005-0000-0000-000018750000}"/>
    <cellStyle name="Migliaia 18 11" xfId="38212" xr:uid="{00000000-0005-0000-0000-000019750000}"/>
    <cellStyle name="Migliaia 18 12" xfId="39142" xr:uid="{00000000-0005-0000-0000-00001A750000}"/>
    <cellStyle name="Migliaia 18 13" xfId="39566" xr:uid="{00000000-0005-0000-0000-00001B750000}"/>
    <cellStyle name="Migliaia 18 14" xfId="40052" xr:uid="{00000000-0005-0000-0000-00001C750000}"/>
    <cellStyle name="Migliaia 18 2" xfId="483" xr:uid="{00000000-0005-0000-0000-00001D750000}"/>
    <cellStyle name="Migliaia 18 2 10" xfId="39567" xr:uid="{00000000-0005-0000-0000-00001E750000}"/>
    <cellStyle name="Migliaia 18 2 11" xfId="40053" xr:uid="{00000000-0005-0000-0000-00001F750000}"/>
    <cellStyle name="Migliaia 18 2 2" xfId="3546" xr:uid="{00000000-0005-0000-0000-000020750000}"/>
    <cellStyle name="Migliaia 18 2 2 2" xfId="12307" xr:uid="{00000000-0005-0000-0000-000021750000}"/>
    <cellStyle name="Migliaia 18 2 2 2 2" xfId="30477" xr:uid="{00000000-0005-0000-0000-000022750000}"/>
    <cellStyle name="Migliaia 18 2 2 3" xfId="20467" xr:uid="{00000000-0005-0000-0000-000023750000}"/>
    <cellStyle name="Migliaia 18 2 2 3 2" xfId="37784" xr:uid="{00000000-0005-0000-0000-000024750000}"/>
    <cellStyle name="Migliaia 18 2 2 4" xfId="23475" xr:uid="{00000000-0005-0000-0000-000025750000}"/>
    <cellStyle name="Migliaia 18 2 2 5" xfId="38739" xr:uid="{00000000-0005-0000-0000-000026750000}"/>
    <cellStyle name="Migliaia 18 2 2 6" xfId="39391" xr:uid="{00000000-0005-0000-0000-000027750000}"/>
    <cellStyle name="Migliaia 18 2 3" xfId="11394" xr:uid="{00000000-0005-0000-0000-000028750000}"/>
    <cellStyle name="Migliaia 18 2 4" xfId="12059" xr:uid="{00000000-0005-0000-0000-000029750000}"/>
    <cellStyle name="Migliaia 18 2 4 2" xfId="30244" xr:uid="{00000000-0005-0000-0000-00002A750000}"/>
    <cellStyle name="Migliaia 18 2 5" xfId="19294" xr:uid="{00000000-0005-0000-0000-00002B750000}"/>
    <cellStyle name="Migliaia 18 2 5 2" xfId="37258" xr:uid="{00000000-0005-0000-0000-00002C750000}"/>
    <cellStyle name="Migliaia 18 2 6" xfId="3239" xr:uid="{00000000-0005-0000-0000-00002D750000}"/>
    <cellStyle name="Migliaia 18 2 6 2" xfId="23239" xr:uid="{00000000-0005-0000-0000-00002E750000}"/>
    <cellStyle name="Migliaia 18 2 7" xfId="21414" xr:uid="{00000000-0005-0000-0000-00002F750000}"/>
    <cellStyle name="Migliaia 18 2 8" xfId="38213" xr:uid="{00000000-0005-0000-0000-000030750000}"/>
    <cellStyle name="Migliaia 18 2 9" xfId="39143" xr:uid="{00000000-0005-0000-0000-000031750000}"/>
    <cellStyle name="Migliaia 18 3" xfId="484" xr:uid="{00000000-0005-0000-0000-000032750000}"/>
    <cellStyle name="Migliaia 18 3 10" xfId="39568" xr:uid="{00000000-0005-0000-0000-000033750000}"/>
    <cellStyle name="Migliaia 18 3 11" xfId="40054" xr:uid="{00000000-0005-0000-0000-000034750000}"/>
    <cellStyle name="Migliaia 18 3 2" xfId="485" xr:uid="{00000000-0005-0000-0000-000035750000}"/>
    <cellStyle name="Migliaia 18 3 2 10" xfId="40055" xr:uid="{00000000-0005-0000-0000-000036750000}"/>
    <cellStyle name="Migliaia 18 3 2 2" xfId="11396" xr:uid="{00000000-0005-0000-0000-000037750000}"/>
    <cellStyle name="Migliaia 18 3 2 3" xfId="12061" xr:uid="{00000000-0005-0000-0000-000038750000}"/>
    <cellStyle name="Migliaia 18 3 2 3 2" xfId="30246" xr:uid="{00000000-0005-0000-0000-000039750000}"/>
    <cellStyle name="Migliaia 18 3 2 4" xfId="19296" xr:uid="{00000000-0005-0000-0000-00003A750000}"/>
    <cellStyle name="Migliaia 18 3 2 4 2" xfId="37260" xr:uid="{00000000-0005-0000-0000-00003B750000}"/>
    <cellStyle name="Migliaia 18 3 2 5" xfId="3241" xr:uid="{00000000-0005-0000-0000-00003C750000}"/>
    <cellStyle name="Migliaia 18 3 2 5 2" xfId="23241" xr:uid="{00000000-0005-0000-0000-00003D750000}"/>
    <cellStyle name="Migliaia 18 3 2 6" xfId="21416" xr:uid="{00000000-0005-0000-0000-00003E750000}"/>
    <cellStyle name="Migliaia 18 3 2 7" xfId="38215" xr:uid="{00000000-0005-0000-0000-00003F750000}"/>
    <cellStyle name="Migliaia 18 3 2 8" xfId="39145" xr:uid="{00000000-0005-0000-0000-000040750000}"/>
    <cellStyle name="Migliaia 18 3 2 9" xfId="39569" xr:uid="{00000000-0005-0000-0000-000041750000}"/>
    <cellStyle name="Migliaia 18 3 3" xfId="11395" xr:uid="{00000000-0005-0000-0000-000042750000}"/>
    <cellStyle name="Migliaia 18 3 3 2" xfId="20469" xr:uid="{00000000-0005-0000-0000-000043750000}"/>
    <cellStyle name="Migliaia 18 3 3 2 2" xfId="37786" xr:uid="{00000000-0005-0000-0000-000044750000}"/>
    <cellStyle name="Migliaia 18 3 3 2 3" xfId="38741" xr:uid="{00000000-0005-0000-0000-000045750000}"/>
    <cellStyle name="Migliaia 18 3 3 3" xfId="19297" xr:uid="{00000000-0005-0000-0000-000046750000}"/>
    <cellStyle name="Migliaia 18 3 3 3 2" xfId="37261" xr:uid="{00000000-0005-0000-0000-000047750000}"/>
    <cellStyle name="Migliaia 18 3 3 4" xfId="38216" xr:uid="{00000000-0005-0000-0000-000048750000}"/>
    <cellStyle name="Migliaia 18 3 4" xfId="12060" xr:uid="{00000000-0005-0000-0000-000049750000}"/>
    <cellStyle name="Migliaia 18 3 4 2" xfId="20468" xr:uid="{00000000-0005-0000-0000-00004A750000}"/>
    <cellStyle name="Migliaia 18 3 4 2 2" xfId="37785" xr:uid="{00000000-0005-0000-0000-00004B750000}"/>
    <cellStyle name="Migliaia 18 3 4 3" xfId="30245" xr:uid="{00000000-0005-0000-0000-00004C750000}"/>
    <cellStyle name="Migliaia 18 3 4 4" xfId="38740" xr:uid="{00000000-0005-0000-0000-00004D750000}"/>
    <cellStyle name="Migliaia 18 3 5" xfId="19295" xr:uid="{00000000-0005-0000-0000-00004E750000}"/>
    <cellStyle name="Migliaia 18 3 5 2" xfId="37259" xr:uid="{00000000-0005-0000-0000-00004F750000}"/>
    <cellStyle name="Migliaia 18 3 6" xfId="3240" xr:uid="{00000000-0005-0000-0000-000050750000}"/>
    <cellStyle name="Migliaia 18 3 6 2" xfId="23240" xr:uid="{00000000-0005-0000-0000-000051750000}"/>
    <cellStyle name="Migliaia 18 3 7" xfId="21415" xr:uid="{00000000-0005-0000-0000-000052750000}"/>
    <cellStyle name="Migliaia 18 3 8" xfId="38214" xr:uid="{00000000-0005-0000-0000-000053750000}"/>
    <cellStyle name="Migliaia 18 3 9" xfId="39144" xr:uid="{00000000-0005-0000-0000-000054750000}"/>
    <cellStyle name="Migliaia 18 4" xfId="486" xr:uid="{00000000-0005-0000-0000-000055750000}"/>
    <cellStyle name="Migliaia 18 4 2" xfId="19299" xr:uid="{00000000-0005-0000-0000-000056750000}"/>
    <cellStyle name="Migliaia 18 4 2 2" xfId="20471" xr:uid="{00000000-0005-0000-0000-000057750000}"/>
    <cellStyle name="Migliaia 18 4 2 2 2" xfId="37788" xr:uid="{00000000-0005-0000-0000-000058750000}"/>
    <cellStyle name="Migliaia 18 4 2 2 3" xfId="38743" xr:uid="{00000000-0005-0000-0000-000059750000}"/>
    <cellStyle name="Migliaia 18 4 2 3" xfId="37263" xr:uid="{00000000-0005-0000-0000-00005A750000}"/>
    <cellStyle name="Migliaia 18 4 2 4" xfId="38218" xr:uid="{00000000-0005-0000-0000-00005B750000}"/>
    <cellStyle name="Migliaia 18 4 3" xfId="20470" xr:uid="{00000000-0005-0000-0000-00005C750000}"/>
    <cellStyle name="Migliaia 18 4 3 2" xfId="37787" xr:uid="{00000000-0005-0000-0000-00005D750000}"/>
    <cellStyle name="Migliaia 18 4 3 3" xfId="38742" xr:uid="{00000000-0005-0000-0000-00005E750000}"/>
    <cellStyle name="Migliaia 18 4 4" xfId="19298" xr:uid="{00000000-0005-0000-0000-00005F750000}"/>
    <cellStyle name="Migliaia 18 4 4 2" xfId="37262" xr:uid="{00000000-0005-0000-0000-000060750000}"/>
    <cellStyle name="Migliaia 18 4 5" xfId="11397" xr:uid="{00000000-0005-0000-0000-000061750000}"/>
    <cellStyle name="Migliaia 18 4 6" xfId="21417" xr:uid="{00000000-0005-0000-0000-000062750000}"/>
    <cellStyle name="Migliaia 18 4 7" xfId="38217" xr:uid="{00000000-0005-0000-0000-000063750000}"/>
    <cellStyle name="Migliaia 18 4 8" xfId="39570" xr:uid="{00000000-0005-0000-0000-000064750000}"/>
    <cellStyle name="Migliaia 18 4 9" xfId="40056" xr:uid="{00000000-0005-0000-0000-000065750000}"/>
    <cellStyle name="Migliaia 18 5" xfId="487" xr:uid="{00000000-0005-0000-0000-000066750000}"/>
    <cellStyle name="Migliaia 18 5 2" xfId="19300" xr:uid="{00000000-0005-0000-0000-000067750000}"/>
    <cellStyle name="Migliaia 18 5 2 2" xfId="37264" xr:uid="{00000000-0005-0000-0000-000068750000}"/>
    <cellStyle name="Migliaia 18 5 3" xfId="11398" xr:uid="{00000000-0005-0000-0000-000069750000}"/>
    <cellStyle name="Migliaia 18 5 4" xfId="21418" xr:uid="{00000000-0005-0000-0000-00006A750000}"/>
    <cellStyle name="Migliaia 18 5 5" xfId="38219" xr:uid="{00000000-0005-0000-0000-00006B750000}"/>
    <cellStyle name="Migliaia 18 5 6" xfId="39571" xr:uid="{00000000-0005-0000-0000-00006C750000}"/>
    <cellStyle name="Migliaia 18 5 7" xfId="40057" xr:uid="{00000000-0005-0000-0000-00006D750000}"/>
    <cellStyle name="Migliaia 18 6" xfId="488" xr:uid="{00000000-0005-0000-0000-00006E750000}"/>
    <cellStyle name="Migliaia 18 6 2" xfId="11393" xr:uid="{00000000-0005-0000-0000-00006F750000}"/>
    <cellStyle name="Migliaia 18 6 3" xfId="21419" xr:uid="{00000000-0005-0000-0000-000070750000}"/>
    <cellStyle name="Migliaia 18 6 4" xfId="39572" xr:uid="{00000000-0005-0000-0000-000071750000}"/>
    <cellStyle name="Migliaia 18 6 5" xfId="40058" xr:uid="{00000000-0005-0000-0000-000072750000}"/>
    <cellStyle name="Migliaia 18 7" xfId="12058" xr:uid="{00000000-0005-0000-0000-000073750000}"/>
    <cellStyle name="Migliaia 18 7 2" xfId="30243" xr:uid="{00000000-0005-0000-0000-000074750000}"/>
    <cellStyle name="Migliaia 18 8" xfId="19293" xr:uid="{00000000-0005-0000-0000-000075750000}"/>
    <cellStyle name="Migliaia 18 8 2" xfId="37257" xr:uid="{00000000-0005-0000-0000-000076750000}"/>
    <cellStyle name="Migliaia 18 9" xfId="3238" xr:uid="{00000000-0005-0000-0000-000077750000}"/>
    <cellStyle name="Migliaia 18 9 2" xfId="23238" xr:uid="{00000000-0005-0000-0000-000078750000}"/>
    <cellStyle name="Migliaia 19" xfId="489" xr:uid="{00000000-0005-0000-0000-000079750000}"/>
    <cellStyle name="Migliaia 19 10" xfId="21420" xr:uid="{00000000-0005-0000-0000-00007A750000}"/>
    <cellStyle name="Migliaia 19 11" xfId="38220" xr:uid="{00000000-0005-0000-0000-00007B750000}"/>
    <cellStyle name="Migliaia 19 12" xfId="39146" xr:uid="{00000000-0005-0000-0000-00007C750000}"/>
    <cellStyle name="Migliaia 19 13" xfId="39573" xr:uid="{00000000-0005-0000-0000-00007D750000}"/>
    <cellStyle name="Migliaia 19 14" xfId="40059" xr:uid="{00000000-0005-0000-0000-00007E750000}"/>
    <cellStyle name="Migliaia 19 2" xfId="490" xr:uid="{00000000-0005-0000-0000-00007F750000}"/>
    <cellStyle name="Migliaia 19 2 10" xfId="39574" xr:uid="{00000000-0005-0000-0000-000080750000}"/>
    <cellStyle name="Migliaia 19 2 11" xfId="40060" xr:uid="{00000000-0005-0000-0000-000081750000}"/>
    <cellStyle name="Migliaia 19 2 2" xfId="3547" xr:uid="{00000000-0005-0000-0000-000082750000}"/>
    <cellStyle name="Migliaia 19 2 2 2" xfId="12308" xr:uid="{00000000-0005-0000-0000-000083750000}"/>
    <cellStyle name="Migliaia 19 2 2 2 2" xfId="30478" xr:uid="{00000000-0005-0000-0000-000084750000}"/>
    <cellStyle name="Migliaia 19 2 2 3" xfId="20472" xr:uid="{00000000-0005-0000-0000-000085750000}"/>
    <cellStyle name="Migliaia 19 2 2 3 2" xfId="37789" xr:uid="{00000000-0005-0000-0000-000086750000}"/>
    <cellStyle name="Migliaia 19 2 2 4" xfId="23476" xr:uid="{00000000-0005-0000-0000-000087750000}"/>
    <cellStyle name="Migliaia 19 2 2 5" xfId="38744" xr:uid="{00000000-0005-0000-0000-000088750000}"/>
    <cellStyle name="Migliaia 19 2 2 6" xfId="39392" xr:uid="{00000000-0005-0000-0000-000089750000}"/>
    <cellStyle name="Migliaia 19 2 3" xfId="11400" xr:uid="{00000000-0005-0000-0000-00008A750000}"/>
    <cellStyle name="Migliaia 19 2 4" xfId="12063" xr:uid="{00000000-0005-0000-0000-00008B750000}"/>
    <cellStyle name="Migliaia 19 2 4 2" xfId="30248" xr:uid="{00000000-0005-0000-0000-00008C750000}"/>
    <cellStyle name="Migliaia 19 2 5" xfId="19302" xr:uid="{00000000-0005-0000-0000-00008D750000}"/>
    <cellStyle name="Migliaia 19 2 5 2" xfId="37266" xr:uid="{00000000-0005-0000-0000-00008E750000}"/>
    <cellStyle name="Migliaia 19 2 6" xfId="3243" xr:uid="{00000000-0005-0000-0000-00008F750000}"/>
    <cellStyle name="Migliaia 19 2 6 2" xfId="23243" xr:uid="{00000000-0005-0000-0000-000090750000}"/>
    <cellStyle name="Migliaia 19 2 7" xfId="21421" xr:uid="{00000000-0005-0000-0000-000091750000}"/>
    <cellStyle name="Migliaia 19 2 8" xfId="38221" xr:uid="{00000000-0005-0000-0000-000092750000}"/>
    <cellStyle name="Migliaia 19 2 9" xfId="39147" xr:uid="{00000000-0005-0000-0000-000093750000}"/>
    <cellStyle name="Migliaia 19 3" xfId="491" xr:uid="{00000000-0005-0000-0000-000094750000}"/>
    <cellStyle name="Migliaia 19 3 10" xfId="39575" xr:uid="{00000000-0005-0000-0000-000095750000}"/>
    <cellStyle name="Migliaia 19 3 11" xfId="40061" xr:uid="{00000000-0005-0000-0000-000096750000}"/>
    <cellStyle name="Migliaia 19 3 2" xfId="492" xr:uid="{00000000-0005-0000-0000-000097750000}"/>
    <cellStyle name="Migliaia 19 3 2 10" xfId="40062" xr:uid="{00000000-0005-0000-0000-000098750000}"/>
    <cellStyle name="Migliaia 19 3 2 2" xfId="11402" xr:uid="{00000000-0005-0000-0000-000099750000}"/>
    <cellStyle name="Migliaia 19 3 2 3" xfId="12065" xr:uid="{00000000-0005-0000-0000-00009A750000}"/>
    <cellStyle name="Migliaia 19 3 2 3 2" xfId="30250" xr:uid="{00000000-0005-0000-0000-00009B750000}"/>
    <cellStyle name="Migliaia 19 3 2 4" xfId="19304" xr:uid="{00000000-0005-0000-0000-00009C750000}"/>
    <cellStyle name="Migliaia 19 3 2 4 2" xfId="37268" xr:uid="{00000000-0005-0000-0000-00009D750000}"/>
    <cellStyle name="Migliaia 19 3 2 5" xfId="3245" xr:uid="{00000000-0005-0000-0000-00009E750000}"/>
    <cellStyle name="Migliaia 19 3 2 5 2" xfId="23245" xr:uid="{00000000-0005-0000-0000-00009F750000}"/>
    <cellStyle name="Migliaia 19 3 2 6" xfId="21423" xr:uid="{00000000-0005-0000-0000-0000A0750000}"/>
    <cellStyle name="Migliaia 19 3 2 7" xfId="38223" xr:uid="{00000000-0005-0000-0000-0000A1750000}"/>
    <cellStyle name="Migliaia 19 3 2 8" xfId="39149" xr:uid="{00000000-0005-0000-0000-0000A2750000}"/>
    <cellStyle name="Migliaia 19 3 2 9" xfId="39576" xr:uid="{00000000-0005-0000-0000-0000A3750000}"/>
    <cellStyle name="Migliaia 19 3 3" xfId="11401" xr:uid="{00000000-0005-0000-0000-0000A4750000}"/>
    <cellStyle name="Migliaia 19 3 3 2" xfId="20474" xr:uid="{00000000-0005-0000-0000-0000A5750000}"/>
    <cellStyle name="Migliaia 19 3 3 2 2" xfId="37791" xr:uid="{00000000-0005-0000-0000-0000A6750000}"/>
    <cellStyle name="Migliaia 19 3 3 2 3" xfId="38746" xr:uid="{00000000-0005-0000-0000-0000A7750000}"/>
    <cellStyle name="Migliaia 19 3 3 3" xfId="19305" xr:uid="{00000000-0005-0000-0000-0000A8750000}"/>
    <cellStyle name="Migliaia 19 3 3 3 2" xfId="37269" xr:uid="{00000000-0005-0000-0000-0000A9750000}"/>
    <cellStyle name="Migliaia 19 3 3 4" xfId="38224" xr:uid="{00000000-0005-0000-0000-0000AA750000}"/>
    <cellStyle name="Migliaia 19 3 4" xfId="12064" xr:uid="{00000000-0005-0000-0000-0000AB750000}"/>
    <cellStyle name="Migliaia 19 3 4 2" xfId="20473" xr:uid="{00000000-0005-0000-0000-0000AC750000}"/>
    <cellStyle name="Migliaia 19 3 4 2 2" xfId="37790" xr:uid="{00000000-0005-0000-0000-0000AD750000}"/>
    <cellStyle name="Migliaia 19 3 4 3" xfId="30249" xr:uid="{00000000-0005-0000-0000-0000AE750000}"/>
    <cellStyle name="Migliaia 19 3 4 4" xfId="38745" xr:uid="{00000000-0005-0000-0000-0000AF750000}"/>
    <cellStyle name="Migliaia 19 3 5" xfId="19303" xr:uid="{00000000-0005-0000-0000-0000B0750000}"/>
    <cellStyle name="Migliaia 19 3 5 2" xfId="37267" xr:uid="{00000000-0005-0000-0000-0000B1750000}"/>
    <cellStyle name="Migliaia 19 3 6" xfId="3244" xr:uid="{00000000-0005-0000-0000-0000B2750000}"/>
    <cellStyle name="Migliaia 19 3 6 2" xfId="23244" xr:uid="{00000000-0005-0000-0000-0000B3750000}"/>
    <cellStyle name="Migliaia 19 3 7" xfId="21422" xr:uid="{00000000-0005-0000-0000-0000B4750000}"/>
    <cellStyle name="Migliaia 19 3 8" xfId="38222" xr:uid="{00000000-0005-0000-0000-0000B5750000}"/>
    <cellStyle name="Migliaia 19 3 9" xfId="39148" xr:uid="{00000000-0005-0000-0000-0000B6750000}"/>
    <cellStyle name="Migliaia 19 4" xfId="493" xr:uid="{00000000-0005-0000-0000-0000B7750000}"/>
    <cellStyle name="Migliaia 19 4 2" xfId="19307" xr:uid="{00000000-0005-0000-0000-0000B8750000}"/>
    <cellStyle name="Migliaia 19 4 2 2" xfId="20476" xr:uid="{00000000-0005-0000-0000-0000B9750000}"/>
    <cellStyle name="Migliaia 19 4 2 2 2" xfId="37793" xr:uid="{00000000-0005-0000-0000-0000BA750000}"/>
    <cellStyle name="Migliaia 19 4 2 2 3" xfId="38748" xr:uid="{00000000-0005-0000-0000-0000BB750000}"/>
    <cellStyle name="Migliaia 19 4 2 3" xfId="37271" xr:uid="{00000000-0005-0000-0000-0000BC750000}"/>
    <cellStyle name="Migliaia 19 4 2 4" xfId="38226" xr:uid="{00000000-0005-0000-0000-0000BD750000}"/>
    <cellStyle name="Migliaia 19 4 3" xfId="20475" xr:uid="{00000000-0005-0000-0000-0000BE750000}"/>
    <cellStyle name="Migliaia 19 4 3 2" xfId="37792" xr:uid="{00000000-0005-0000-0000-0000BF750000}"/>
    <cellStyle name="Migliaia 19 4 3 3" xfId="38747" xr:uid="{00000000-0005-0000-0000-0000C0750000}"/>
    <cellStyle name="Migliaia 19 4 4" xfId="19306" xr:uid="{00000000-0005-0000-0000-0000C1750000}"/>
    <cellStyle name="Migliaia 19 4 4 2" xfId="37270" xr:uid="{00000000-0005-0000-0000-0000C2750000}"/>
    <cellStyle name="Migliaia 19 4 5" xfId="11403" xr:uid="{00000000-0005-0000-0000-0000C3750000}"/>
    <cellStyle name="Migliaia 19 4 6" xfId="21424" xr:uid="{00000000-0005-0000-0000-0000C4750000}"/>
    <cellStyle name="Migliaia 19 4 7" xfId="38225" xr:uid="{00000000-0005-0000-0000-0000C5750000}"/>
    <cellStyle name="Migliaia 19 4 8" xfId="39577" xr:uid="{00000000-0005-0000-0000-0000C6750000}"/>
    <cellStyle name="Migliaia 19 4 9" xfId="40063" xr:uid="{00000000-0005-0000-0000-0000C7750000}"/>
    <cellStyle name="Migliaia 19 5" xfId="494" xr:uid="{00000000-0005-0000-0000-0000C8750000}"/>
    <cellStyle name="Migliaia 19 5 2" xfId="19308" xr:uid="{00000000-0005-0000-0000-0000C9750000}"/>
    <cellStyle name="Migliaia 19 5 2 2" xfId="37272" xr:uid="{00000000-0005-0000-0000-0000CA750000}"/>
    <cellStyle name="Migliaia 19 5 3" xfId="11404" xr:uid="{00000000-0005-0000-0000-0000CB750000}"/>
    <cellStyle name="Migliaia 19 5 4" xfId="21425" xr:uid="{00000000-0005-0000-0000-0000CC750000}"/>
    <cellStyle name="Migliaia 19 5 5" xfId="38227" xr:uid="{00000000-0005-0000-0000-0000CD750000}"/>
    <cellStyle name="Migliaia 19 5 6" xfId="39578" xr:uid="{00000000-0005-0000-0000-0000CE750000}"/>
    <cellStyle name="Migliaia 19 5 7" xfId="40064" xr:uid="{00000000-0005-0000-0000-0000CF750000}"/>
    <cellStyle name="Migliaia 19 6" xfId="495" xr:uid="{00000000-0005-0000-0000-0000D0750000}"/>
    <cellStyle name="Migliaia 19 6 2" xfId="11399" xr:uid="{00000000-0005-0000-0000-0000D1750000}"/>
    <cellStyle name="Migliaia 19 6 3" xfId="21426" xr:uid="{00000000-0005-0000-0000-0000D2750000}"/>
    <cellStyle name="Migliaia 19 6 4" xfId="39579" xr:uid="{00000000-0005-0000-0000-0000D3750000}"/>
    <cellStyle name="Migliaia 19 6 5" xfId="40065" xr:uid="{00000000-0005-0000-0000-0000D4750000}"/>
    <cellStyle name="Migliaia 19 7" xfId="12062" xr:uid="{00000000-0005-0000-0000-0000D5750000}"/>
    <cellStyle name="Migliaia 19 7 2" xfId="30247" xr:uid="{00000000-0005-0000-0000-0000D6750000}"/>
    <cellStyle name="Migliaia 19 8" xfId="19301" xr:uid="{00000000-0005-0000-0000-0000D7750000}"/>
    <cellStyle name="Migliaia 19 8 2" xfId="37265" xr:uid="{00000000-0005-0000-0000-0000D8750000}"/>
    <cellStyle name="Migliaia 19 9" xfId="3242" xr:uid="{00000000-0005-0000-0000-0000D9750000}"/>
    <cellStyle name="Migliaia 19 9 2" xfId="23242" xr:uid="{00000000-0005-0000-0000-0000DA750000}"/>
    <cellStyle name="Migliaia 2" xfId="496" xr:uid="{00000000-0005-0000-0000-0000DB750000}"/>
    <cellStyle name="Migliaia 2 10" xfId="3246" xr:uid="{00000000-0005-0000-0000-0000DC750000}"/>
    <cellStyle name="Migliaia 2 10 2" xfId="23246" xr:uid="{00000000-0005-0000-0000-0000DD750000}"/>
    <cellStyle name="Migliaia 2 11" xfId="21427" xr:uid="{00000000-0005-0000-0000-0000DE750000}"/>
    <cellStyle name="Migliaia 2 12" xfId="38228" xr:uid="{00000000-0005-0000-0000-0000DF750000}"/>
    <cellStyle name="Migliaia 2 13" xfId="39150" xr:uid="{00000000-0005-0000-0000-0000E0750000}"/>
    <cellStyle name="Migliaia 2 14" xfId="39580" xr:uid="{00000000-0005-0000-0000-0000E1750000}"/>
    <cellStyle name="Migliaia 2 15" xfId="40066" xr:uid="{00000000-0005-0000-0000-0000E2750000}"/>
    <cellStyle name="Migliaia 2 2" xfId="497" xr:uid="{00000000-0005-0000-0000-0000E3750000}"/>
    <cellStyle name="Migliaia 2 2 10" xfId="39581" xr:uid="{00000000-0005-0000-0000-0000E4750000}"/>
    <cellStyle name="Migliaia 2 2 11" xfId="40067" xr:uid="{00000000-0005-0000-0000-0000E5750000}"/>
    <cellStyle name="Migliaia 2 2 2" xfId="3548" xr:uid="{00000000-0005-0000-0000-0000E6750000}"/>
    <cellStyle name="Migliaia 2 2 2 2" xfId="12309" xr:uid="{00000000-0005-0000-0000-0000E7750000}"/>
    <cellStyle name="Migliaia 2 2 2 2 2" xfId="30479" xr:uid="{00000000-0005-0000-0000-0000E8750000}"/>
    <cellStyle name="Migliaia 2 2 2 3" xfId="20229" xr:uid="{00000000-0005-0000-0000-0000E9750000}"/>
    <cellStyle name="Migliaia 2 2 2 3 2" xfId="37739" xr:uid="{00000000-0005-0000-0000-0000EA750000}"/>
    <cellStyle name="Migliaia 2 2 2 4" xfId="23477" xr:uid="{00000000-0005-0000-0000-0000EB750000}"/>
    <cellStyle name="Migliaia 2 2 2 5" xfId="38694" xr:uid="{00000000-0005-0000-0000-0000EC750000}"/>
    <cellStyle name="Migliaia 2 2 2 6" xfId="39393" xr:uid="{00000000-0005-0000-0000-0000ED750000}"/>
    <cellStyle name="Migliaia 2 2 3" xfId="11406" xr:uid="{00000000-0005-0000-0000-0000EE750000}"/>
    <cellStyle name="Migliaia 2 2 4" xfId="12067" xr:uid="{00000000-0005-0000-0000-0000EF750000}"/>
    <cellStyle name="Migliaia 2 2 4 2" xfId="30252" xr:uid="{00000000-0005-0000-0000-0000F0750000}"/>
    <cellStyle name="Migliaia 2 2 5" xfId="19310" xr:uid="{00000000-0005-0000-0000-0000F1750000}"/>
    <cellStyle name="Migliaia 2 2 5 2" xfId="37274" xr:uid="{00000000-0005-0000-0000-0000F2750000}"/>
    <cellStyle name="Migliaia 2 2 6" xfId="3247" xr:uid="{00000000-0005-0000-0000-0000F3750000}"/>
    <cellStyle name="Migliaia 2 2 6 2" xfId="23247" xr:uid="{00000000-0005-0000-0000-0000F4750000}"/>
    <cellStyle name="Migliaia 2 2 7" xfId="21428" xr:uid="{00000000-0005-0000-0000-0000F5750000}"/>
    <cellStyle name="Migliaia 2 2 8" xfId="38229" xr:uid="{00000000-0005-0000-0000-0000F6750000}"/>
    <cellStyle name="Migliaia 2 2 9" xfId="39151" xr:uid="{00000000-0005-0000-0000-0000F7750000}"/>
    <cellStyle name="Migliaia 2 3" xfId="498" xr:uid="{00000000-0005-0000-0000-0000F8750000}"/>
    <cellStyle name="Migliaia 2 3 10" xfId="39582" xr:uid="{00000000-0005-0000-0000-0000F9750000}"/>
    <cellStyle name="Migliaia 2 3 11" xfId="40068" xr:uid="{00000000-0005-0000-0000-0000FA750000}"/>
    <cellStyle name="Migliaia 2 3 2" xfId="3549" xr:uid="{00000000-0005-0000-0000-0000FB750000}"/>
    <cellStyle name="Migliaia 2 3 2 2" xfId="12310" xr:uid="{00000000-0005-0000-0000-0000FC750000}"/>
    <cellStyle name="Migliaia 2 3 2 2 2" xfId="30480" xr:uid="{00000000-0005-0000-0000-0000FD750000}"/>
    <cellStyle name="Migliaia 2 3 2 3" xfId="20230" xr:uid="{00000000-0005-0000-0000-0000FE750000}"/>
    <cellStyle name="Migliaia 2 3 2 3 2" xfId="37740" xr:uid="{00000000-0005-0000-0000-0000FF750000}"/>
    <cellStyle name="Migliaia 2 3 2 4" xfId="23478" xr:uid="{00000000-0005-0000-0000-000000760000}"/>
    <cellStyle name="Migliaia 2 3 2 5" xfId="38695" xr:uid="{00000000-0005-0000-0000-000001760000}"/>
    <cellStyle name="Migliaia 2 3 2 6" xfId="39394" xr:uid="{00000000-0005-0000-0000-000002760000}"/>
    <cellStyle name="Migliaia 2 3 3" xfId="11407" xr:uid="{00000000-0005-0000-0000-000003760000}"/>
    <cellStyle name="Migliaia 2 3 4" xfId="12068" xr:uid="{00000000-0005-0000-0000-000004760000}"/>
    <cellStyle name="Migliaia 2 3 4 2" xfId="30253" xr:uid="{00000000-0005-0000-0000-000005760000}"/>
    <cellStyle name="Migliaia 2 3 5" xfId="19311" xr:uid="{00000000-0005-0000-0000-000006760000}"/>
    <cellStyle name="Migliaia 2 3 5 2" xfId="37275" xr:uid="{00000000-0005-0000-0000-000007760000}"/>
    <cellStyle name="Migliaia 2 3 6" xfId="3248" xr:uid="{00000000-0005-0000-0000-000008760000}"/>
    <cellStyle name="Migliaia 2 3 6 2" xfId="23248" xr:uid="{00000000-0005-0000-0000-000009760000}"/>
    <cellStyle name="Migliaia 2 3 7" xfId="21429" xr:uid="{00000000-0005-0000-0000-00000A760000}"/>
    <cellStyle name="Migliaia 2 3 8" xfId="38230" xr:uid="{00000000-0005-0000-0000-00000B760000}"/>
    <cellStyle name="Migliaia 2 3 9" xfId="39152" xr:uid="{00000000-0005-0000-0000-00000C760000}"/>
    <cellStyle name="Migliaia 2 4" xfId="499" xr:uid="{00000000-0005-0000-0000-00000D760000}"/>
    <cellStyle name="Migliaia 2 4 10" xfId="39583" xr:uid="{00000000-0005-0000-0000-00000E760000}"/>
    <cellStyle name="Migliaia 2 4 11" xfId="40069" xr:uid="{00000000-0005-0000-0000-00000F760000}"/>
    <cellStyle name="Migliaia 2 4 2" xfId="500" xr:uid="{00000000-0005-0000-0000-000010760000}"/>
    <cellStyle name="Migliaia 2 4 2 10" xfId="40070" xr:uid="{00000000-0005-0000-0000-000011760000}"/>
    <cellStyle name="Migliaia 2 4 2 2" xfId="11409" xr:uid="{00000000-0005-0000-0000-000012760000}"/>
    <cellStyle name="Migliaia 2 4 2 3" xfId="12070" xr:uid="{00000000-0005-0000-0000-000013760000}"/>
    <cellStyle name="Migliaia 2 4 2 3 2" xfId="30255" xr:uid="{00000000-0005-0000-0000-000014760000}"/>
    <cellStyle name="Migliaia 2 4 2 4" xfId="19313" xr:uid="{00000000-0005-0000-0000-000015760000}"/>
    <cellStyle name="Migliaia 2 4 2 4 2" xfId="37277" xr:uid="{00000000-0005-0000-0000-000016760000}"/>
    <cellStyle name="Migliaia 2 4 2 5" xfId="3250" xr:uid="{00000000-0005-0000-0000-000017760000}"/>
    <cellStyle name="Migliaia 2 4 2 5 2" xfId="23250" xr:uid="{00000000-0005-0000-0000-000018760000}"/>
    <cellStyle name="Migliaia 2 4 2 6" xfId="21431" xr:uid="{00000000-0005-0000-0000-000019760000}"/>
    <cellStyle name="Migliaia 2 4 2 7" xfId="38232" xr:uid="{00000000-0005-0000-0000-00001A760000}"/>
    <cellStyle name="Migliaia 2 4 2 8" xfId="39154" xr:uid="{00000000-0005-0000-0000-00001B760000}"/>
    <cellStyle name="Migliaia 2 4 2 9" xfId="39584" xr:uid="{00000000-0005-0000-0000-00001C760000}"/>
    <cellStyle name="Migliaia 2 4 3" xfId="11408" xr:uid="{00000000-0005-0000-0000-00001D760000}"/>
    <cellStyle name="Migliaia 2 4 3 2" xfId="20478" xr:uid="{00000000-0005-0000-0000-00001E760000}"/>
    <cellStyle name="Migliaia 2 4 3 2 2" xfId="37795" xr:uid="{00000000-0005-0000-0000-00001F760000}"/>
    <cellStyle name="Migliaia 2 4 3 2 3" xfId="38750" xr:uid="{00000000-0005-0000-0000-000020760000}"/>
    <cellStyle name="Migliaia 2 4 3 3" xfId="19314" xr:uid="{00000000-0005-0000-0000-000021760000}"/>
    <cellStyle name="Migliaia 2 4 3 3 2" xfId="37278" xr:uid="{00000000-0005-0000-0000-000022760000}"/>
    <cellStyle name="Migliaia 2 4 3 4" xfId="38233" xr:uid="{00000000-0005-0000-0000-000023760000}"/>
    <cellStyle name="Migliaia 2 4 4" xfId="12069" xr:uid="{00000000-0005-0000-0000-000024760000}"/>
    <cellStyle name="Migliaia 2 4 4 2" xfId="20477" xr:uid="{00000000-0005-0000-0000-000025760000}"/>
    <cellStyle name="Migliaia 2 4 4 2 2" xfId="37794" xr:uid="{00000000-0005-0000-0000-000026760000}"/>
    <cellStyle name="Migliaia 2 4 4 3" xfId="30254" xr:uid="{00000000-0005-0000-0000-000027760000}"/>
    <cellStyle name="Migliaia 2 4 4 4" xfId="38749" xr:uid="{00000000-0005-0000-0000-000028760000}"/>
    <cellStyle name="Migliaia 2 4 5" xfId="19312" xr:uid="{00000000-0005-0000-0000-000029760000}"/>
    <cellStyle name="Migliaia 2 4 5 2" xfId="37276" xr:uid="{00000000-0005-0000-0000-00002A760000}"/>
    <cellStyle name="Migliaia 2 4 6" xfId="3249" xr:uid="{00000000-0005-0000-0000-00002B760000}"/>
    <cellStyle name="Migliaia 2 4 6 2" xfId="23249" xr:uid="{00000000-0005-0000-0000-00002C760000}"/>
    <cellStyle name="Migliaia 2 4 7" xfId="21430" xr:uid="{00000000-0005-0000-0000-00002D760000}"/>
    <cellStyle name="Migliaia 2 4 8" xfId="38231" xr:uid="{00000000-0005-0000-0000-00002E760000}"/>
    <cellStyle name="Migliaia 2 4 9" xfId="39153" xr:uid="{00000000-0005-0000-0000-00002F760000}"/>
    <cellStyle name="Migliaia 2 5" xfId="501" xr:uid="{00000000-0005-0000-0000-000030760000}"/>
    <cellStyle name="Migliaia 2 5 2" xfId="19316" xr:uid="{00000000-0005-0000-0000-000031760000}"/>
    <cellStyle name="Migliaia 2 5 2 2" xfId="20480" xr:uid="{00000000-0005-0000-0000-000032760000}"/>
    <cellStyle name="Migliaia 2 5 2 2 2" xfId="37797" xr:uid="{00000000-0005-0000-0000-000033760000}"/>
    <cellStyle name="Migliaia 2 5 2 2 3" xfId="38752" xr:uid="{00000000-0005-0000-0000-000034760000}"/>
    <cellStyle name="Migliaia 2 5 2 3" xfId="37280" xr:uid="{00000000-0005-0000-0000-000035760000}"/>
    <cellStyle name="Migliaia 2 5 2 4" xfId="38235" xr:uid="{00000000-0005-0000-0000-000036760000}"/>
    <cellStyle name="Migliaia 2 5 3" xfId="20479" xr:uid="{00000000-0005-0000-0000-000037760000}"/>
    <cellStyle name="Migliaia 2 5 3 2" xfId="37796" xr:uid="{00000000-0005-0000-0000-000038760000}"/>
    <cellStyle name="Migliaia 2 5 3 3" xfId="38751" xr:uid="{00000000-0005-0000-0000-000039760000}"/>
    <cellStyle name="Migliaia 2 5 4" xfId="19315" xr:uid="{00000000-0005-0000-0000-00003A760000}"/>
    <cellStyle name="Migliaia 2 5 4 2" xfId="37279" xr:uid="{00000000-0005-0000-0000-00003B760000}"/>
    <cellStyle name="Migliaia 2 5 5" xfId="11410" xr:uid="{00000000-0005-0000-0000-00003C760000}"/>
    <cellStyle name="Migliaia 2 5 6" xfId="21432" xr:uid="{00000000-0005-0000-0000-00003D760000}"/>
    <cellStyle name="Migliaia 2 5 7" xfId="38234" xr:uid="{00000000-0005-0000-0000-00003E760000}"/>
    <cellStyle name="Migliaia 2 5 8" xfId="39585" xr:uid="{00000000-0005-0000-0000-00003F760000}"/>
    <cellStyle name="Migliaia 2 5 9" xfId="40071" xr:uid="{00000000-0005-0000-0000-000040760000}"/>
    <cellStyle name="Migliaia 2 6" xfId="502" xr:uid="{00000000-0005-0000-0000-000041760000}"/>
    <cellStyle name="Migliaia 2 6 2" xfId="19317" xr:uid="{00000000-0005-0000-0000-000042760000}"/>
    <cellStyle name="Migliaia 2 6 2 2" xfId="37281" xr:uid="{00000000-0005-0000-0000-000043760000}"/>
    <cellStyle name="Migliaia 2 6 3" xfId="11411" xr:uid="{00000000-0005-0000-0000-000044760000}"/>
    <cellStyle name="Migliaia 2 6 4" xfId="21433" xr:uid="{00000000-0005-0000-0000-000045760000}"/>
    <cellStyle name="Migliaia 2 6 5" xfId="38236" xr:uid="{00000000-0005-0000-0000-000046760000}"/>
    <cellStyle name="Migliaia 2 6 6" xfId="39586" xr:uid="{00000000-0005-0000-0000-000047760000}"/>
    <cellStyle name="Migliaia 2 6 7" xfId="40072" xr:uid="{00000000-0005-0000-0000-000048760000}"/>
    <cellStyle name="Migliaia 2 7" xfId="503" xr:uid="{00000000-0005-0000-0000-000049760000}"/>
    <cellStyle name="Migliaia 2 7 2" xfId="11405" xr:uid="{00000000-0005-0000-0000-00004A760000}"/>
    <cellStyle name="Migliaia 2 7 3" xfId="21434" xr:uid="{00000000-0005-0000-0000-00004B760000}"/>
    <cellStyle name="Migliaia 2 7 4" xfId="39587" xr:uid="{00000000-0005-0000-0000-00004C760000}"/>
    <cellStyle name="Migliaia 2 7 5" xfId="40073" xr:uid="{00000000-0005-0000-0000-00004D760000}"/>
    <cellStyle name="Migliaia 2 8" xfId="12066" xr:uid="{00000000-0005-0000-0000-00004E760000}"/>
    <cellStyle name="Migliaia 2 8 2" xfId="30251" xr:uid="{00000000-0005-0000-0000-00004F760000}"/>
    <cellStyle name="Migliaia 2 9" xfId="19309" xr:uid="{00000000-0005-0000-0000-000050760000}"/>
    <cellStyle name="Migliaia 2 9 2" xfId="37273" xr:uid="{00000000-0005-0000-0000-000051760000}"/>
    <cellStyle name="Migliaia 2_Domestico_reg&amp;naz" xfId="504" xr:uid="{00000000-0005-0000-0000-000052760000}"/>
    <cellStyle name="Migliaia 20" xfId="505" xr:uid="{00000000-0005-0000-0000-000053760000}"/>
    <cellStyle name="Migliaia 20 10" xfId="21435" xr:uid="{00000000-0005-0000-0000-000054760000}"/>
    <cellStyle name="Migliaia 20 11" xfId="38237" xr:uid="{00000000-0005-0000-0000-000055760000}"/>
    <cellStyle name="Migliaia 20 12" xfId="39155" xr:uid="{00000000-0005-0000-0000-000056760000}"/>
    <cellStyle name="Migliaia 20 13" xfId="39588" xr:uid="{00000000-0005-0000-0000-000057760000}"/>
    <cellStyle name="Migliaia 20 14" xfId="40074" xr:uid="{00000000-0005-0000-0000-000058760000}"/>
    <cellStyle name="Migliaia 20 2" xfId="506" xr:uid="{00000000-0005-0000-0000-000059760000}"/>
    <cellStyle name="Migliaia 20 2 10" xfId="39589" xr:uid="{00000000-0005-0000-0000-00005A760000}"/>
    <cellStyle name="Migliaia 20 2 11" xfId="40075" xr:uid="{00000000-0005-0000-0000-00005B760000}"/>
    <cellStyle name="Migliaia 20 2 2" xfId="3550" xr:uid="{00000000-0005-0000-0000-00005C760000}"/>
    <cellStyle name="Migliaia 20 2 2 2" xfId="12311" xr:uid="{00000000-0005-0000-0000-00005D760000}"/>
    <cellStyle name="Migliaia 20 2 2 2 2" xfId="30481" xr:uid="{00000000-0005-0000-0000-00005E760000}"/>
    <cellStyle name="Migliaia 20 2 2 3" xfId="20481" xr:uid="{00000000-0005-0000-0000-00005F760000}"/>
    <cellStyle name="Migliaia 20 2 2 3 2" xfId="37798" xr:uid="{00000000-0005-0000-0000-000060760000}"/>
    <cellStyle name="Migliaia 20 2 2 4" xfId="23479" xr:uid="{00000000-0005-0000-0000-000061760000}"/>
    <cellStyle name="Migliaia 20 2 2 5" xfId="38753" xr:uid="{00000000-0005-0000-0000-000062760000}"/>
    <cellStyle name="Migliaia 20 2 2 6" xfId="39395" xr:uid="{00000000-0005-0000-0000-000063760000}"/>
    <cellStyle name="Migliaia 20 2 3" xfId="11413" xr:uid="{00000000-0005-0000-0000-000064760000}"/>
    <cellStyle name="Migliaia 20 2 4" xfId="12072" xr:uid="{00000000-0005-0000-0000-000065760000}"/>
    <cellStyle name="Migliaia 20 2 4 2" xfId="30257" xr:uid="{00000000-0005-0000-0000-000066760000}"/>
    <cellStyle name="Migliaia 20 2 5" xfId="19319" xr:uid="{00000000-0005-0000-0000-000067760000}"/>
    <cellStyle name="Migliaia 20 2 5 2" xfId="37283" xr:uid="{00000000-0005-0000-0000-000068760000}"/>
    <cellStyle name="Migliaia 20 2 6" xfId="3252" xr:uid="{00000000-0005-0000-0000-000069760000}"/>
    <cellStyle name="Migliaia 20 2 6 2" xfId="23252" xr:uid="{00000000-0005-0000-0000-00006A760000}"/>
    <cellStyle name="Migliaia 20 2 7" xfId="21436" xr:uid="{00000000-0005-0000-0000-00006B760000}"/>
    <cellStyle name="Migliaia 20 2 8" xfId="38238" xr:uid="{00000000-0005-0000-0000-00006C760000}"/>
    <cellStyle name="Migliaia 20 2 9" xfId="39156" xr:uid="{00000000-0005-0000-0000-00006D760000}"/>
    <cellStyle name="Migliaia 20 3" xfId="507" xr:uid="{00000000-0005-0000-0000-00006E760000}"/>
    <cellStyle name="Migliaia 20 3 10" xfId="39590" xr:uid="{00000000-0005-0000-0000-00006F760000}"/>
    <cellStyle name="Migliaia 20 3 11" xfId="40076" xr:uid="{00000000-0005-0000-0000-000070760000}"/>
    <cellStyle name="Migliaia 20 3 2" xfId="508" xr:uid="{00000000-0005-0000-0000-000071760000}"/>
    <cellStyle name="Migliaia 20 3 2 10" xfId="40077" xr:uid="{00000000-0005-0000-0000-000072760000}"/>
    <cellStyle name="Migliaia 20 3 2 2" xfId="11415" xr:uid="{00000000-0005-0000-0000-000073760000}"/>
    <cellStyle name="Migliaia 20 3 2 3" xfId="12074" xr:uid="{00000000-0005-0000-0000-000074760000}"/>
    <cellStyle name="Migliaia 20 3 2 3 2" xfId="30259" xr:uid="{00000000-0005-0000-0000-000075760000}"/>
    <cellStyle name="Migliaia 20 3 2 4" xfId="19321" xr:uid="{00000000-0005-0000-0000-000076760000}"/>
    <cellStyle name="Migliaia 20 3 2 4 2" xfId="37285" xr:uid="{00000000-0005-0000-0000-000077760000}"/>
    <cellStyle name="Migliaia 20 3 2 5" xfId="3254" xr:uid="{00000000-0005-0000-0000-000078760000}"/>
    <cellStyle name="Migliaia 20 3 2 5 2" xfId="23254" xr:uid="{00000000-0005-0000-0000-000079760000}"/>
    <cellStyle name="Migliaia 20 3 2 6" xfId="21438" xr:uid="{00000000-0005-0000-0000-00007A760000}"/>
    <cellStyle name="Migliaia 20 3 2 7" xfId="38240" xr:uid="{00000000-0005-0000-0000-00007B760000}"/>
    <cellStyle name="Migliaia 20 3 2 8" xfId="39158" xr:uid="{00000000-0005-0000-0000-00007C760000}"/>
    <cellStyle name="Migliaia 20 3 2 9" xfId="39591" xr:uid="{00000000-0005-0000-0000-00007D760000}"/>
    <cellStyle name="Migliaia 20 3 3" xfId="11414" xr:uid="{00000000-0005-0000-0000-00007E760000}"/>
    <cellStyle name="Migliaia 20 3 3 2" xfId="20483" xr:uid="{00000000-0005-0000-0000-00007F760000}"/>
    <cellStyle name="Migliaia 20 3 3 2 2" xfId="37800" xr:uid="{00000000-0005-0000-0000-000080760000}"/>
    <cellStyle name="Migliaia 20 3 3 2 3" xfId="38755" xr:uid="{00000000-0005-0000-0000-000081760000}"/>
    <cellStyle name="Migliaia 20 3 3 3" xfId="19322" xr:uid="{00000000-0005-0000-0000-000082760000}"/>
    <cellStyle name="Migliaia 20 3 3 3 2" xfId="37286" xr:uid="{00000000-0005-0000-0000-000083760000}"/>
    <cellStyle name="Migliaia 20 3 3 4" xfId="38241" xr:uid="{00000000-0005-0000-0000-000084760000}"/>
    <cellStyle name="Migliaia 20 3 4" xfId="12073" xr:uid="{00000000-0005-0000-0000-000085760000}"/>
    <cellStyle name="Migliaia 20 3 4 2" xfId="20482" xr:uid="{00000000-0005-0000-0000-000086760000}"/>
    <cellStyle name="Migliaia 20 3 4 2 2" xfId="37799" xr:uid="{00000000-0005-0000-0000-000087760000}"/>
    <cellStyle name="Migliaia 20 3 4 3" xfId="30258" xr:uid="{00000000-0005-0000-0000-000088760000}"/>
    <cellStyle name="Migliaia 20 3 4 4" xfId="38754" xr:uid="{00000000-0005-0000-0000-000089760000}"/>
    <cellStyle name="Migliaia 20 3 5" xfId="19320" xr:uid="{00000000-0005-0000-0000-00008A760000}"/>
    <cellStyle name="Migliaia 20 3 5 2" xfId="37284" xr:uid="{00000000-0005-0000-0000-00008B760000}"/>
    <cellStyle name="Migliaia 20 3 6" xfId="3253" xr:uid="{00000000-0005-0000-0000-00008C760000}"/>
    <cellStyle name="Migliaia 20 3 6 2" xfId="23253" xr:uid="{00000000-0005-0000-0000-00008D760000}"/>
    <cellStyle name="Migliaia 20 3 7" xfId="21437" xr:uid="{00000000-0005-0000-0000-00008E760000}"/>
    <cellStyle name="Migliaia 20 3 8" xfId="38239" xr:uid="{00000000-0005-0000-0000-00008F760000}"/>
    <cellStyle name="Migliaia 20 3 9" xfId="39157" xr:uid="{00000000-0005-0000-0000-000090760000}"/>
    <cellStyle name="Migliaia 20 4" xfId="509" xr:uid="{00000000-0005-0000-0000-000091760000}"/>
    <cellStyle name="Migliaia 20 4 2" xfId="19324" xr:uid="{00000000-0005-0000-0000-000092760000}"/>
    <cellStyle name="Migliaia 20 4 2 2" xfId="20485" xr:uid="{00000000-0005-0000-0000-000093760000}"/>
    <cellStyle name="Migliaia 20 4 2 2 2" xfId="37802" xr:uid="{00000000-0005-0000-0000-000094760000}"/>
    <cellStyle name="Migliaia 20 4 2 2 3" xfId="38757" xr:uid="{00000000-0005-0000-0000-000095760000}"/>
    <cellStyle name="Migliaia 20 4 2 3" xfId="37288" xr:uid="{00000000-0005-0000-0000-000096760000}"/>
    <cellStyle name="Migliaia 20 4 2 4" xfId="38243" xr:uid="{00000000-0005-0000-0000-000097760000}"/>
    <cellStyle name="Migliaia 20 4 3" xfId="20484" xr:uid="{00000000-0005-0000-0000-000098760000}"/>
    <cellStyle name="Migliaia 20 4 3 2" xfId="37801" xr:uid="{00000000-0005-0000-0000-000099760000}"/>
    <cellStyle name="Migliaia 20 4 3 3" xfId="38756" xr:uid="{00000000-0005-0000-0000-00009A760000}"/>
    <cellStyle name="Migliaia 20 4 4" xfId="19323" xr:uid="{00000000-0005-0000-0000-00009B760000}"/>
    <cellStyle name="Migliaia 20 4 4 2" xfId="37287" xr:uid="{00000000-0005-0000-0000-00009C760000}"/>
    <cellStyle name="Migliaia 20 4 5" xfId="11416" xr:uid="{00000000-0005-0000-0000-00009D760000}"/>
    <cellStyle name="Migliaia 20 4 6" xfId="21439" xr:uid="{00000000-0005-0000-0000-00009E760000}"/>
    <cellStyle name="Migliaia 20 4 7" xfId="38242" xr:uid="{00000000-0005-0000-0000-00009F760000}"/>
    <cellStyle name="Migliaia 20 4 8" xfId="39592" xr:uid="{00000000-0005-0000-0000-0000A0760000}"/>
    <cellStyle name="Migliaia 20 4 9" xfId="40078" xr:uid="{00000000-0005-0000-0000-0000A1760000}"/>
    <cellStyle name="Migliaia 20 5" xfId="510" xr:uid="{00000000-0005-0000-0000-0000A2760000}"/>
    <cellStyle name="Migliaia 20 5 2" xfId="19325" xr:uid="{00000000-0005-0000-0000-0000A3760000}"/>
    <cellStyle name="Migliaia 20 5 2 2" xfId="37289" xr:uid="{00000000-0005-0000-0000-0000A4760000}"/>
    <cellStyle name="Migliaia 20 5 3" xfId="11417" xr:uid="{00000000-0005-0000-0000-0000A5760000}"/>
    <cellStyle name="Migliaia 20 5 4" xfId="21440" xr:uid="{00000000-0005-0000-0000-0000A6760000}"/>
    <cellStyle name="Migliaia 20 5 5" xfId="38244" xr:uid="{00000000-0005-0000-0000-0000A7760000}"/>
    <cellStyle name="Migliaia 20 5 6" xfId="39593" xr:uid="{00000000-0005-0000-0000-0000A8760000}"/>
    <cellStyle name="Migliaia 20 5 7" xfId="40079" xr:uid="{00000000-0005-0000-0000-0000A9760000}"/>
    <cellStyle name="Migliaia 20 6" xfId="511" xr:uid="{00000000-0005-0000-0000-0000AA760000}"/>
    <cellStyle name="Migliaia 20 6 2" xfId="11412" xr:uid="{00000000-0005-0000-0000-0000AB760000}"/>
    <cellStyle name="Migliaia 20 6 3" xfId="21441" xr:uid="{00000000-0005-0000-0000-0000AC760000}"/>
    <cellStyle name="Migliaia 20 6 4" xfId="39594" xr:uid="{00000000-0005-0000-0000-0000AD760000}"/>
    <cellStyle name="Migliaia 20 6 5" xfId="40080" xr:uid="{00000000-0005-0000-0000-0000AE760000}"/>
    <cellStyle name="Migliaia 20 7" xfId="12071" xr:uid="{00000000-0005-0000-0000-0000AF760000}"/>
    <cellStyle name="Migliaia 20 7 2" xfId="30256" xr:uid="{00000000-0005-0000-0000-0000B0760000}"/>
    <cellStyle name="Migliaia 20 8" xfId="19318" xr:uid="{00000000-0005-0000-0000-0000B1760000}"/>
    <cellStyle name="Migliaia 20 8 2" xfId="37282" xr:uid="{00000000-0005-0000-0000-0000B2760000}"/>
    <cellStyle name="Migliaia 20 9" xfId="3251" xr:uid="{00000000-0005-0000-0000-0000B3760000}"/>
    <cellStyle name="Migliaia 20 9 2" xfId="23251" xr:uid="{00000000-0005-0000-0000-0000B4760000}"/>
    <cellStyle name="Migliaia 21" xfId="512" xr:uid="{00000000-0005-0000-0000-0000B5760000}"/>
    <cellStyle name="Migliaia 21 10" xfId="21442" xr:uid="{00000000-0005-0000-0000-0000B6760000}"/>
    <cellStyle name="Migliaia 21 11" xfId="38245" xr:uid="{00000000-0005-0000-0000-0000B7760000}"/>
    <cellStyle name="Migliaia 21 12" xfId="39159" xr:uid="{00000000-0005-0000-0000-0000B8760000}"/>
    <cellStyle name="Migliaia 21 13" xfId="39595" xr:uid="{00000000-0005-0000-0000-0000B9760000}"/>
    <cellStyle name="Migliaia 21 14" xfId="40081" xr:uid="{00000000-0005-0000-0000-0000BA760000}"/>
    <cellStyle name="Migliaia 21 2" xfId="513" xr:uid="{00000000-0005-0000-0000-0000BB760000}"/>
    <cellStyle name="Migliaia 21 2 10" xfId="39596" xr:uid="{00000000-0005-0000-0000-0000BC760000}"/>
    <cellStyle name="Migliaia 21 2 11" xfId="40082" xr:uid="{00000000-0005-0000-0000-0000BD760000}"/>
    <cellStyle name="Migliaia 21 2 2" xfId="3551" xr:uid="{00000000-0005-0000-0000-0000BE760000}"/>
    <cellStyle name="Migliaia 21 2 2 2" xfId="12312" xr:uid="{00000000-0005-0000-0000-0000BF760000}"/>
    <cellStyle name="Migliaia 21 2 2 2 2" xfId="30482" xr:uid="{00000000-0005-0000-0000-0000C0760000}"/>
    <cellStyle name="Migliaia 21 2 2 3" xfId="20486" xr:uid="{00000000-0005-0000-0000-0000C1760000}"/>
    <cellStyle name="Migliaia 21 2 2 3 2" xfId="37803" xr:uid="{00000000-0005-0000-0000-0000C2760000}"/>
    <cellStyle name="Migliaia 21 2 2 4" xfId="23480" xr:uid="{00000000-0005-0000-0000-0000C3760000}"/>
    <cellStyle name="Migliaia 21 2 2 5" xfId="38758" xr:uid="{00000000-0005-0000-0000-0000C4760000}"/>
    <cellStyle name="Migliaia 21 2 2 6" xfId="39396" xr:uid="{00000000-0005-0000-0000-0000C5760000}"/>
    <cellStyle name="Migliaia 21 2 3" xfId="11419" xr:uid="{00000000-0005-0000-0000-0000C6760000}"/>
    <cellStyle name="Migliaia 21 2 4" xfId="12076" xr:uid="{00000000-0005-0000-0000-0000C7760000}"/>
    <cellStyle name="Migliaia 21 2 4 2" xfId="30261" xr:uid="{00000000-0005-0000-0000-0000C8760000}"/>
    <cellStyle name="Migliaia 21 2 5" xfId="19327" xr:uid="{00000000-0005-0000-0000-0000C9760000}"/>
    <cellStyle name="Migliaia 21 2 5 2" xfId="37291" xr:uid="{00000000-0005-0000-0000-0000CA760000}"/>
    <cellStyle name="Migliaia 21 2 6" xfId="3256" xr:uid="{00000000-0005-0000-0000-0000CB760000}"/>
    <cellStyle name="Migliaia 21 2 6 2" xfId="23256" xr:uid="{00000000-0005-0000-0000-0000CC760000}"/>
    <cellStyle name="Migliaia 21 2 7" xfId="21443" xr:uid="{00000000-0005-0000-0000-0000CD760000}"/>
    <cellStyle name="Migliaia 21 2 8" xfId="38246" xr:uid="{00000000-0005-0000-0000-0000CE760000}"/>
    <cellStyle name="Migliaia 21 2 9" xfId="39160" xr:uid="{00000000-0005-0000-0000-0000CF760000}"/>
    <cellStyle name="Migliaia 21 3" xfId="514" xr:uid="{00000000-0005-0000-0000-0000D0760000}"/>
    <cellStyle name="Migliaia 21 3 10" xfId="39597" xr:uid="{00000000-0005-0000-0000-0000D1760000}"/>
    <cellStyle name="Migliaia 21 3 11" xfId="40083" xr:uid="{00000000-0005-0000-0000-0000D2760000}"/>
    <cellStyle name="Migliaia 21 3 2" xfId="515" xr:uid="{00000000-0005-0000-0000-0000D3760000}"/>
    <cellStyle name="Migliaia 21 3 2 10" xfId="40084" xr:uid="{00000000-0005-0000-0000-0000D4760000}"/>
    <cellStyle name="Migliaia 21 3 2 2" xfId="11421" xr:uid="{00000000-0005-0000-0000-0000D5760000}"/>
    <cellStyle name="Migliaia 21 3 2 3" xfId="12078" xr:uid="{00000000-0005-0000-0000-0000D6760000}"/>
    <cellStyle name="Migliaia 21 3 2 3 2" xfId="30263" xr:uid="{00000000-0005-0000-0000-0000D7760000}"/>
    <cellStyle name="Migliaia 21 3 2 4" xfId="19329" xr:uid="{00000000-0005-0000-0000-0000D8760000}"/>
    <cellStyle name="Migliaia 21 3 2 4 2" xfId="37293" xr:uid="{00000000-0005-0000-0000-0000D9760000}"/>
    <cellStyle name="Migliaia 21 3 2 5" xfId="3258" xr:uid="{00000000-0005-0000-0000-0000DA760000}"/>
    <cellStyle name="Migliaia 21 3 2 5 2" xfId="23258" xr:uid="{00000000-0005-0000-0000-0000DB760000}"/>
    <cellStyle name="Migliaia 21 3 2 6" xfId="21445" xr:uid="{00000000-0005-0000-0000-0000DC760000}"/>
    <cellStyle name="Migliaia 21 3 2 7" xfId="38248" xr:uid="{00000000-0005-0000-0000-0000DD760000}"/>
    <cellStyle name="Migliaia 21 3 2 8" xfId="39162" xr:uid="{00000000-0005-0000-0000-0000DE760000}"/>
    <cellStyle name="Migliaia 21 3 2 9" xfId="39598" xr:uid="{00000000-0005-0000-0000-0000DF760000}"/>
    <cellStyle name="Migliaia 21 3 3" xfId="11420" xr:uid="{00000000-0005-0000-0000-0000E0760000}"/>
    <cellStyle name="Migliaia 21 3 3 2" xfId="20488" xr:uid="{00000000-0005-0000-0000-0000E1760000}"/>
    <cellStyle name="Migliaia 21 3 3 2 2" xfId="37805" xr:uid="{00000000-0005-0000-0000-0000E2760000}"/>
    <cellStyle name="Migliaia 21 3 3 2 3" xfId="38760" xr:uid="{00000000-0005-0000-0000-0000E3760000}"/>
    <cellStyle name="Migliaia 21 3 3 3" xfId="19330" xr:uid="{00000000-0005-0000-0000-0000E4760000}"/>
    <cellStyle name="Migliaia 21 3 3 3 2" xfId="37294" xr:uid="{00000000-0005-0000-0000-0000E5760000}"/>
    <cellStyle name="Migliaia 21 3 3 4" xfId="38249" xr:uid="{00000000-0005-0000-0000-0000E6760000}"/>
    <cellStyle name="Migliaia 21 3 4" xfId="12077" xr:uid="{00000000-0005-0000-0000-0000E7760000}"/>
    <cellStyle name="Migliaia 21 3 4 2" xfId="20487" xr:uid="{00000000-0005-0000-0000-0000E8760000}"/>
    <cellStyle name="Migliaia 21 3 4 2 2" xfId="37804" xr:uid="{00000000-0005-0000-0000-0000E9760000}"/>
    <cellStyle name="Migliaia 21 3 4 3" xfId="30262" xr:uid="{00000000-0005-0000-0000-0000EA760000}"/>
    <cellStyle name="Migliaia 21 3 4 4" xfId="38759" xr:uid="{00000000-0005-0000-0000-0000EB760000}"/>
    <cellStyle name="Migliaia 21 3 5" xfId="19328" xr:uid="{00000000-0005-0000-0000-0000EC760000}"/>
    <cellStyle name="Migliaia 21 3 5 2" xfId="37292" xr:uid="{00000000-0005-0000-0000-0000ED760000}"/>
    <cellStyle name="Migliaia 21 3 6" xfId="3257" xr:uid="{00000000-0005-0000-0000-0000EE760000}"/>
    <cellStyle name="Migliaia 21 3 6 2" xfId="23257" xr:uid="{00000000-0005-0000-0000-0000EF760000}"/>
    <cellStyle name="Migliaia 21 3 7" xfId="21444" xr:uid="{00000000-0005-0000-0000-0000F0760000}"/>
    <cellStyle name="Migliaia 21 3 8" xfId="38247" xr:uid="{00000000-0005-0000-0000-0000F1760000}"/>
    <cellStyle name="Migliaia 21 3 9" xfId="39161" xr:uid="{00000000-0005-0000-0000-0000F2760000}"/>
    <cellStyle name="Migliaia 21 4" xfId="516" xr:uid="{00000000-0005-0000-0000-0000F3760000}"/>
    <cellStyle name="Migliaia 21 4 2" xfId="19332" xr:uid="{00000000-0005-0000-0000-0000F4760000}"/>
    <cellStyle name="Migliaia 21 4 2 2" xfId="20490" xr:uid="{00000000-0005-0000-0000-0000F5760000}"/>
    <cellStyle name="Migliaia 21 4 2 2 2" xfId="37807" xr:uid="{00000000-0005-0000-0000-0000F6760000}"/>
    <cellStyle name="Migliaia 21 4 2 2 3" xfId="38762" xr:uid="{00000000-0005-0000-0000-0000F7760000}"/>
    <cellStyle name="Migliaia 21 4 2 3" xfId="37296" xr:uid="{00000000-0005-0000-0000-0000F8760000}"/>
    <cellStyle name="Migliaia 21 4 2 4" xfId="38251" xr:uid="{00000000-0005-0000-0000-0000F9760000}"/>
    <cellStyle name="Migliaia 21 4 3" xfId="20489" xr:uid="{00000000-0005-0000-0000-0000FA760000}"/>
    <cellStyle name="Migliaia 21 4 3 2" xfId="37806" xr:uid="{00000000-0005-0000-0000-0000FB760000}"/>
    <cellStyle name="Migliaia 21 4 3 3" xfId="38761" xr:uid="{00000000-0005-0000-0000-0000FC760000}"/>
    <cellStyle name="Migliaia 21 4 4" xfId="19331" xr:uid="{00000000-0005-0000-0000-0000FD760000}"/>
    <cellStyle name="Migliaia 21 4 4 2" xfId="37295" xr:uid="{00000000-0005-0000-0000-0000FE760000}"/>
    <cellStyle name="Migliaia 21 4 5" xfId="11422" xr:uid="{00000000-0005-0000-0000-0000FF760000}"/>
    <cellStyle name="Migliaia 21 4 6" xfId="21446" xr:uid="{00000000-0005-0000-0000-000000770000}"/>
    <cellStyle name="Migliaia 21 4 7" xfId="38250" xr:uid="{00000000-0005-0000-0000-000001770000}"/>
    <cellStyle name="Migliaia 21 4 8" xfId="39599" xr:uid="{00000000-0005-0000-0000-000002770000}"/>
    <cellStyle name="Migliaia 21 4 9" xfId="40085" xr:uid="{00000000-0005-0000-0000-000003770000}"/>
    <cellStyle name="Migliaia 21 5" xfId="517" xr:uid="{00000000-0005-0000-0000-000004770000}"/>
    <cellStyle name="Migliaia 21 5 2" xfId="19333" xr:uid="{00000000-0005-0000-0000-000005770000}"/>
    <cellStyle name="Migliaia 21 5 2 2" xfId="37297" xr:uid="{00000000-0005-0000-0000-000006770000}"/>
    <cellStyle name="Migliaia 21 5 3" xfId="11423" xr:uid="{00000000-0005-0000-0000-000007770000}"/>
    <cellStyle name="Migliaia 21 5 4" xfId="21447" xr:uid="{00000000-0005-0000-0000-000008770000}"/>
    <cellStyle name="Migliaia 21 5 5" xfId="38252" xr:uid="{00000000-0005-0000-0000-000009770000}"/>
    <cellStyle name="Migliaia 21 5 6" xfId="39600" xr:uid="{00000000-0005-0000-0000-00000A770000}"/>
    <cellStyle name="Migliaia 21 5 7" xfId="40086" xr:uid="{00000000-0005-0000-0000-00000B770000}"/>
    <cellStyle name="Migliaia 21 6" xfId="518" xr:uid="{00000000-0005-0000-0000-00000C770000}"/>
    <cellStyle name="Migliaia 21 6 2" xfId="11418" xr:uid="{00000000-0005-0000-0000-00000D770000}"/>
    <cellStyle name="Migliaia 21 6 3" xfId="21448" xr:uid="{00000000-0005-0000-0000-00000E770000}"/>
    <cellStyle name="Migliaia 21 6 4" xfId="39601" xr:uid="{00000000-0005-0000-0000-00000F770000}"/>
    <cellStyle name="Migliaia 21 6 5" xfId="40087" xr:uid="{00000000-0005-0000-0000-000010770000}"/>
    <cellStyle name="Migliaia 21 7" xfId="12075" xr:uid="{00000000-0005-0000-0000-000011770000}"/>
    <cellStyle name="Migliaia 21 7 2" xfId="30260" xr:uid="{00000000-0005-0000-0000-000012770000}"/>
    <cellStyle name="Migliaia 21 8" xfId="19326" xr:uid="{00000000-0005-0000-0000-000013770000}"/>
    <cellStyle name="Migliaia 21 8 2" xfId="37290" xr:uid="{00000000-0005-0000-0000-000014770000}"/>
    <cellStyle name="Migliaia 21 9" xfId="3255" xr:uid="{00000000-0005-0000-0000-000015770000}"/>
    <cellStyle name="Migliaia 21 9 2" xfId="23255" xr:uid="{00000000-0005-0000-0000-000016770000}"/>
    <cellStyle name="Migliaia 22" xfId="519" xr:uid="{00000000-0005-0000-0000-000017770000}"/>
    <cellStyle name="Migliaia 22 10" xfId="21449" xr:uid="{00000000-0005-0000-0000-000018770000}"/>
    <cellStyle name="Migliaia 22 11" xfId="38253" xr:uid="{00000000-0005-0000-0000-000019770000}"/>
    <cellStyle name="Migliaia 22 12" xfId="39163" xr:uid="{00000000-0005-0000-0000-00001A770000}"/>
    <cellStyle name="Migliaia 22 13" xfId="39602" xr:uid="{00000000-0005-0000-0000-00001B770000}"/>
    <cellStyle name="Migliaia 22 14" xfId="40088" xr:uid="{00000000-0005-0000-0000-00001C770000}"/>
    <cellStyle name="Migliaia 22 2" xfId="520" xr:uid="{00000000-0005-0000-0000-00001D770000}"/>
    <cellStyle name="Migliaia 22 2 10" xfId="39603" xr:uid="{00000000-0005-0000-0000-00001E770000}"/>
    <cellStyle name="Migliaia 22 2 11" xfId="40089" xr:uid="{00000000-0005-0000-0000-00001F770000}"/>
    <cellStyle name="Migliaia 22 2 2" xfId="3552" xr:uid="{00000000-0005-0000-0000-000020770000}"/>
    <cellStyle name="Migliaia 22 2 2 2" xfId="12313" xr:uid="{00000000-0005-0000-0000-000021770000}"/>
    <cellStyle name="Migliaia 22 2 2 2 2" xfId="30483" xr:uid="{00000000-0005-0000-0000-000022770000}"/>
    <cellStyle name="Migliaia 22 2 2 3" xfId="20491" xr:uid="{00000000-0005-0000-0000-000023770000}"/>
    <cellStyle name="Migliaia 22 2 2 3 2" xfId="37808" xr:uid="{00000000-0005-0000-0000-000024770000}"/>
    <cellStyle name="Migliaia 22 2 2 4" xfId="23481" xr:uid="{00000000-0005-0000-0000-000025770000}"/>
    <cellStyle name="Migliaia 22 2 2 5" xfId="38763" xr:uid="{00000000-0005-0000-0000-000026770000}"/>
    <cellStyle name="Migliaia 22 2 2 6" xfId="39397" xr:uid="{00000000-0005-0000-0000-000027770000}"/>
    <cellStyle name="Migliaia 22 2 3" xfId="11425" xr:uid="{00000000-0005-0000-0000-000028770000}"/>
    <cellStyle name="Migliaia 22 2 4" xfId="12080" xr:uid="{00000000-0005-0000-0000-000029770000}"/>
    <cellStyle name="Migliaia 22 2 4 2" xfId="30265" xr:uid="{00000000-0005-0000-0000-00002A770000}"/>
    <cellStyle name="Migliaia 22 2 5" xfId="19335" xr:uid="{00000000-0005-0000-0000-00002B770000}"/>
    <cellStyle name="Migliaia 22 2 5 2" xfId="37299" xr:uid="{00000000-0005-0000-0000-00002C770000}"/>
    <cellStyle name="Migliaia 22 2 6" xfId="3260" xr:uid="{00000000-0005-0000-0000-00002D770000}"/>
    <cellStyle name="Migliaia 22 2 6 2" xfId="23260" xr:uid="{00000000-0005-0000-0000-00002E770000}"/>
    <cellStyle name="Migliaia 22 2 7" xfId="21450" xr:uid="{00000000-0005-0000-0000-00002F770000}"/>
    <cellStyle name="Migliaia 22 2 8" xfId="38254" xr:uid="{00000000-0005-0000-0000-000030770000}"/>
    <cellStyle name="Migliaia 22 2 9" xfId="39164" xr:uid="{00000000-0005-0000-0000-000031770000}"/>
    <cellStyle name="Migliaia 22 3" xfId="521" xr:uid="{00000000-0005-0000-0000-000032770000}"/>
    <cellStyle name="Migliaia 22 3 10" xfId="39604" xr:uid="{00000000-0005-0000-0000-000033770000}"/>
    <cellStyle name="Migliaia 22 3 11" xfId="40090" xr:uid="{00000000-0005-0000-0000-000034770000}"/>
    <cellStyle name="Migliaia 22 3 2" xfId="522" xr:uid="{00000000-0005-0000-0000-000035770000}"/>
    <cellStyle name="Migliaia 22 3 2 10" xfId="40091" xr:uid="{00000000-0005-0000-0000-000036770000}"/>
    <cellStyle name="Migliaia 22 3 2 2" xfId="11427" xr:uid="{00000000-0005-0000-0000-000037770000}"/>
    <cellStyle name="Migliaia 22 3 2 3" xfId="12082" xr:uid="{00000000-0005-0000-0000-000038770000}"/>
    <cellStyle name="Migliaia 22 3 2 3 2" xfId="30267" xr:uid="{00000000-0005-0000-0000-000039770000}"/>
    <cellStyle name="Migliaia 22 3 2 4" xfId="19337" xr:uid="{00000000-0005-0000-0000-00003A770000}"/>
    <cellStyle name="Migliaia 22 3 2 4 2" xfId="37301" xr:uid="{00000000-0005-0000-0000-00003B770000}"/>
    <cellStyle name="Migliaia 22 3 2 5" xfId="3262" xr:uid="{00000000-0005-0000-0000-00003C770000}"/>
    <cellStyle name="Migliaia 22 3 2 5 2" xfId="23262" xr:uid="{00000000-0005-0000-0000-00003D770000}"/>
    <cellStyle name="Migliaia 22 3 2 6" xfId="21452" xr:uid="{00000000-0005-0000-0000-00003E770000}"/>
    <cellStyle name="Migliaia 22 3 2 7" xfId="38256" xr:uid="{00000000-0005-0000-0000-00003F770000}"/>
    <cellStyle name="Migliaia 22 3 2 8" xfId="39166" xr:uid="{00000000-0005-0000-0000-000040770000}"/>
    <cellStyle name="Migliaia 22 3 2 9" xfId="39605" xr:uid="{00000000-0005-0000-0000-000041770000}"/>
    <cellStyle name="Migliaia 22 3 3" xfId="11426" xr:uid="{00000000-0005-0000-0000-000042770000}"/>
    <cellStyle name="Migliaia 22 3 3 2" xfId="20493" xr:uid="{00000000-0005-0000-0000-000043770000}"/>
    <cellStyle name="Migliaia 22 3 3 2 2" xfId="37810" xr:uid="{00000000-0005-0000-0000-000044770000}"/>
    <cellStyle name="Migliaia 22 3 3 2 3" xfId="38765" xr:uid="{00000000-0005-0000-0000-000045770000}"/>
    <cellStyle name="Migliaia 22 3 3 3" xfId="19338" xr:uid="{00000000-0005-0000-0000-000046770000}"/>
    <cellStyle name="Migliaia 22 3 3 3 2" xfId="37302" xr:uid="{00000000-0005-0000-0000-000047770000}"/>
    <cellStyle name="Migliaia 22 3 3 4" xfId="38257" xr:uid="{00000000-0005-0000-0000-000048770000}"/>
    <cellStyle name="Migliaia 22 3 4" xfId="12081" xr:uid="{00000000-0005-0000-0000-000049770000}"/>
    <cellStyle name="Migliaia 22 3 4 2" xfId="20492" xr:uid="{00000000-0005-0000-0000-00004A770000}"/>
    <cellStyle name="Migliaia 22 3 4 2 2" xfId="37809" xr:uid="{00000000-0005-0000-0000-00004B770000}"/>
    <cellStyle name="Migliaia 22 3 4 3" xfId="30266" xr:uid="{00000000-0005-0000-0000-00004C770000}"/>
    <cellStyle name="Migliaia 22 3 4 4" xfId="38764" xr:uid="{00000000-0005-0000-0000-00004D770000}"/>
    <cellStyle name="Migliaia 22 3 5" xfId="19336" xr:uid="{00000000-0005-0000-0000-00004E770000}"/>
    <cellStyle name="Migliaia 22 3 5 2" xfId="37300" xr:uid="{00000000-0005-0000-0000-00004F770000}"/>
    <cellStyle name="Migliaia 22 3 6" xfId="3261" xr:uid="{00000000-0005-0000-0000-000050770000}"/>
    <cellStyle name="Migliaia 22 3 6 2" xfId="23261" xr:uid="{00000000-0005-0000-0000-000051770000}"/>
    <cellStyle name="Migliaia 22 3 7" xfId="21451" xr:uid="{00000000-0005-0000-0000-000052770000}"/>
    <cellStyle name="Migliaia 22 3 8" xfId="38255" xr:uid="{00000000-0005-0000-0000-000053770000}"/>
    <cellStyle name="Migliaia 22 3 9" xfId="39165" xr:uid="{00000000-0005-0000-0000-000054770000}"/>
    <cellStyle name="Migliaia 22 4" xfId="523" xr:uid="{00000000-0005-0000-0000-000055770000}"/>
    <cellStyle name="Migliaia 22 4 2" xfId="19340" xr:uid="{00000000-0005-0000-0000-000056770000}"/>
    <cellStyle name="Migliaia 22 4 2 2" xfId="20495" xr:uid="{00000000-0005-0000-0000-000057770000}"/>
    <cellStyle name="Migliaia 22 4 2 2 2" xfId="37812" xr:uid="{00000000-0005-0000-0000-000058770000}"/>
    <cellStyle name="Migliaia 22 4 2 2 3" xfId="38767" xr:uid="{00000000-0005-0000-0000-000059770000}"/>
    <cellStyle name="Migliaia 22 4 2 3" xfId="37304" xr:uid="{00000000-0005-0000-0000-00005A770000}"/>
    <cellStyle name="Migliaia 22 4 2 4" xfId="38259" xr:uid="{00000000-0005-0000-0000-00005B770000}"/>
    <cellStyle name="Migliaia 22 4 3" xfId="20494" xr:uid="{00000000-0005-0000-0000-00005C770000}"/>
    <cellStyle name="Migliaia 22 4 3 2" xfId="37811" xr:uid="{00000000-0005-0000-0000-00005D770000}"/>
    <cellStyle name="Migliaia 22 4 3 3" xfId="38766" xr:uid="{00000000-0005-0000-0000-00005E770000}"/>
    <cellStyle name="Migliaia 22 4 4" xfId="19339" xr:uid="{00000000-0005-0000-0000-00005F770000}"/>
    <cellStyle name="Migliaia 22 4 4 2" xfId="37303" xr:uid="{00000000-0005-0000-0000-000060770000}"/>
    <cellStyle name="Migliaia 22 4 5" xfId="11428" xr:uid="{00000000-0005-0000-0000-000061770000}"/>
    <cellStyle name="Migliaia 22 4 6" xfId="21453" xr:uid="{00000000-0005-0000-0000-000062770000}"/>
    <cellStyle name="Migliaia 22 4 7" xfId="38258" xr:uid="{00000000-0005-0000-0000-000063770000}"/>
    <cellStyle name="Migliaia 22 4 8" xfId="39606" xr:uid="{00000000-0005-0000-0000-000064770000}"/>
    <cellStyle name="Migliaia 22 4 9" xfId="40092" xr:uid="{00000000-0005-0000-0000-000065770000}"/>
    <cellStyle name="Migliaia 22 5" xfId="524" xr:uid="{00000000-0005-0000-0000-000066770000}"/>
    <cellStyle name="Migliaia 22 5 2" xfId="19341" xr:uid="{00000000-0005-0000-0000-000067770000}"/>
    <cellStyle name="Migliaia 22 5 2 2" xfId="37305" xr:uid="{00000000-0005-0000-0000-000068770000}"/>
    <cellStyle name="Migliaia 22 5 3" xfId="11429" xr:uid="{00000000-0005-0000-0000-000069770000}"/>
    <cellStyle name="Migliaia 22 5 4" xfId="21454" xr:uid="{00000000-0005-0000-0000-00006A770000}"/>
    <cellStyle name="Migliaia 22 5 5" xfId="38260" xr:uid="{00000000-0005-0000-0000-00006B770000}"/>
    <cellStyle name="Migliaia 22 5 6" xfId="39607" xr:uid="{00000000-0005-0000-0000-00006C770000}"/>
    <cellStyle name="Migliaia 22 5 7" xfId="40093" xr:uid="{00000000-0005-0000-0000-00006D770000}"/>
    <cellStyle name="Migliaia 22 6" xfId="525" xr:uid="{00000000-0005-0000-0000-00006E770000}"/>
    <cellStyle name="Migliaia 22 6 2" xfId="11424" xr:uid="{00000000-0005-0000-0000-00006F770000}"/>
    <cellStyle name="Migliaia 22 6 3" xfId="21455" xr:uid="{00000000-0005-0000-0000-000070770000}"/>
    <cellStyle name="Migliaia 22 6 4" xfId="39608" xr:uid="{00000000-0005-0000-0000-000071770000}"/>
    <cellStyle name="Migliaia 22 6 5" xfId="40094" xr:uid="{00000000-0005-0000-0000-000072770000}"/>
    <cellStyle name="Migliaia 22 7" xfId="12079" xr:uid="{00000000-0005-0000-0000-000073770000}"/>
    <cellStyle name="Migliaia 22 7 2" xfId="30264" xr:uid="{00000000-0005-0000-0000-000074770000}"/>
    <cellStyle name="Migliaia 22 8" xfId="19334" xr:uid="{00000000-0005-0000-0000-000075770000}"/>
    <cellStyle name="Migliaia 22 8 2" xfId="37298" xr:uid="{00000000-0005-0000-0000-000076770000}"/>
    <cellStyle name="Migliaia 22 9" xfId="3259" xr:uid="{00000000-0005-0000-0000-000077770000}"/>
    <cellStyle name="Migliaia 22 9 2" xfId="23259" xr:uid="{00000000-0005-0000-0000-000078770000}"/>
    <cellStyle name="Migliaia 23" xfId="526" xr:uid="{00000000-0005-0000-0000-000079770000}"/>
    <cellStyle name="Migliaia 23 10" xfId="21456" xr:uid="{00000000-0005-0000-0000-00007A770000}"/>
    <cellStyle name="Migliaia 23 11" xfId="38261" xr:uid="{00000000-0005-0000-0000-00007B770000}"/>
    <cellStyle name="Migliaia 23 12" xfId="39167" xr:uid="{00000000-0005-0000-0000-00007C770000}"/>
    <cellStyle name="Migliaia 23 13" xfId="39609" xr:uid="{00000000-0005-0000-0000-00007D770000}"/>
    <cellStyle name="Migliaia 23 14" xfId="40095" xr:uid="{00000000-0005-0000-0000-00007E770000}"/>
    <cellStyle name="Migliaia 23 2" xfId="527" xr:uid="{00000000-0005-0000-0000-00007F770000}"/>
    <cellStyle name="Migliaia 23 2 10" xfId="39610" xr:uid="{00000000-0005-0000-0000-000080770000}"/>
    <cellStyle name="Migliaia 23 2 11" xfId="40096" xr:uid="{00000000-0005-0000-0000-000081770000}"/>
    <cellStyle name="Migliaia 23 2 2" xfId="3553" xr:uid="{00000000-0005-0000-0000-000082770000}"/>
    <cellStyle name="Migliaia 23 2 2 2" xfId="12314" xr:uid="{00000000-0005-0000-0000-000083770000}"/>
    <cellStyle name="Migliaia 23 2 2 2 2" xfId="30484" xr:uid="{00000000-0005-0000-0000-000084770000}"/>
    <cellStyle name="Migliaia 23 2 2 3" xfId="20496" xr:uid="{00000000-0005-0000-0000-000085770000}"/>
    <cellStyle name="Migliaia 23 2 2 3 2" xfId="37813" xr:uid="{00000000-0005-0000-0000-000086770000}"/>
    <cellStyle name="Migliaia 23 2 2 4" xfId="23482" xr:uid="{00000000-0005-0000-0000-000087770000}"/>
    <cellStyle name="Migliaia 23 2 2 5" xfId="38768" xr:uid="{00000000-0005-0000-0000-000088770000}"/>
    <cellStyle name="Migliaia 23 2 2 6" xfId="39398" xr:uid="{00000000-0005-0000-0000-000089770000}"/>
    <cellStyle name="Migliaia 23 2 3" xfId="11431" xr:uid="{00000000-0005-0000-0000-00008A770000}"/>
    <cellStyle name="Migliaia 23 2 4" xfId="12084" xr:uid="{00000000-0005-0000-0000-00008B770000}"/>
    <cellStyle name="Migliaia 23 2 4 2" xfId="30269" xr:uid="{00000000-0005-0000-0000-00008C770000}"/>
    <cellStyle name="Migliaia 23 2 5" xfId="19343" xr:uid="{00000000-0005-0000-0000-00008D770000}"/>
    <cellStyle name="Migliaia 23 2 5 2" xfId="37307" xr:uid="{00000000-0005-0000-0000-00008E770000}"/>
    <cellStyle name="Migliaia 23 2 6" xfId="3264" xr:uid="{00000000-0005-0000-0000-00008F770000}"/>
    <cellStyle name="Migliaia 23 2 6 2" xfId="23264" xr:uid="{00000000-0005-0000-0000-000090770000}"/>
    <cellStyle name="Migliaia 23 2 7" xfId="21457" xr:uid="{00000000-0005-0000-0000-000091770000}"/>
    <cellStyle name="Migliaia 23 2 8" xfId="38262" xr:uid="{00000000-0005-0000-0000-000092770000}"/>
    <cellStyle name="Migliaia 23 2 9" xfId="39168" xr:uid="{00000000-0005-0000-0000-000093770000}"/>
    <cellStyle name="Migliaia 23 3" xfId="528" xr:uid="{00000000-0005-0000-0000-000094770000}"/>
    <cellStyle name="Migliaia 23 3 10" xfId="39611" xr:uid="{00000000-0005-0000-0000-000095770000}"/>
    <cellStyle name="Migliaia 23 3 11" xfId="40097" xr:uid="{00000000-0005-0000-0000-000096770000}"/>
    <cellStyle name="Migliaia 23 3 2" xfId="529" xr:uid="{00000000-0005-0000-0000-000097770000}"/>
    <cellStyle name="Migliaia 23 3 2 10" xfId="40098" xr:uid="{00000000-0005-0000-0000-000098770000}"/>
    <cellStyle name="Migliaia 23 3 2 2" xfId="11433" xr:uid="{00000000-0005-0000-0000-000099770000}"/>
    <cellStyle name="Migliaia 23 3 2 3" xfId="12086" xr:uid="{00000000-0005-0000-0000-00009A770000}"/>
    <cellStyle name="Migliaia 23 3 2 3 2" xfId="30271" xr:uid="{00000000-0005-0000-0000-00009B770000}"/>
    <cellStyle name="Migliaia 23 3 2 4" xfId="19345" xr:uid="{00000000-0005-0000-0000-00009C770000}"/>
    <cellStyle name="Migliaia 23 3 2 4 2" xfId="37309" xr:uid="{00000000-0005-0000-0000-00009D770000}"/>
    <cellStyle name="Migliaia 23 3 2 5" xfId="3266" xr:uid="{00000000-0005-0000-0000-00009E770000}"/>
    <cellStyle name="Migliaia 23 3 2 5 2" xfId="23266" xr:uid="{00000000-0005-0000-0000-00009F770000}"/>
    <cellStyle name="Migliaia 23 3 2 6" xfId="21459" xr:uid="{00000000-0005-0000-0000-0000A0770000}"/>
    <cellStyle name="Migliaia 23 3 2 7" xfId="38264" xr:uid="{00000000-0005-0000-0000-0000A1770000}"/>
    <cellStyle name="Migliaia 23 3 2 8" xfId="39170" xr:uid="{00000000-0005-0000-0000-0000A2770000}"/>
    <cellStyle name="Migliaia 23 3 2 9" xfId="39612" xr:uid="{00000000-0005-0000-0000-0000A3770000}"/>
    <cellStyle name="Migliaia 23 3 3" xfId="11432" xr:uid="{00000000-0005-0000-0000-0000A4770000}"/>
    <cellStyle name="Migliaia 23 3 3 2" xfId="20498" xr:uid="{00000000-0005-0000-0000-0000A5770000}"/>
    <cellStyle name="Migliaia 23 3 3 2 2" xfId="37815" xr:uid="{00000000-0005-0000-0000-0000A6770000}"/>
    <cellStyle name="Migliaia 23 3 3 2 3" xfId="38770" xr:uid="{00000000-0005-0000-0000-0000A7770000}"/>
    <cellStyle name="Migliaia 23 3 3 3" xfId="19346" xr:uid="{00000000-0005-0000-0000-0000A8770000}"/>
    <cellStyle name="Migliaia 23 3 3 3 2" xfId="37310" xr:uid="{00000000-0005-0000-0000-0000A9770000}"/>
    <cellStyle name="Migliaia 23 3 3 4" xfId="38265" xr:uid="{00000000-0005-0000-0000-0000AA770000}"/>
    <cellStyle name="Migliaia 23 3 4" xfId="12085" xr:uid="{00000000-0005-0000-0000-0000AB770000}"/>
    <cellStyle name="Migliaia 23 3 4 2" xfId="20497" xr:uid="{00000000-0005-0000-0000-0000AC770000}"/>
    <cellStyle name="Migliaia 23 3 4 2 2" xfId="37814" xr:uid="{00000000-0005-0000-0000-0000AD770000}"/>
    <cellStyle name="Migliaia 23 3 4 3" xfId="30270" xr:uid="{00000000-0005-0000-0000-0000AE770000}"/>
    <cellStyle name="Migliaia 23 3 4 4" xfId="38769" xr:uid="{00000000-0005-0000-0000-0000AF770000}"/>
    <cellStyle name="Migliaia 23 3 5" xfId="19344" xr:uid="{00000000-0005-0000-0000-0000B0770000}"/>
    <cellStyle name="Migliaia 23 3 5 2" xfId="37308" xr:uid="{00000000-0005-0000-0000-0000B1770000}"/>
    <cellStyle name="Migliaia 23 3 6" xfId="3265" xr:uid="{00000000-0005-0000-0000-0000B2770000}"/>
    <cellStyle name="Migliaia 23 3 6 2" xfId="23265" xr:uid="{00000000-0005-0000-0000-0000B3770000}"/>
    <cellStyle name="Migliaia 23 3 7" xfId="21458" xr:uid="{00000000-0005-0000-0000-0000B4770000}"/>
    <cellStyle name="Migliaia 23 3 8" xfId="38263" xr:uid="{00000000-0005-0000-0000-0000B5770000}"/>
    <cellStyle name="Migliaia 23 3 9" xfId="39169" xr:uid="{00000000-0005-0000-0000-0000B6770000}"/>
    <cellStyle name="Migliaia 23 4" xfId="530" xr:uid="{00000000-0005-0000-0000-0000B7770000}"/>
    <cellStyle name="Migliaia 23 4 2" xfId="19348" xr:uid="{00000000-0005-0000-0000-0000B8770000}"/>
    <cellStyle name="Migliaia 23 4 2 2" xfId="20500" xr:uid="{00000000-0005-0000-0000-0000B9770000}"/>
    <cellStyle name="Migliaia 23 4 2 2 2" xfId="37817" xr:uid="{00000000-0005-0000-0000-0000BA770000}"/>
    <cellStyle name="Migliaia 23 4 2 2 3" xfId="38772" xr:uid="{00000000-0005-0000-0000-0000BB770000}"/>
    <cellStyle name="Migliaia 23 4 2 3" xfId="37312" xr:uid="{00000000-0005-0000-0000-0000BC770000}"/>
    <cellStyle name="Migliaia 23 4 2 4" xfId="38267" xr:uid="{00000000-0005-0000-0000-0000BD770000}"/>
    <cellStyle name="Migliaia 23 4 3" xfId="20499" xr:uid="{00000000-0005-0000-0000-0000BE770000}"/>
    <cellStyle name="Migliaia 23 4 3 2" xfId="37816" xr:uid="{00000000-0005-0000-0000-0000BF770000}"/>
    <cellStyle name="Migliaia 23 4 3 3" xfId="38771" xr:uid="{00000000-0005-0000-0000-0000C0770000}"/>
    <cellStyle name="Migliaia 23 4 4" xfId="19347" xr:uid="{00000000-0005-0000-0000-0000C1770000}"/>
    <cellStyle name="Migliaia 23 4 4 2" xfId="37311" xr:uid="{00000000-0005-0000-0000-0000C2770000}"/>
    <cellStyle name="Migliaia 23 4 5" xfId="11434" xr:uid="{00000000-0005-0000-0000-0000C3770000}"/>
    <cellStyle name="Migliaia 23 4 6" xfId="21460" xr:uid="{00000000-0005-0000-0000-0000C4770000}"/>
    <cellStyle name="Migliaia 23 4 7" xfId="38266" xr:uid="{00000000-0005-0000-0000-0000C5770000}"/>
    <cellStyle name="Migliaia 23 4 8" xfId="39613" xr:uid="{00000000-0005-0000-0000-0000C6770000}"/>
    <cellStyle name="Migliaia 23 4 9" xfId="40099" xr:uid="{00000000-0005-0000-0000-0000C7770000}"/>
    <cellStyle name="Migliaia 23 5" xfId="531" xr:uid="{00000000-0005-0000-0000-0000C8770000}"/>
    <cellStyle name="Migliaia 23 5 2" xfId="19349" xr:uid="{00000000-0005-0000-0000-0000C9770000}"/>
    <cellStyle name="Migliaia 23 5 2 2" xfId="37313" xr:uid="{00000000-0005-0000-0000-0000CA770000}"/>
    <cellStyle name="Migliaia 23 5 3" xfId="11435" xr:uid="{00000000-0005-0000-0000-0000CB770000}"/>
    <cellStyle name="Migliaia 23 5 4" xfId="21461" xr:uid="{00000000-0005-0000-0000-0000CC770000}"/>
    <cellStyle name="Migliaia 23 5 5" xfId="38268" xr:uid="{00000000-0005-0000-0000-0000CD770000}"/>
    <cellStyle name="Migliaia 23 5 6" xfId="39614" xr:uid="{00000000-0005-0000-0000-0000CE770000}"/>
    <cellStyle name="Migliaia 23 5 7" xfId="40100" xr:uid="{00000000-0005-0000-0000-0000CF770000}"/>
    <cellStyle name="Migliaia 23 6" xfId="532" xr:uid="{00000000-0005-0000-0000-0000D0770000}"/>
    <cellStyle name="Migliaia 23 6 2" xfId="11430" xr:uid="{00000000-0005-0000-0000-0000D1770000}"/>
    <cellStyle name="Migliaia 23 6 3" xfId="21462" xr:uid="{00000000-0005-0000-0000-0000D2770000}"/>
    <cellStyle name="Migliaia 23 6 4" xfId="39615" xr:uid="{00000000-0005-0000-0000-0000D3770000}"/>
    <cellStyle name="Migliaia 23 6 5" xfId="40101" xr:uid="{00000000-0005-0000-0000-0000D4770000}"/>
    <cellStyle name="Migliaia 23 7" xfId="12083" xr:uid="{00000000-0005-0000-0000-0000D5770000}"/>
    <cellStyle name="Migliaia 23 7 2" xfId="30268" xr:uid="{00000000-0005-0000-0000-0000D6770000}"/>
    <cellStyle name="Migliaia 23 8" xfId="19342" xr:uid="{00000000-0005-0000-0000-0000D7770000}"/>
    <cellStyle name="Migliaia 23 8 2" xfId="37306" xr:uid="{00000000-0005-0000-0000-0000D8770000}"/>
    <cellStyle name="Migliaia 23 9" xfId="3263" xr:uid="{00000000-0005-0000-0000-0000D9770000}"/>
    <cellStyle name="Migliaia 23 9 2" xfId="23263" xr:uid="{00000000-0005-0000-0000-0000DA770000}"/>
    <cellStyle name="Migliaia 24" xfId="533" xr:uid="{00000000-0005-0000-0000-0000DB770000}"/>
    <cellStyle name="Migliaia 24 10" xfId="21463" xr:uid="{00000000-0005-0000-0000-0000DC770000}"/>
    <cellStyle name="Migliaia 24 11" xfId="38269" xr:uid="{00000000-0005-0000-0000-0000DD770000}"/>
    <cellStyle name="Migliaia 24 12" xfId="39171" xr:uid="{00000000-0005-0000-0000-0000DE770000}"/>
    <cellStyle name="Migliaia 24 13" xfId="39616" xr:uid="{00000000-0005-0000-0000-0000DF770000}"/>
    <cellStyle name="Migliaia 24 14" xfId="40102" xr:uid="{00000000-0005-0000-0000-0000E0770000}"/>
    <cellStyle name="Migliaia 24 2" xfId="534" xr:uid="{00000000-0005-0000-0000-0000E1770000}"/>
    <cellStyle name="Migliaia 24 2 10" xfId="39617" xr:uid="{00000000-0005-0000-0000-0000E2770000}"/>
    <cellStyle name="Migliaia 24 2 11" xfId="40103" xr:uid="{00000000-0005-0000-0000-0000E3770000}"/>
    <cellStyle name="Migliaia 24 2 2" xfId="3554" xr:uid="{00000000-0005-0000-0000-0000E4770000}"/>
    <cellStyle name="Migliaia 24 2 2 2" xfId="12315" xr:uid="{00000000-0005-0000-0000-0000E5770000}"/>
    <cellStyle name="Migliaia 24 2 2 2 2" xfId="30485" xr:uid="{00000000-0005-0000-0000-0000E6770000}"/>
    <cellStyle name="Migliaia 24 2 2 3" xfId="20501" xr:uid="{00000000-0005-0000-0000-0000E7770000}"/>
    <cellStyle name="Migliaia 24 2 2 3 2" xfId="37818" xr:uid="{00000000-0005-0000-0000-0000E8770000}"/>
    <cellStyle name="Migliaia 24 2 2 4" xfId="23483" xr:uid="{00000000-0005-0000-0000-0000E9770000}"/>
    <cellStyle name="Migliaia 24 2 2 5" xfId="38773" xr:uid="{00000000-0005-0000-0000-0000EA770000}"/>
    <cellStyle name="Migliaia 24 2 2 6" xfId="39399" xr:uid="{00000000-0005-0000-0000-0000EB770000}"/>
    <cellStyle name="Migliaia 24 2 3" xfId="11437" xr:uid="{00000000-0005-0000-0000-0000EC770000}"/>
    <cellStyle name="Migliaia 24 2 4" xfId="12088" xr:uid="{00000000-0005-0000-0000-0000ED770000}"/>
    <cellStyle name="Migliaia 24 2 4 2" xfId="30273" xr:uid="{00000000-0005-0000-0000-0000EE770000}"/>
    <cellStyle name="Migliaia 24 2 5" xfId="19351" xr:uid="{00000000-0005-0000-0000-0000EF770000}"/>
    <cellStyle name="Migliaia 24 2 5 2" xfId="37315" xr:uid="{00000000-0005-0000-0000-0000F0770000}"/>
    <cellStyle name="Migliaia 24 2 6" xfId="3268" xr:uid="{00000000-0005-0000-0000-0000F1770000}"/>
    <cellStyle name="Migliaia 24 2 6 2" xfId="23268" xr:uid="{00000000-0005-0000-0000-0000F2770000}"/>
    <cellStyle name="Migliaia 24 2 7" xfId="21464" xr:uid="{00000000-0005-0000-0000-0000F3770000}"/>
    <cellStyle name="Migliaia 24 2 8" xfId="38270" xr:uid="{00000000-0005-0000-0000-0000F4770000}"/>
    <cellStyle name="Migliaia 24 2 9" xfId="39172" xr:uid="{00000000-0005-0000-0000-0000F5770000}"/>
    <cellStyle name="Migliaia 24 3" xfId="535" xr:uid="{00000000-0005-0000-0000-0000F6770000}"/>
    <cellStyle name="Migliaia 24 3 10" xfId="39618" xr:uid="{00000000-0005-0000-0000-0000F7770000}"/>
    <cellStyle name="Migliaia 24 3 11" xfId="40104" xr:uid="{00000000-0005-0000-0000-0000F8770000}"/>
    <cellStyle name="Migliaia 24 3 2" xfId="536" xr:uid="{00000000-0005-0000-0000-0000F9770000}"/>
    <cellStyle name="Migliaia 24 3 2 10" xfId="40105" xr:uid="{00000000-0005-0000-0000-0000FA770000}"/>
    <cellStyle name="Migliaia 24 3 2 2" xfId="11439" xr:uid="{00000000-0005-0000-0000-0000FB770000}"/>
    <cellStyle name="Migliaia 24 3 2 3" xfId="12090" xr:uid="{00000000-0005-0000-0000-0000FC770000}"/>
    <cellStyle name="Migliaia 24 3 2 3 2" xfId="30275" xr:uid="{00000000-0005-0000-0000-0000FD770000}"/>
    <cellStyle name="Migliaia 24 3 2 4" xfId="19353" xr:uid="{00000000-0005-0000-0000-0000FE770000}"/>
    <cellStyle name="Migliaia 24 3 2 4 2" xfId="37317" xr:uid="{00000000-0005-0000-0000-0000FF770000}"/>
    <cellStyle name="Migliaia 24 3 2 5" xfId="3270" xr:uid="{00000000-0005-0000-0000-000000780000}"/>
    <cellStyle name="Migliaia 24 3 2 5 2" xfId="23270" xr:uid="{00000000-0005-0000-0000-000001780000}"/>
    <cellStyle name="Migliaia 24 3 2 6" xfId="21466" xr:uid="{00000000-0005-0000-0000-000002780000}"/>
    <cellStyle name="Migliaia 24 3 2 7" xfId="38272" xr:uid="{00000000-0005-0000-0000-000003780000}"/>
    <cellStyle name="Migliaia 24 3 2 8" xfId="39174" xr:uid="{00000000-0005-0000-0000-000004780000}"/>
    <cellStyle name="Migliaia 24 3 2 9" xfId="39619" xr:uid="{00000000-0005-0000-0000-000005780000}"/>
    <cellStyle name="Migliaia 24 3 3" xfId="11438" xr:uid="{00000000-0005-0000-0000-000006780000}"/>
    <cellStyle name="Migliaia 24 3 3 2" xfId="20503" xr:uid="{00000000-0005-0000-0000-000007780000}"/>
    <cellStyle name="Migliaia 24 3 3 2 2" xfId="37820" xr:uid="{00000000-0005-0000-0000-000008780000}"/>
    <cellStyle name="Migliaia 24 3 3 2 3" xfId="38775" xr:uid="{00000000-0005-0000-0000-000009780000}"/>
    <cellStyle name="Migliaia 24 3 3 3" xfId="19354" xr:uid="{00000000-0005-0000-0000-00000A780000}"/>
    <cellStyle name="Migliaia 24 3 3 3 2" xfId="37318" xr:uid="{00000000-0005-0000-0000-00000B780000}"/>
    <cellStyle name="Migliaia 24 3 3 4" xfId="38273" xr:uid="{00000000-0005-0000-0000-00000C780000}"/>
    <cellStyle name="Migliaia 24 3 4" xfId="12089" xr:uid="{00000000-0005-0000-0000-00000D780000}"/>
    <cellStyle name="Migliaia 24 3 4 2" xfId="20502" xr:uid="{00000000-0005-0000-0000-00000E780000}"/>
    <cellStyle name="Migliaia 24 3 4 2 2" xfId="37819" xr:uid="{00000000-0005-0000-0000-00000F780000}"/>
    <cellStyle name="Migliaia 24 3 4 3" xfId="30274" xr:uid="{00000000-0005-0000-0000-000010780000}"/>
    <cellStyle name="Migliaia 24 3 4 4" xfId="38774" xr:uid="{00000000-0005-0000-0000-000011780000}"/>
    <cellStyle name="Migliaia 24 3 5" xfId="19352" xr:uid="{00000000-0005-0000-0000-000012780000}"/>
    <cellStyle name="Migliaia 24 3 5 2" xfId="37316" xr:uid="{00000000-0005-0000-0000-000013780000}"/>
    <cellStyle name="Migliaia 24 3 6" xfId="3269" xr:uid="{00000000-0005-0000-0000-000014780000}"/>
    <cellStyle name="Migliaia 24 3 6 2" xfId="23269" xr:uid="{00000000-0005-0000-0000-000015780000}"/>
    <cellStyle name="Migliaia 24 3 7" xfId="21465" xr:uid="{00000000-0005-0000-0000-000016780000}"/>
    <cellStyle name="Migliaia 24 3 8" xfId="38271" xr:uid="{00000000-0005-0000-0000-000017780000}"/>
    <cellStyle name="Migliaia 24 3 9" xfId="39173" xr:uid="{00000000-0005-0000-0000-000018780000}"/>
    <cellStyle name="Migliaia 24 4" xfId="537" xr:uid="{00000000-0005-0000-0000-000019780000}"/>
    <cellStyle name="Migliaia 24 4 2" xfId="19356" xr:uid="{00000000-0005-0000-0000-00001A780000}"/>
    <cellStyle name="Migliaia 24 4 2 2" xfId="20505" xr:uid="{00000000-0005-0000-0000-00001B780000}"/>
    <cellStyle name="Migliaia 24 4 2 2 2" xfId="37822" xr:uid="{00000000-0005-0000-0000-00001C780000}"/>
    <cellStyle name="Migliaia 24 4 2 2 3" xfId="38777" xr:uid="{00000000-0005-0000-0000-00001D780000}"/>
    <cellStyle name="Migliaia 24 4 2 3" xfId="37320" xr:uid="{00000000-0005-0000-0000-00001E780000}"/>
    <cellStyle name="Migliaia 24 4 2 4" xfId="38275" xr:uid="{00000000-0005-0000-0000-00001F780000}"/>
    <cellStyle name="Migliaia 24 4 3" xfId="20504" xr:uid="{00000000-0005-0000-0000-000020780000}"/>
    <cellStyle name="Migliaia 24 4 3 2" xfId="37821" xr:uid="{00000000-0005-0000-0000-000021780000}"/>
    <cellStyle name="Migliaia 24 4 3 3" xfId="38776" xr:uid="{00000000-0005-0000-0000-000022780000}"/>
    <cellStyle name="Migliaia 24 4 4" xfId="19355" xr:uid="{00000000-0005-0000-0000-000023780000}"/>
    <cellStyle name="Migliaia 24 4 4 2" xfId="37319" xr:uid="{00000000-0005-0000-0000-000024780000}"/>
    <cellStyle name="Migliaia 24 4 5" xfId="11440" xr:uid="{00000000-0005-0000-0000-000025780000}"/>
    <cellStyle name="Migliaia 24 4 6" xfId="21467" xr:uid="{00000000-0005-0000-0000-000026780000}"/>
    <cellStyle name="Migliaia 24 4 7" xfId="38274" xr:uid="{00000000-0005-0000-0000-000027780000}"/>
    <cellStyle name="Migliaia 24 4 8" xfId="39620" xr:uid="{00000000-0005-0000-0000-000028780000}"/>
    <cellStyle name="Migliaia 24 4 9" xfId="40106" xr:uid="{00000000-0005-0000-0000-000029780000}"/>
    <cellStyle name="Migliaia 24 5" xfId="538" xr:uid="{00000000-0005-0000-0000-00002A780000}"/>
    <cellStyle name="Migliaia 24 5 2" xfId="19357" xr:uid="{00000000-0005-0000-0000-00002B780000}"/>
    <cellStyle name="Migliaia 24 5 2 2" xfId="37321" xr:uid="{00000000-0005-0000-0000-00002C780000}"/>
    <cellStyle name="Migliaia 24 5 3" xfId="11441" xr:uid="{00000000-0005-0000-0000-00002D780000}"/>
    <cellStyle name="Migliaia 24 5 4" xfId="21468" xr:uid="{00000000-0005-0000-0000-00002E780000}"/>
    <cellStyle name="Migliaia 24 5 5" xfId="38276" xr:uid="{00000000-0005-0000-0000-00002F780000}"/>
    <cellStyle name="Migliaia 24 5 6" xfId="39621" xr:uid="{00000000-0005-0000-0000-000030780000}"/>
    <cellStyle name="Migliaia 24 5 7" xfId="40107" xr:uid="{00000000-0005-0000-0000-000031780000}"/>
    <cellStyle name="Migliaia 24 6" xfId="539" xr:uid="{00000000-0005-0000-0000-000032780000}"/>
    <cellStyle name="Migliaia 24 6 2" xfId="11436" xr:uid="{00000000-0005-0000-0000-000033780000}"/>
    <cellStyle name="Migliaia 24 6 3" xfId="21469" xr:uid="{00000000-0005-0000-0000-000034780000}"/>
    <cellStyle name="Migliaia 24 6 4" xfId="39622" xr:uid="{00000000-0005-0000-0000-000035780000}"/>
    <cellStyle name="Migliaia 24 6 5" xfId="40108" xr:uid="{00000000-0005-0000-0000-000036780000}"/>
    <cellStyle name="Migliaia 24 7" xfId="12087" xr:uid="{00000000-0005-0000-0000-000037780000}"/>
    <cellStyle name="Migliaia 24 7 2" xfId="30272" xr:uid="{00000000-0005-0000-0000-000038780000}"/>
    <cellStyle name="Migliaia 24 8" xfId="19350" xr:uid="{00000000-0005-0000-0000-000039780000}"/>
    <cellStyle name="Migliaia 24 8 2" xfId="37314" xr:uid="{00000000-0005-0000-0000-00003A780000}"/>
    <cellStyle name="Migliaia 24 9" xfId="3267" xr:uid="{00000000-0005-0000-0000-00003B780000}"/>
    <cellStyle name="Migliaia 24 9 2" xfId="23267" xr:uid="{00000000-0005-0000-0000-00003C780000}"/>
    <cellStyle name="Migliaia 25" xfId="540" xr:uid="{00000000-0005-0000-0000-00003D780000}"/>
    <cellStyle name="Migliaia 25 10" xfId="21470" xr:uid="{00000000-0005-0000-0000-00003E780000}"/>
    <cellStyle name="Migliaia 25 11" xfId="38277" xr:uid="{00000000-0005-0000-0000-00003F780000}"/>
    <cellStyle name="Migliaia 25 12" xfId="39175" xr:uid="{00000000-0005-0000-0000-000040780000}"/>
    <cellStyle name="Migliaia 25 13" xfId="39623" xr:uid="{00000000-0005-0000-0000-000041780000}"/>
    <cellStyle name="Migliaia 25 14" xfId="40109" xr:uid="{00000000-0005-0000-0000-000042780000}"/>
    <cellStyle name="Migliaia 25 2" xfId="541" xr:uid="{00000000-0005-0000-0000-000043780000}"/>
    <cellStyle name="Migliaia 25 2 10" xfId="39624" xr:uid="{00000000-0005-0000-0000-000044780000}"/>
    <cellStyle name="Migliaia 25 2 11" xfId="40110" xr:uid="{00000000-0005-0000-0000-000045780000}"/>
    <cellStyle name="Migliaia 25 2 2" xfId="3555" xr:uid="{00000000-0005-0000-0000-000046780000}"/>
    <cellStyle name="Migliaia 25 2 2 2" xfId="12316" xr:uid="{00000000-0005-0000-0000-000047780000}"/>
    <cellStyle name="Migliaia 25 2 2 2 2" xfId="30486" xr:uid="{00000000-0005-0000-0000-000048780000}"/>
    <cellStyle name="Migliaia 25 2 2 3" xfId="20506" xr:uid="{00000000-0005-0000-0000-000049780000}"/>
    <cellStyle name="Migliaia 25 2 2 3 2" xfId="37823" xr:uid="{00000000-0005-0000-0000-00004A780000}"/>
    <cellStyle name="Migliaia 25 2 2 4" xfId="23484" xr:uid="{00000000-0005-0000-0000-00004B780000}"/>
    <cellStyle name="Migliaia 25 2 2 5" xfId="38778" xr:uid="{00000000-0005-0000-0000-00004C780000}"/>
    <cellStyle name="Migliaia 25 2 2 6" xfId="39400" xr:uid="{00000000-0005-0000-0000-00004D780000}"/>
    <cellStyle name="Migliaia 25 2 3" xfId="11443" xr:uid="{00000000-0005-0000-0000-00004E780000}"/>
    <cellStyle name="Migliaia 25 2 4" xfId="12092" xr:uid="{00000000-0005-0000-0000-00004F780000}"/>
    <cellStyle name="Migliaia 25 2 4 2" xfId="30277" xr:uid="{00000000-0005-0000-0000-000050780000}"/>
    <cellStyle name="Migliaia 25 2 5" xfId="19359" xr:uid="{00000000-0005-0000-0000-000051780000}"/>
    <cellStyle name="Migliaia 25 2 5 2" xfId="37323" xr:uid="{00000000-0005-0000-0000-000052780000}"/>
    <cellStyle name="Migliaia 25 2 6" xfId="3272" xr:uid="{00000000-0005-0000-0000-000053780000}"/>
    <cellStyle name="Migliaia 25 2 6 2" xfId="23272" xr:uid="{00000000-0005-0000-0000-000054780000}"/>
    <cellStyle name="Migliaia 25 2 7" xfId="21471" xr:uid="{00000000-0005-0000-0000-000055780000}"/>
    <cellStyle name="Migliaia 25 2 8" xfId="38278" xr:uid="{00000000-0005-0000-0000-000056780000}"/>
    <cellStyle name="Migliaia 25 2 9" xfId="39176" xr:uid="{00000000-0005-0000-0000-000057780000}"/>
    <cellStyle name="Migliaia 25 3" xfId="542" xr:uid="{00000000-0005-0000-0000-000058780000}"/>
    <cellStyle name="Migliaia 25 3 10" xfId="39625" xr:uid="{00000000-0005-0000-0000-000059780000}"/>
    <cellStyle name="Migliaia 25 3 11" xfId="40111" xr:uid="{00000000-0005-0000-0000-00005A780000}"/>
    <cellStyle name="Migliaia 25 3 2" xfId="543" xr:uid="{00000000-0005-0000-0000-00005B780000}"/>
    <cellStyle name="Migliaia 25 3 2 10" xfId="40112" xr:uid="{00000000-0005-0000-0000-00005C780000}"/>
    <cellStyle name="Migliaia 25 3 2 2" xfId="11445" xr:uid="{00000000-0005-0000-0000-00005D780000}"/>
    <cellStyle name="Migliaia 25 3 2 3" xfId="12094" xr:uid="{00000000-0005-0000-0000-00005E780000}"/>
    <cellStyle name="Migliaia 25 3 2 3 2" xfId="30279" xr:uid="{00000000-0005-0000-0000-00005F780000}"/>
    <cellStyle name="Migliaia 25 3 2 4" xfId="19361" xr:uid="{00000000-0005-0000-0000-000060780000}"/>
    <cellStyle name="Migliaia 25 3 2 4 2" xfId="37325" xr:uid="{00000000-0005-0000-0000-000061780000}"/>
    <cellStyle name="Migliaia 25 3 2 5" xfId="3274" xr:uid="{00000000-0005-0000-0000-000062780000}"/>
    <cellStyle name="Migliaia 25 3 2 5 2" xfId="23274" xr:uid="{00000000-0005-0000-0000-000063780000}"/>
    <cellStyle name="Migliaia 25 3 2 6" xfId="21473" xr:uid="{00000000-0005-0000-0000-000064780000}"/>
    <cellStyle name="Migliaia 25 3 2 7" xfId="38280" xr:uid="{00000000-0005-0000-0000-000065780000}"/>
    <cellStyle name="Migliaia 25 3 2 8" xfId="39178" xr:uid="{00000000-0005-0000-0000-000066780000}"/>
    <cellStyle name="Migliaia 25 3 2 9" xfId="39626" xr:uid="{00000000-0005-0000-0000-000067780000}"/>
    <cellStyle name="Migliaia 25 3 3" xfId="11444" xr:uid="{00000000-0005-0000-0000-000068780000}"/>
    <cellStyle name="Migliaia 25 3 3 2" xfId="20508" xr:uid="{00000000-0005-0000-0000-000069780000}"/>
    <cellStyle name="Migliaia 25 3 3 2 2" xfId="37825" xr:uid="{00000000-0005-0000-0000-00006A780000}"/>
    <cellStyle name="Migliaia 25 3 3 2 3" xfId="38780" xr:uid="{00000000-0005-0000-0000-00006B780000}"/>
    <cellStyle name="Migliaia 25 3 3 3" xfId="19362" xr:uid="{00000000-0005-0000-0000-00006C780000}"/>
    <cellStyle name="Migliaia 25 3 3 3 2" xfId="37326" xr:uid="{00000000-0005-0000-0000-00006D780000}"/>
    <cellStyle name="Migliaia 25 3 3 4" xfId="38281" xr:uid="{00000000-0005-0000-0000-00006E780000}"/>
    <cellStyle name="Migliaia 25 3 4" xfId="12093" xr:uid="{00000000-0005-0000-0000-00006F780000}"/>
    <cellStyle name="Migliaia 25 3 4 2" xfId="20507" xr:uid="{00000000-0005-0000-0000-000070780000}"/>
    <cellStyle name="Migliaia 25 3 4 2 2" xfId="37824" xr:uid="{00000000-0005-0000-0000-000071780000}"/>
    <cellStyle name="Migliaia 25 3 4 3" xfId="30278" xr:uid="{00000000-0005-0000-0000-000072780000}"/>
    <cellStyle name="Migliaia 25 3 4 4" xfId="38779" xr:uid="{00000000-0005-0000-0000-000073780000}"/>
    <cellStyle name="Migliaia 25 3 5" xfId="19360" xr:uid="{00000000-0005-0000-0000-000074780000}"/>
    <cellStyle name="Migliaia 25 3 5 2" xfId="37324" xr:uid="{00000000-0005-0000-0000-000075780000}"/>
    <cellStyle name="Migliaia 25 3 6" xfId="3273" xr:uid="{00000000-0005-0000-0000-000076780000}"/>
    <cellStyle name="Migliaia 25 3 6 2" xfId="23273" xr:uid="{00000000-0005-0000-0000-000077780000}"/>
    <cellStyle name="Migliaia 25 3 7" xfId="21472" xr:uid="{00000000-0005-0000-0000-000078780000}"/>
    <cellStyle name="Migliaia 25 3 8" xfId="38279" xr:uid="{00000000-0005-0000-0000-000079780000}"/>
    <cellStyle name="Migliaia 25 3 9" xfId="39177" xr:uid="{00000000-0005-0000-0000-00007A780000}"/>
    <cellStyle name="Migliaia 25 4" xfId="544" xr:uid="{00000000-0005-0000-0000-00007B780000}"/>
    <cellStyle name="Migliaia 25 4 2" xfId="19364" xr:uid="{00000000-0005-0000-0000-00007C780000}"/>
    <cellStyle name="Migliaia 25 4 2 2" xfId="20510" xr:uid="{00000000-0005-0000-0000-00007D780000}"/>
    <cellStyle name="Migliaia 25 4 2 2 2" xfId="37827" xr:uid="{00000000-0005-0000-0000-00007E780000}"/>
    <cellStyle name="Migliaia 25 4 2 2 3" xfId="38782" xr:uid="{00000000-0005-0000-0000-00007F780000}"/>
    <cellStyle name="Migliaia 25 4 2 3" xfId="37328" xr:uid="{00000000-0005-0000-0000-000080780000}"/>
    <cellStyle name="Migliaia 25 4 2 4" xfId="38283" xr:uid="{00000000-0005-0000-0000-000081780000}"/>
    <cellStyle name="Migliaia 25 4 3" xfId="20509" xr:uid="{00000000-0005-0000-0000-000082780000}"/>
    <cellStyle name="Migliaia 25 4 3 2" xfId="37826" xr:uid="{00000000-0005-0000-0000-000083780000}"/>
    <cellStyle name="Migliaia 25 4 3 3" xfId="38781" xr:uid="{00000000-0005-0000-0000-000084780000}"/>
    <cellStyle name="Migliaia 25 4 4" xfId="19363" xr:uid="{00000000-0005-0000-0000-000085780000}"/>
    <cellStyle name="Migliaia 25 4 4 2" xfId="37327" xr:uid="{00000000-0005-0000-0000-000086780000}"/>
    <cellStyle name="Migliaia 25 4 5" xfId="11446" xr:uid="{00000000-0005-0000-0000-000087780000}"/>
    <cellStyle name="Migliaia 25 4 6" xfId="21474" xr:uid="{00000000-0005-0000-0000-000088780000}"/>
    <cellStyle name="Migliaia 25 4 7" xfId="38282" xr:uid="{00000000-0005-0000-0000-000089780000}"/>
    <cellStyle name="Migliaia 25 4 8" xfId="39627" xr:uid="{00000000-0005-0000-0000-00008A780000}"/>
    <cellStyle name="Migliaia 25 4 9" xfId="40113" xr:uid="{00000000-0005-0000-0000-00008B780000}"/>
    <cellStyle name="Migliaia 25 5" xfId="545" xr:uid="{00000000-0005-0000-0000-00008C780000}"/>
    <cellStyle name="Migliaia 25 5 2" xfId="19365" xr:uid="{00000000-0005-0000-0000-00008D780000}"/>
    <cellStyle name="Migliaia 25 5 2 2" xfId="37329" xr:uid="{00000000-0005-0000-0000-00008E780000}"/>
    <cellStyle name="Migliaia 25 5 3" xfId="11447" xr:uid="{00000000-0005-0000-0000-00008F780000}"/>
    <cellStyle name="Migliaia 25 5 4" xfId="21475" xr:uid="{00000000-0005-0000-0000-000090780000}"/>
    <cellStyle name="Migliaia 25 5 5" xfId="38284" xr:uid="{00000000-0005-0000-0000-000091780000}"/>
    <cellStyle name="Migliaia 25 5 6" xfId="39628" xr:uid="{00000000-0005-0000-0000-000092780000}"/>
    <cellStyle name="Migliaia 25 5 7" xfId="40114" xr:uid="{00000000-0005-0000-0000-000093780000}"/>
    <cellStyle name="Migliaia 25 6" xfId="546" xr:uid="{00000000-0005-0000-0000-000094780000}"/>
    <cellStyle name="Migliaia 25 6 2" xfId="11442" xr:uid="{00000000-0005-0000-0000-000095780000}"/>
    <cellStyle name="Migliaia 25 6 3" xfId="21476" xr:uid="{00000000-0005-0000-0000-000096780000}"/>
    <cellStyle name="Migliaia 25 6 4" xfId="39629" xr:uid="{00000000-0005-0000-0000-000097780000}"/>
    <cellStyle name="Migliaia 25 6 5" xfId="40115" xr:uid="{00000000-0005-0000-0000-000098780000}"/>
    <cellStyle name="Migliaia 25 7" xfId="12091" xr:uid="{00000000-0005-0000-0000-000099780000}"/>
    <cellStyle name="Migliaia 25 7 2" xfId="30276" xr:uid="{00000000-0005-0000-0000-00009A780000}"/>
    <cellStyle name="Migliaia 25 8" xfId="19358" xr:uid="{00000000-0005-0000-0000-00009B780000}"/>
    <cellStyle name="Migliaia 25 8 2" xfId="37322" xr:uid="{00000000-0005-0000-0000-00009C780000}"/>
    <cellStyle name="Migliaia 25 9" xfId="3271" xr:uid="{00000000-0005-0000-0000-00009D780000}"/>
    <cellStyle name="Migliaia 25 9 2" xfId="23271" xr:uid="{00000000-0005-0000-0000-00009E780000}"/>
    <cellStyle name="Migliaia 26" xfId="547" xr:uid="{00000000-0005-0000-0000-00009F780000}"/>
    <cellStyle name="Migliaia 26 10" xfId="21477" xr:uid="{00000000-0005-0000-0000-0000A0780000}"/>
    <cellStyle name="Migliaia 26 11" xfId="38285" xr:uid="{00000000-0005-0000-0000-0000A1780000}"/>
    <cellStyle name="Migliaia 26 12" xfId="39179" xr:uid="{00000000-0005-0000-0000-0000A2780000}"/>
    <cellStyle name="Migliaia 26 13" xfId="39630" xr:uid="{00000000-0005-0000-0000-0000A3780000}"/>
    <cellStyle name="Migliaia 26 14" xfId="40116" xr:uid="{00000000-0005-0000-0000-0000A4780000}"/>
    <cellStyle name="Migliaia 26 2" xfId="548" xr:uid="{00000000-0005-0000-0000-0000A5780000}"/>
    <cellStyle name="Migliaia 26 2 10" xfId="39631" xr:uid="{00000000-0005-0000-0000-0000A6780000}"/>
    <cellStyle name="Migliaia 26 2 11" xfId="40117" xr:uid="{00000000-0005-0000-0000-0000A7780000}"/>
    <cellStyle name="Migliaia 26 2 2" xfId="3556" xr:uid="{00000000-0005-0000-0000-0000A8780000}"/>
    <cellStyle name="Migliaia 26 2 2 2" xfId="12317" xr:uid="{00000000-0005-0000-0000-0000A9780000}"/>
    <cellStyle name="Migliaia 26 2 2 2 2" xfId="30487" xr:uid="{00000000-0005-0000-0000-0000AA780000}"/>
    <cellStyle name="Migliaia 26 2 2 3" xfId="20511" xr:uid="{00000000-0005-0000-0000-0000AB780000}"/>
    <cellStyle name="Migliaia 26 2 2 3 2" xfId="37828" xr:uid="{00000000-0005-0000-0000-0000AC780000}"/>
    <cellStyle name="Migliaia 26 2 2 4" xfId="23485" xr:uid="{00000000-0005-0000-0000-0000AD780000}"/>
    <cellStyle name="Migliaia 26 2 2 5" xfId="38783" xr:uid="{00000000-0005-0000-0000-0000AE780000}"/>
    <cellStyle name="Migliaia 26 2 2 6" xfId="39401" xr:uid="{00000000-0005-0000-0000-0000AF780000}"/>
    <cellStyle name="Migliaia 26 2 3" xfId="11449" xr:uid="{00000000-0005-0000-0000-0000B0780000}"/>
    <cellStyle name="Migliaia 26 2 4" xfId="12096" xr:uid="{00000000-0005-0000-0000-0000B1780000}"/>
    <cellStyle name="Migliaia 26 2 4 2" xfId="30281" xr:uid="{00000000-0005-0000-0000-0000B2780000}"/>
    <cellStyle name="Migliaia 26 2 5" xfId="19367" xr:uid="{00000000-0005-0000-0000-0000B3780000}"/>
    <cellStyle name="Migliaia 26 2 5 2" xfId="37331" xr:uid="{00000000-0005-0000-0000-0000B4780000}"/>
    <cellStyle name="Migliaia 26 2 6" xfId="3276" xr:uid="{00000000-0005-0000-0000-0000B5780000}"/>
    <cellStyle name="Migliaia 26 2 6 2" xfId="23276" xr:uid="{00000000-0005-0000-0000-0000B6780000}"/>
    <cellStyle name="Migliaia 26 2 7" xfId="21478" xr:uid="{00000000-0005-0000-0000-0000B7780000}"/>
    <cellStyle name="Migliaia 26 2 8" xfId="38286" xr:uid="{00000000-0005-0000-0000-0000B8780000}"/>
    <cellStyle name="Migliaia 26 2 9" xfId="39180" xr:uid="{00000000-0005-0000-0000-0000B9780000}"/>
    <cellStyle name="Migliaia 26 3" xfId="549" xr:uid="{00000000-0005-0000-0000-0000BA780000}"/>
    <cellStyle name="Migliaia 26 3 10" xfId="39632" xr:uid="{00000000-0005-0000-0000-0000BB780000}"/>
    <cellStyle name="Migliaia 26 3 11" xfId="40118" xr:uid="{00000000-0005-0000-0000-0000BC780000}"/>
    <cellStyle name="Migliaia 26 3 2" xfId="550" xr:uid="{00000000-0005-0000-0000-0000BD780000}"/>
    <cellStyle name="Migliaia 26 3 2 10" xfId="40119" xr:uid="{00000000-0005-0000-0000-0000BE780000}"/>
    <cellStyle name="Migliaia 26 3 2 2" xfId="11451" xr:uid="{00000000-0005-0000-0000-0000BF780000}"/>
    <cellStyle name="Migliaia 26 3 2 3" xfId="12098" xr:uid="{00000000-0005-0000-0000-0000C0780000}"/>
    <cellStyle name="Migliaia 26 3 2 3 2" xfId="30283" xr:uid="{00000000-0005-0000-0000-0000C1780000}"/>
    <cellStyle name="Migliaia 26 3 2 4" xfId="19369" xr:uid="{00000000-0005-0000-0000-0000C2780000}"/>
    <cellStyle name="Migliaia 26 3 2 4 2" xfId="37333" xr:uid="{00000000-0005-0000-0000-0000C3780000}"/>
    <cellStyle name="Migliaia 26 3 2 5" xfId="3278" xr:uid="{00000000-0005-0000-0000-0000C4780000}"/>
    <cellStyle name="Migliaia 26 3 2 5 2" xfId="23278" xr:uid="{00000000-0005-0000-0000-0000C5780000}"/>
    <cellStyle name="Migliaia 26 3 2 6" xfId="21480" xr:uid="{00000000-0005-0000-0000-0000C6780000}"/>
    <cellStyle name="Migliaia 26 3 2 7" xfId="38288" xr:uid="{00000000-0005-0000-0000-0000C7780000}"/>
    <cellStyle name="Migliaia 26 3 2 8" xfId="39182" xr:uid="{00000000-0005-0000-0000-0000C8780000}"/>
    <cellStyle name="Migliaia 26 3 2 9" xfId="39633" xr:uid="{00000000-0005-0000-0000-0000C9780000}"/>
    <cellStyle name="Migliaia 26 3 3" xfId="11450" xr:uid="{00000000-0005-0000-0000-0000CA780000}"/>
    <cellStyle name="Migliaia 26 3 3 2" xfId="20513" xr:uid="{00000000-0005-0000-0000-0000CB780000}"/>
    <cellStyle name="Migliaia 26 3 3 2 2" xfId="37830" xr:uid="{00000000-0005-0000-0000-0000CC780000}"/>
    <cellStyle name="Migliaia 26 3 3 2 3" xfId="38785" xr:uid="{00000000-0005-0000-0000-0000CD780000}"/>
    <cellStyle name="Migliaia 26 3 3 3" xfId="19370" xr:uid="{00000000-0005-0000-0000-0000CE780000}"/>
    <cellStyle name="Migliaia 26 3 3 3 2" xfId="37334" xr:uid="{00000000-0005-0000-0000-0000CF780000}"/>
    <cellStyle name="Migliaia 26 3 3 4" xfId="38289" xr:uid="{00000000-0005-0000-0000-0000D0780000}"/>
    <cellStyle name="Migliaia 26 3 4" xfId="12097" xr:uid="{00000000-0005-0000-0000-0000D1780000}"/>
    <cellStyle name="Migliaia 26 3 4 2" xfId="20512" xr:uid="{00000000-0005-0000-0000-0000D2780000}"/>
    <cellStyle name="Migliaia 26 3 4 2 2" xfId="37829" xr:uid="{00000000-0005-0000-0000-0000D3780000}"/>
    <cellStyle name="Migliaia 26 3 4 3" xfId="30282" xr:uid="{00000000-0005-0000-0000-0000D4780000}"/>
    <cellStyle name="Migliaia 26 3 4 4" xfId="38784" xr:uid="{00000000-0005-0000-0000-0000D5780000}"/>
    <cellStyle name="Migliaia 26 3 5" xfId="19368" xr:uid="{00000000-0005-0000-0000-0000D6780000}"/>
    <cellStyle name="Migliaia 26 3 5 2" xfId="37332" xr:uid="{00000000-0005-0000-0000-0000D7780000}"/>
    <cellStyle name="Migliaia 26 3 6" xfId="3277" xr:uid="{00000000-0005-0000-0000-0000D8780000}"/>
    <cellStyle name="Migliaia 26 3 6 2" xfId="23277" xr:uid="{00000000-0005-0000-0000-0000D9780000}"/>
    <cellStyle name="Migliaia 26 3 7" xfId="21479" xr:uid="{00000000-0005-0000-0000-0000DA780000}"/>
    <cellStyle name="Migliaia 26 3 8" xfId="38287" xr:uid="{00000000-0005-0000-0000-0000DB780000}"/>
    <cellStyle name="Migliaia 26 3 9" xfId="39181" xr:uid="{00000000-0005-0000-0000-0000DC780000}"/>
    <cellStyle name="Migliaia 26 4" xfId="551" xr:uid="{00000000-0005-0000-0000-0000DD780000}"/>
    <cellStyle name="Migliaia 26 4 2" xfId="19372" xr:uid="{00000000-0005-0000-0000-0000DE780000}"/>
    <cellStyle name="Migliaia 26 4 2 2" xfId="20515" xr:uid="{00000000-0005-0000-0000-0000DF780000}"/>
    <cellStyle name="Migliaia 26 4 2 2 2" xfId="37832" xr:uid="{00000000-0005-0000-0000-0000E0780000}"/>
    <cellStyle name="Migliaia 26 4 2 2 3" xfId="38787" xr:uid="{00000000-0005-0000-0000-0000E1780000}"/>
    <cellStyle name="Migliaia 26 4 2 3" xfId="37336" xr:uid="{00000000-0005-0000-0000-0000E2780000}"/>
    <cellStyle name="Migliaia 26 4 2 4" xfId="38291" xr:uid="{00000000-0005-0000-0000-0000E3780000}"/>
    <cellStyle name="Migliaia 26 4 3" xfId="20514" xr:uid="{00000000-0005-0000-0000-0000E4780000}"/>
    <cellStyle name="Migliaia 26 4 3 2" xfId="37831" xr:uid="{00000000-0005-0000-0000-0000E5780000}"/>
    <cellStyle name="Migliaia 26 4 3 3" xfId="38786" xr:uid="{00000000-0005-0000-0000-0000E6780000}"/>
    <cellStyle name="Migliaia 26 4 4" xfId="19371" xr:uid="{00000000-0005-0000-0000-0000E7780000}"/>
    <cellStyle name="Migliaia 26 4 4 2" xfId="37335" xr:uid="{00000000-0005-0000-0000-0000E8780000}"/>
    <cellStyle name="Migliaia 26 4 5" xfId="11452" xr:uid="{00000000-0005-0000-0000-0000E9780000}"/>
    <cellStyle name="Migliaia 26 4 6" xfId="21481" xr:uid="{00000000-0005-0000-0000-0000EA780000}"/>
    <cellStyle name="Migliaia 26 4 7" xfId="38290" xr:uid="{00000000-0005-0000-0000-0000EB780000}"/>
    <cellStyle name="Migliaia 26 4 8" xfId="39634" xr:uid="{00000000-0005-0000-0000-0000EC780000}"/>
    <cellStyle name="Migliaia 26 4 9" xfId="40120" xr:uid="{00000000-0005-0000-0000-0000ED780000}"/>
    <cellStyle name="Migliaia 26 5" xfId="552" xr:uid="{00000000-0005-0000-0000-0000EE780000}"/>
    <cellStyle name="Migliaia 26 5 2" xfId="19373" xr:uid="{00000000-0005-0000-0000-0000EF780000}"/>
    <cellStyle name="Migliaia 26 5 2 2" xfId="37337" xr:uid="{00000000-0005-0000-0000-0000F0780000}"/>
    <cellStyle name="Migliaia 26 5 3" xfId="11453" xr:uid="{00000000-0005-0000-0000-0000F1780000}"/>
    <cellStyle name="Migliaia 26 5 4" xfId="21482" xr:uid="{00000000-0005-0000-0000-0000F2780000}"/>
    <cellStyle name="Migliaia 26 5 5" xfId="38292" xr:uid="{00000000-0005-0000-0000-0000F3780000}"/>
    <cellStyle name="Migliaia 26 5 6" xfId="39635" xr:uid="{00000000-0005-0000-0000-0000F4780000}"/>
    <cellStyle name="Migliaia 26 5 7" xfId="40121" xr:uid="{00000000-0005-0000-0000-0000F5780000}"/>
    <cellStyle name="Migliaia 26 6" xfId="553" xr:uid="{00000000-0005-0000-0000-0000F6780000}"/>
    <cellStyle name="Migliaia 26 6 2" xfId="11448" xr:uid="{00000000-0005-0000-0000-0000F7780000}"/>
    <cellStyle name="Migliaia 26 6 3" xfId="21483" xr:uid="{00000000-0005-0000-0000-0000F8780000}"/>
    <cellStyle name="Migliaia 26 6 4" xfId="39636" xr:uid="{00000000-0005-0000-0000-0000F9780000}"/>
    <cellStyle name="Migliaia 26 6 5" xfId="40122" xr:uid="{00000000-0005-0000-0000-0000FA780000}"/>
    <cellStyle name="Migliaia 26 7" xfId="12095" xr:uid="{00000000-0005-0000-0000-0000FB780000}"/>
    <cellStyle name="Migliaia 26 7 2" xfId="30280" xr:uid="{00000000-0005-0000-0000-0000FC780000}"/>
    <cellStyle name="Migliaia 26 8" xfId="19366" xr:uid="{00000000-0005-0000-0000-0000FD780000}"/>
    <cellStyle name="Migliaia 26 8 2" xfId="37330" xr:uid="{00000000-0005-0000-0000-0000FE780000}"/>
    <cellStyle name="Migliaia 26 9" xfId="3275" xr:uid="{00000000-0005-0000-0000-0000FF780000}"/>
    <cellStyle name="Migliaia 26 9 2" xfId="23275" xr:uid="{00000000-0005-0000-0000-000000790000}"/>
    <cellStyle name="Migliaia 27" xfId="554" xr:uid="{00000000-0005-0000-0000-000001790000}"/>
    <cellStyle name="Migliaia 27 10" xfId="21484" xr:uid="{00000000-0005-0000-0000-000002790000}"/>
    <cellStyle name="Migliaia 27 11" xfId="38293" xr:uid="{00000000-0005-0000-0000-000003790000}"/>
    <cellStyle name="Migliaia 27 12" xfId="39183" xr:uid="{00000000-0005-0000-0000-000004790000}"/>
    <cellStyle name="Migliaia 27 13" xfId="39637" xr:uid="{00000000-0005-0000-0000-000005790000}"/>
    <cellStyle name="Migliaia 27 14" xfId="40123" xr:uid="{00000000-0005-0000-0000-000006790000}"/>
    <cellStyle name="Migliaia 27 2" xfId="555" xr:uid="{00000000-0005-0000-0000-000007790000}"/>
    <cellStyle name="Migliaia 27 2 10" xfId="39638" xr:uid="{00000000-0005-0000-0000-000008790000}"/>
    <cellStyle name="Migliaia 27 2 11" xfId="40124" xr:uid="{00000000-0005-0000-0000-000009790000}"/>
    <cellStyle name="Migliaia 27 2 2" xfId="3557" xr:uid="{00000000-0005-0000-0000-00000A790000}"/>
    <cellStyle name="Migliaia 27 2 2 2" xfId="12318" xr:uid="{00000000-0005-0000-0000-00000B790000}"/>
    <cellStyle name="Migliaia 27 2 2 2 2" xfId="30488" xr:uid="{00000000-0005-0000-0000-00000C790000}"/>
    <cellStyle name="Migliaia 27 2 2 3" xfId="20516" xr:uid="{00000000-0005-0000-0000-00000D790000}"/>
    <cellStyle name="Migliaia 27 2 2 3 2" xfId="37833" xr:uid="{00000000-0005-0000-0000-00000E790000}"/>
    <cellStyle name="Migliaia 27 2 2 4" xfId="23486" xr:uid="{00000000-0005-0000-0000-00000F790000}"/>
    <cellStyle name="Migliaia 27 2 2 5" xfId="38788" xr:uid="{00000000-0005-0000-0000-000010790000}"/>
    <cellStyle name="Migliaia 27 2 2 6" xfId="39402" xr:uid="{00000000-0005-0000-0000-000011790000}"/>
    <cellStyle name="Migliaia 27 2 3" xfId="11455" xr:uid="{00000000-0005-0000-0000-000012790000}"/>
    <cellStyle name="Migliaia 27 2 4" xfId="12100" xr:uid="{00000000-0005-0000-0000-000013790000}"/>
    <cellStyle name="Migliaia 27 2 4 2" xfId="30285" xr:uid="{00000000-0005-0000-0000-000014790000}"/>
    <cellStyle name="Migliaia 27 2 5" xfId="19375" xr:uid="{00000000-0005-0000-0000-000015790000}"/>
    <cellStyle name="Migliaia 27 2 5 2" xfId="37339" xr:uid="{00000000-0005-0000-0000-000016790000}"/>
    <cellStyle name="Migliaia 27 2 6" xfId="3280" xr:uid="{00000000-0005-0000-0000-000017790000}"/>
    <cellStyle name="Migliaia 27 2 6 2" xfId="23280" xr:uid="{00000000-0005-0000-0000-000018790000}"/>
    <cellStyle name="Migliaia 27 2 7" xfId="21485" xr:uid="{00000000-0005-0000-0000-000019790000}"/>
    <cellStyle name="Migliaia 27 2 8" xfId="38294" xr:uid="{00000000-0005-0000-0000-00001A790000}"/>
    <cellStyle name="Migliaia 27 2 9" xfId="39184" xr:uid="{00000000-0005-0000-0000-00001B790000}"/>
    <cellStyle name="Migliaia 27 3" xfId="556" xr:uid="{00000000-0005-0000-0000-00001C790000}"/>
    <cellStyle name="Migliaia 27 3 10" xfId="39639" xr:uid="{00000000-0005-0000-0000-00001D790000}"/>
    <cellStyle name="Migliaia 27 3 11" xfId="40125" xr:uid="{00000000-0005-0000-0000-00001E790000}"/>
    <cellStyle name="Migliaia 27 3 2" xfId="557" xr:uid="{00000000-0005-0000-0000-00001F790000}"/>
    <cellStyle name="Migliaia 27 3 2 10" xfId="40126" xr:uid="{00000000-0005-0000-0000-000020790000}"/>
    <cellStyle name="Migliaia 27 3 2 2" xfId="11457" xr:uid="{00000000-0005-0000-0000-000021790000}"/>
    <cellStyle name="Migliaia 27 3 2 3" xfId="12102" xr:uid="{00000000-0005-0000-0000-000022790000}"/>
    <cellStyle name="Migliaia 27 3 2 3 2" xfId="30287" xr:uid="{00000000-0005-0000-0000-000023790000}"/>
    <cellStyle name="Migliaia 27 3 2 4" xfId="19377" xr:uid="{00000000-0005-0000-0000-000024790000}"/>
    <cellStyle name="Migliaia 27 3 2 4 2" xfId="37341" xr:uid="{00000000-0005-0000-0000-000025790000}"/>
    <cellStyle name="Migliaia 27 3 2 5" xfId="3282" xr:uid="{00000000-0005-0000-0000-000026790000}"/>
    <cellStyle name="Migliaia 27 3 2 5 2" xfId="23282" xr:uid="{00000000-0005-0000-0000-000027790000}"/>
    <cellStyle name="Migliaia 27 3 2 6" xfId="21487" xr:uid="{00000000-0005-0000-0000-000028790000}"/>
    <cellStyle name="Migliaia 27 3 2 7" xfId="38296" xr:uid="{00000000-0005-0000-0000-000029790000}"/>
    <cellStyle name="Migliaia 27 3 2 8" xfId="39186" xr:uid="{00000000-0005-0000-0000-00002A790000}"/>
    <cellStyle name="Migliaia 27 3 2 9" xfId="39640" xr:uid="{00000000-0005-0000-0000-00002B790000}"/>
    <cellStyle name="Migliaia 27 3 3" xfId="11456" xr:uid="{00000000-0005-0000-0000-00002C790000}"/>
    <cellStyle name="Migliaia 27 3 3 2" xfId="20518" xr:uid="{00000000-0005-0000-0000-00002D790000}"/>
    <cellStyle name="Migliaia 27 3 3 2 2" xfId="37835" xr:uid="{00000000-0005-0000-0000-00002E790000}"/>
    <cellStyle name="Migliaia 27 3 3 2 3" xfId="38790" xr:uid="{00000000-0005-0000-0000-00002F790000}"/>
    <cellStyle name="Migliaia 27 3 3 3" xfId="19378" xr:uid="{00000000-0005-0000-0000-000030790000}"/>
    <cellStyle name="Migliaia 27 3 3 3 2" xfId="37342" xr:uid="{00000000-0005-0000-0000-000031790000}"/>
    <cellStyle name="Migliaia 27 3 3 4" xfId="38297" xr:uid="{00000000-0005-0000-0000-000032790000}"/>
    <cellStyle name="Migliaia 27 3 4" xfId="12101" xr:uid="{00000000-0005-0000-0000-000033790000}"/>
    <cellStyle name="Migliaia 27 3 4 2" xfId="20517" xr:uid="{00000000-0005-0000-0000-000034790000}"/>
    <cellStyle name="Migliaia 27 3 4 2 2" xfId="37834" xr:uid="{00000000-0005-0000-0000-000035790000}"/>
    <cellStyle name="Migliaia 27 3 4 3" xfId="30286" xr:uid="{00000000-0005-0000-0000-000036790000}"/>
    <cellStyle name="Migliaia 27 3 4 4" xfId="38789" xr:uid="{00000000-0005-0000-0000-000037790000}"/>
    <cellStyle name="Migliaia 27 3 5" xfId="19376" xr:uid="{00000000-0005-0000-0000-000038790000}"/>
    <cellStyle name="Migliaia 27 3 5 2" xfId="37340" xr:uid="{00000000-0005-0000-0000-000039790000}"/>
    <cellStyle name="Migliaia 27 3 6" xfId="3281" xr:uid="{00000000-0005-0000-0000-00003A790000}"/>
    <cellStyle name="Migliaia 27 3 6 2" xfId="23281" xr:uid="{00000000-0005-0000-0000-00003B790000}"/>
    <cellStyle name="Migliaia 27 3 7" xfId="21486" xr:uid="{00000000-0005-0000-0000-00003C790000}"/>
    <cellStyle name="Migliaia 27 3 8" xfId="38295" xr:uid="{00000000-0005-0000-0000-00003D790000}"/>
    <cellStyle name="Migliaia 27 3 9" xfId="39185" xr:uid="{00000000-0005-0000-0000-00003E790000}"/>
    <cellStyle name="Migliaia 27 4" xfId="558" xr:uid="{00000000-0005-0000-0000-00003F790000}"/>
    <cellStyle name="Migliaia 27 4 2" xfId="19380" xr:uid="{00000000-0005-0000-0000-000040790000}"/>
    <cellStyle name="Migliaia 27 4 2 2" xfId="20520" xr:uid="{00000000-0005-0000-0000-000041790000}"/>
    <cellStyle name="Migliaia 27 4 2 2 2" xfId="37837" xr:uid="{00000000-0005-0000-0000-000042790000}"/>
    <cellStyle name="Migliaia 27 4 2 2 3" xfId="38792" xr:uid="{00000000-0005-0000-0000-000043790000}"/>
    <cellStyle name="Migliaia 27 4 2 3" xfId="37344" xr:uid="{00000000-0005-0000-0000-000044790000}"/>
    <cellStyle name="Migliaia 27 4 2 4" xfId="38299" xr:uid="{00000000-0005-0000-0000-000045790000}"/>
    <cellStyle name="Migliaia 27 4 3" xfId="20519" xr:uid="{00000000-0005-0000-0000-000046790000}"/>
    <cellStyle name="Migliaia 27 4 3 2" xfId="37836" xr:uid="{00000000-0005-0000-0000-000047790000}"/>
    <cellStyle name="Migliaia 27 4 3 3" xfId="38791" xr:uid="{00000000-0005-0000-0000-000048790000}"/>
    <cellStyle name="Migliaia 27 4 4" xfId="19379" xr:uid="{00000000-0005-0000-0000-000049790000}"/>
    <cellStyle name="Migliaia 27 4 4 2" xfId="37343" xr:uid="{00000000-0005-0000-0000-00004A790000}"/>
    <cellStyle name="Migliaia 27 4 5" xfId="11458" xr:uid="{00000000-0005-0000-0000-00004B790000}"/>
    <cellStyle name="Migliaia 27 4 6" xfId="21488" xr:uid="{00000000-0005-0000-0000-00004C790000}"/>
    <cellStyle name="Migliaia 27 4 7" xfId="38298" xr:uid="{00000000-0005-0000-0000-00004D790000}"/>
    <cellStyle name="Migliaia 27 4 8" xfId="39641" xr:uid="{00000000-0005-0000-0000-00004E790000}"/>
    <cellStyle name="Migliaia 27 4 9" xfId="40127" xr:uid="{00000000-0005-0000-0000-00004F790000}"/>
    <cellStyle name="Migliaia 27 5" xfId="559" xr:uid="{00000000-0005-0000-0000-000050790000}"/>
    <cellStyle name="Migliaia 27 5 2" xfId="19381" xr:uid="{00000000-0005-0000-0000-000051790000}"/>
    <cellStyle name="Migliaia 27 5 2 2" xfId="37345" xr:uid="{00000000-0005-0000-0000-000052790000}"/>
    <cellStyle name="Migliaia 27 5 3" xfId="11459" xr:uid="{00000000-0005-0000-0000-000053790000}"/>
    <cellStyle name="Migliaia 27 5 4" xfId="21489" xr:uid="{00000000-0005-0000-0000-000054790000}"/>
    <cellStyle name="Migliaia 27 5 5" xfId="38300" xr:uid="{00000000-0005-0000-0000-000055790000}"/>
    <cellStyle name="Migliaia 27 5 6" xfId="39642" xr:uid="{00000000-0005-0000-0000-000056790000}"/>
    <cellStyle name="Migliaia 27 5 7" xfId="40128" xr:uid="{00000000-0005-0000-0000-000057790000}"/>
    <cellStyle name="Migliaia 27 6" xfId="560" xr:uid="{00000000-0005-0000-0000-000058790000}"/>
    <cellStyle name="Migliaia 27 6 2" xfId="11454" xr:uid="{00000000-0005-0000-0000-000059790000}"/>
    <cellStyle name="Migliaia 27 6 3" xfId="21490" xr:uid="{00000000-0005-0000-0000-00005A790000}"/>
    <cellStyle name="Migliaia 27 6 4" xfId="39643" xr:uid="{00000000-0005-0000-0000-00005B790000}"/>
    <cellStyle name="Migliaia 27 6 5" xfId="40129" xr:uid="{00000000-0005-0000-0000-00005C790000}"/>
    <cellStyle name="Migliaia 27 7" xfId="12099" xr:uid="{00000000-0005-0000-0000-00005D790000}"/>
    <cellStyle name="Migliaia 27 7 2" xfId="30284" xr:uid="{00000000-0005-0000-0000-00005E790000}"/>
    <cellStyle name="Migliaia 27 8" xfId="19374" xr:uid="{00000000-0005-0000-0000-00005F790000}"/>
    <cellStyle name="Migliaia 27 8 2" xfId="37338" xr:uid="{00000000-0005-0000-0000-000060790000}"/>
    <cellStyle name="Migliaia 27 9" xfId="3279" xr:uid="{00000000-0005-0000-0000-000061790000}"/>
    <cellStyle name="Migliaia 27 9 2" xfId="23279" xr:uid="{00000000-0005-0000-0000-000062790000}"/>
    <cellStyle name="Migliaia 28" xfId="561" xr:uid="{00000000-0005-0000-0000-000063790000}"/>
    <cellStyle name="Migliaia 28 10" xfId="21491" xr:uid="{00000000-0005-0000-0000-000064790000}"/>
    <cellStyle name="Migliaia 28 11" xfId="38301" xr:uid="{00000000-0005-0000-0000-000065790000}"/>
    <cellStyle name="Migliaia 28 12" xfId="39187" xr:uid="{00000000-0005-0000-0000-000066790000}"/>
    <cellStyle name="Migliaia 28 13" xfId="39644" xr:uid="{00000000-0005-0000-0000-000067790000}"/>
    <cellStyle name="Migliaia 28 14" xfId="40130" xr:uid="{00000000-0005-0000-0000-000068790000}"/>
    <cellStyle name="Migliaia 28 2" xfId="562" xr:uid="{00000000-0005-0000-0000-000069790000}"/>
    <cellStyle name="Migliaia 28 2 10" xfId="39645" xr:uid="{00000000-0005-0000-0000-00006A790000}"/>
    <cellStyle name="Migliaia 28 2 11" xfId="40131" xr:uid="{00000000-0005-0000-0000-00006B790000}"/>
    <cellStyle name="Migliaia 28 2 2" xfId="3558" xr:uid="{00000000-0005-0000-0000-00006C790000}"/>
    <cellStyle name="Migliaia 28 2 2 2" xfId="12319" xr:uid="{00000000-0005-0000-0000-00006D790000}"/>
    <cellStyle name="Migliaia 28 2 2 2 2" xfId="30489" xr:uid="{00000000-0005-0000-0000-00006E790000}"/>
    <cellStyle name="Migliaia 28 2 2 3" xfId="20521" xr:uid="{00000000-0005-0000-0000-00006F790000}"/>
    <cellStyle name="Migliaia 28 2 2 3 2" xfId="37838" xr:uid="{00000000-0005-0000-0000-000070790000}"/>
    <cellStyle name="Migliaia 28 2 2 4" xfId="23487" xr:uid="{00000000-0005-0000-0000-000071790000}"/>
    <cellStyle name="Migliaia 28 2 2 5" xfId="38793" xr:uid="{00000000-0005-0000-0000-000072790000}"/>
    <cellStyle name="Migliaia 28 2 2 6" xfId="39403" xr:uid="{00000000-0005-0000-0000-000073790000}"/>
    <cellStyle name="Migliaia 28 2 3" xfId="11461" xr:uid="{00000000-0005-0000-0000-000074790000}"/>
    <cellStyle name="Migliaia 28 2 4" xfId="12104" xr:uid="{00000000-0005-0000-0000-000075790000}"/>
    <cellStyle name="Migliaia 28 2 4 2" xfId="30289" xr:uid="{00000000-0005-0000-0000-000076790000}"/>
    <cellStyle name="Migliaia 28 2 5" xfId="19383" xr:uid="{00000000-0005-0000-0000-000077790000}"/>
    <cellStyle name="Migliaia 28 2 5 2" xfId="37347" xr:uid="{00000000-0005-0000-0000-000078790000}"/>
    <cellStyle name="Migliaia 28 2 6" xfId="3284" xr:uid="{00000000-0005-0000-0000-000079790000}"/>
    <cellStyle name="Migliaia 28 2 6 2" xfId="23284" xr:uid="{00000000-0005-0000-0000-00007A790000}"/>
    <cellStyle name="Migliaia 28 2 7" xfId="21492" xr:uid="{00000000-0005-0000-0000-00007B790000}"/>
    <cellStyle name="Migliaia 28 2 8" xfId="38302" xr:uid="{00000000-0005-0000-0000-00007C790000}"/>
    <cellStyle name="Migliaia 28 2 9" xfId="39188" xr:uid="{00000000-0005-0000-0000-00007D790000}"/>
    <cellStyle name="Migliaia 28 3" xfId="563" xr:uid="{00000000-0005-0000-0000-00007E790000}"/>
    <cellStyle name="Migliaia 28 3 10" xfId="39646" xr:uid="{00000000-0005-0000-0000-00007F790000}"/>
    <cellStyle name="Migliaia 28 3 11" xfId="40132" xr:uid="{00000000-0005-0000-0000-000080790000}"/>
    <cellStyle name="Migliaia 28 3 2" xfId="564" xr:uid="{00000000-0005-0000-0000-000081790000}"/>
    <cellStyle name="Migliaia 28 3 2 10" xfId="40133" xr:uid="{00000000-0005-0000-0000-000082790000}"/>
    <cellStyle name="Migliaia 28 3 2 2" xfId="11463" xr:uid="{00000000-0005-0000-0000-000083790000}"/>
    <cellStyle name="Migliaia 28 3 2 3" xfId="12106" xr:uid="{00000000-0005-0000-0000-000084790000}"/>
    <cellStyle name="Migliaia 28 3 2 3 2" xfId="30291" xr:uid="{00000000-0005-0000-0000-000085790000}"/>
    <cellStyle name="Migliaia 28 3 2 4" xfId="19385" xr:uid="{00000000-0005-0000-0000-000086790000}"/>
    <cellStyle name="Migliaia 28 3 2 4 2" xfId="37349" xr:uid="{00000000-0005-0000-0000-000087790000}"/>
    <cellStyle name="Migliaia 28 3 2 5" xfId="3286" xr:uid="{00000000-0005-0000-0000-000088790000}"/>
    <cellStyle name="Migliaia 28 3 2 5 2" xfId="23286" xr:uid="{00000000-0005-0000-0000-000089790000}"/>
    <cellStyle name="Migliaia 28 3 2 6" xfId="21494" xr:uid="{00000000-0005-0000-0000-00008A790000}"/>
    <cellStyle name="Migliaia 28 3 2 7" xfId="38304" xr:uid="{00000000-0005-0000-0000-00008B790000}"/>
    <cellStyle name="Migliaia 28 3 2 8" xfId="39190" xr:uid="{00000000-0005-0000-0000-00008C790000}"/>
    <cellStyle name="Migliaia 28 3 2 9" xfId="39647" xr:uid="{00000000-0005-0000-0000-00008D790000}"/>
    <cellStyle name="Migliaia 28 3 3" xfId="11462" xr:uid="{00000000-0005-0000-0000-00008E790000}"/>
    <cellStyle name="Migliaia 28 3 3 2" xfId="20523" xr:uid="{00000000-0005-0000-0000-00008F790000}"/>
    <cellStyle name="Migliaia 28 3 3 2 2" xfId="37840" xr:uid="{00000000-0005-0000-0000-000090790000}"/>
    <cellStyle name="Migliaia 28 3 3 2 3" xfId="38795" xr:uid="{00000000-0005-0000-0000-000091790000}"/>
    <cellStyle name="Migliaia 28 3 3 3" xfId="19386" xr:uid="{00000000-0005-0000-0000-000092790000}"/>
    <cellStyle name="Migliaia 28 3 3 3 2" xfId="37350" xr:uid="{00000000-0005-0000-0000-000093790000}"/>
    <cellStyle name="Migliaia 28 3 3 4" xfId="38305" xr:uid="{00000000-0005-0000-0000-000094790000}"/>
    <cellStyle name="Migliaia 28 3 4" xfId="12105" xr:uid="{00000000-0005-0000-0000-000095790000}"/>
    <cellStyle name="Migliaia 28 3 4 2" xfId="20522" xr:uid="{00000000-0005-0000-0000-000096790000}"/>
    <cellStyle name="Migliaia 28 3 4 2 2" xfId="37839" xr:uid="{00000000-0005-0000-0000-000097790000}"/>
    <cellStyle name="Migliaia 28 3 4 3" xfId="30290" xr:uid="{00000000-0005-0000-0000-000098790000}"/>
    <cellStyle name="Migliaia 28 3 4 4" xfId="38794" xr:uid="{00000000-0005-0000-0000-000099790000}"/>
    <cellStyle name="Migliaia 28 3 5" xfId="19384" xr:uid="{00000000-0005-0000-0000-00009A790000}"/>
    <cellStyle name="Migliaia 28 3 5 2" xfId="37348" xr:uid="{00000000-0005-0000-0000-00009B790000}"/>
    <cellStyle name="Migliaia 28 3 6" xfId="3285" xr:uid="{00000000-0005-0000-0000-00009C790000}"/>
    <cellStyle name="Migliaia 28 3 6 2" xfId="23285" xr:uid="{00000000-0005-0000-0000-00009D790000}"/>
    <cellStyle name="Migliaia 28 3 7" xfId="21493" xr:uid="{00000000-0005-0000-0000-00009E790000}"/>
    <cellStyle name="Migliaia 28 3 8" xfId="38303" xr:uid="{00000000-0005-0000-0000-00009F790000}"/>
    <cellStyle name="Migliaia 28 3 9" xfId="39189" xr:uid="{00000000-0005-0000-0000-0000A0790000}"/>
    <cellStyle name="Migliaia 28 4" xfId="565" xr:uid="{00000000-0005-0000-0000-0000A1790000}"/>
    <cellStyle name="Migliaia 28 4 2" xfId="19388" xr:uid="{00000000-0005-0000-0000-0000A2790000}"/>
    <cellStyle name="Migliaia 28 4 2 2" xfId="20525" xr:uid="{00000000-0005-0000-0000-0000A3790000}"/>
    <cellStyle name="Migliaia 28 4 2 2 2" xfId="37842" xr:uid="{00000000-0005-0000-0000-0000A4790000}"/>
    <cellStyle name="Migliaia 28 4 2 2 3" xfId="38797" xr:uid="{00000000-0005-0000-0000-0000A5790000}"/>
    <cellStyle name="Migliaia 28 4 2 3" xfId="37352" xr:uid="{00000000-0005-0000-0000-0000A6790000}"/>
    <cellStyle name="Migliaia 28 4 2 4" xfId="38307" xr:uid="{00000000-0005-0000-0000-0000A7790000}"/>
    <cellStyle name="Migliaia 28 4 3" xfId="20524" xr:uid="{00000000-0005-0000-0000-0000A8790000}"/>
    <cellStyle name="Migliaia 28 4 3 2" xfId="37841" xr:uid="{00000000-0005-0000-0000-0000A9790000}"/>
    <cellStyle name="Migliaia 28 4 3 3" xfId="38796" xr:uid="{00000000-0005-0000-0000-0000AA790000}"/>
    <cellStyle name="Migliaia 28 4 4" xfId="19387" xr:uid="{00000000-0005-0000-0000-0000AB790000}"/>
    <cellStyle name="Migliaia 28 4 4 2" xfId="37351" xr:uid="{00000000-0005-0000-0000-0000AC790000}"/>
    <cellStyle name="Migliaia 28 4 5" xfId="11464" xr:uid="{00000000-0005-0000-0000-0000AD790000}"/>
    <cellStyle name="Migliaia 28 4 6" xfId="21495" xr:uid="{00000000-0005-0000-0000-0000AE790000}"/>
    <cellStyle name="Migliaia 28 4 7" xfId="38306" xr:uid="{00000000-0005-0000-0000-0000AF790000}"/>
    <cellStyle name="Migliaia 28 4 8" xfId="39648" xr:uid="{00000000-0005-0000-0000-0000B0790000}"/>
    <cellStyle name="Migliaia 28 4 9" xfId="40134" xr:uid="{00000000-0005-0000-0000-0000B1790000}"/>
    <cellStyle name="Migliaia 28 5" xfId="566" xr:uid="{00000000-0005-0000-0000-0000B2790000}"/>
    <cellStyle name="Migliaia 28 5 2" xfId="19389" xr:uid="{00000000-0005-0000-0000-0000B3790000}"/>
    <cellStyle name="Migliaia 28 5 2 2" xfId="37353" xr:uid="{00000000-0005-0000-0000-0000B4790000}"/>
    <cellStyle name="Migliaia 28 5 3" xfId="11465" xr:uid="{00000000-0005-0000-0000-0000B5790000}"/>
    <cellStyle name="Migliaia 28 5 4" xfId="21496" xr:uid="{00000000-0005-0000-0000-0000B6790000}"/>
    <cellStyle name="Migliaia 28 5 5" xfId="38308" xr:uid="{00000000-0005-0000-0000-0000B7790000}"/>
    <cellStyle name="Migliaia 28 5 6" xfId="39649" xr:uid="{00000000-0005-0000-0000-0000B8790000}"/>
    <cellStyle name="Migliaia 28 5 7" xfId="40135" xr:uid="{00000000-0005-0000-0000-0000B9790000}"/>
    <cellStyle name="Migliaia 28 6" xfId="567" xr:uid="{00000000-0005-0000-0000-0000BA790000}"/>
    <cellStyle name="Migliaia 28 6 2" xfId="11460" xr:uid="{00000000-0005-0000-0000-0000BB790000}"/>
    <cellStyle name="Migliaia 28 6 3" xfId="21497" xr:uid="{00000000-0005-0000-0000-0000BC790000}"/>
    <cellStyle name="Migliaia 28 6 4" xfId="39650" xr:uid="{00000000-0005-0000-0000-0000BD790000}"/>
    <cellStyle name="Migliaia 28 6 5" xfId="40136" xr:uid="{00000000-0005-0000-0000-0000BE790000}"/>
    <cellStyle name="Migliaia 28 7" xfId="12103" xr:uid="{00000000-0005-0000-0000-0000BF790000}"/>
    <cellStyle name="Migliaia 28 7 2" xfId="30288" xr:uid="{00000000-0005-0000-0000-0000C0790000}"/>
    <cellStyle name="Migliaia 28 8" xfId="19382" xr:uid="{00000000-0005-0000-0000-0000C1790000}"/>
    <cellStyle name="Migliaia 28 8 2" xfId="37346" xr:uid="{00000000-0005-0000-0000-0000C2790000}"/>
    <cellStyle name="Migliaia 28 9" xfId="3283" xr:uid="{00000000-0005-0000-0000-0000C3790000}"/>
    <cellStyle name="Migliaia 28 9 2" xfId="23283" xr:uid="{00000000-0005-0000-0000-0000C4790000}"/>
    <cellStyle name="Migliaia 29" xfId="568" xr:uid="{00000000-0005-0000-0000-0000C5790000}"/>
    <cellStyle name="Migliaia 29 10" xfId="21498" xr:uid="{00000000-0005-0000-0000-0000C6790000}"/>
    <cellStyle name="Migliaia 29 11" xfId="38309" xr:uid="{00000000-0005-0000-0000-0000C7790000}"/>
    <cellStyle name="Migliaia 29 12" xfId="39191" xr:uid="{00000000-0005-0000-0000-0000C8790000}"/>
    <cellStyle name="Migliaia 29 13" xfId="39651" xr:uid="{00000000-0005-0000-0000-0000C9790000}"/>
    <cellStyle name="Migliaia 29 14" xfId="40137" xr:uid="{00000000-0005-0000-0000-0000CA790000}"/>
    <cellStyle name="Migliaia 29 2" xfId="569" xr:uid="{00000000-0005-0000-0000-0000CB790000}"/>
    <cellStyle name="Migliaia 29 2 10" xfId="39652" xr:uid="{00000000-0005-0000-0000-0000CC790000}"/>
    <cellStyle name="Migliaia 29 2 11" xfId="40138" xr:uid="{00000000-0005-0000-0000-0000CD790000}"/>
    <cellStyle name="Migliaia 29 2 2" xfId="3559" xr:uid="{00000000-0005-0000-0000-0000CE790000}"/>
    <cellStyle name="Migliaia 29 2 2 2" xfId="12320" xr:uid="{00000000-0005-0000-0000-0000CF790000}"/>
    <cellStyle name="Migliaia 29 2 2 2 2" xfId="30490" xr:uid="{00000000-0005-0000-0000-0000D0790000}"/>
    <cellStyle name="Migliaia 29 2 2 3" xfId="20526" xr:uid="{00000000-0005-0000-0000-0000D1790000}"/>
    <cellStyle name="Migliaia 29 2 2 3 2" xfId="37843" xr:uid="{00000000-0005-0000-0000-0000D2790000}"/>
    <cellStyle name="Migliaia 29 2 2 4" xfId="23488" xr:uid="{00000000-0005-0000-0000-0000D3790000}"/>
    <cellStyle name="Migliaia 29 2 2 5" xfId="38798" xr:uid="{00000000-0005-0000-0000-0000D4790000}"/>
    <cellStyle name="Migliaia 29 2 2 6" xfId="39404" xr:uid="{00000000-0005-0000-0000-0000D5790000}"/>
    <cellStyle name="Migliaia 29 2 3" xfId="11467" xr:uid="{00000000-0005-0000-0000-0000D6790000}"/>
    <cellStyle name="Migliaia 29 2 4" xfId="12108" xr:uid="{00000000-0005-0000-0000-0000D7790000}"/>
    <cellStyle name="Migliaia 29 2 4 2" xfId="30293" xr:uid="{00000000-0005-0000-0000-0000D8790000}"/>
    <cellStyle name="Migliaia 29 2 5" xfId="19391" xr:uid="{00000000-0005-0000-0000-0000D9790000}"/>
    <cellStyle name="Migliaia 29 2 5 2" xfId="37355" xr:uid="{00000000-0005-0000-0000-0000DA790000}"/>
    <cellStyle name="Migliaia 29 2 6" xfId="3288" xr:uid="{00000000-0005-0000-0000-0000DB790000}"/>
    <cellStyle name="Migliaia 29 2 6 2" xfId="23288" xr:uid="{00000000-0005-0000-0000-0000DC790000}"/>
    <cellStyle name="Migliaia 29 2 7" xfId="21499" xr:uid="{00000000-0005-0000-0000-0000DD790000}"/>
    <cellStyle name="Migliaia 29 2 8" xfId="38310" xr:uid="{00000000-0005-0000-0000-0000DE790000}"/>
    <cellStyle name="Migliaia 29 2 9" xfId="39192" xr:uid="{00000000-0005-0000-0000-0000DF790000}"/>
    <cellStyle name="Migliaia 29 3" xfId="570" xr:uid="{00000000-0005-0000-0000-0000E0790000}"/>
    <cellStyle name="Migliaia 29 3 10" xfId="39653" xr:uid="{00000000-0005-0000-0000-0000E1790000}"/>
    <cellStyle name="Migliaia 29 3 11" xfId="40139" xr:uid="{00000000-0005-0000-0000-0000E2790000}"/>
    <cellStyle name="Migliaia 29 3 2" xfId="571" xr:uid="{00000000-0005-0000-0000-0000E3790000}"/>
    <cellStyle name="Migliaia 29 3 2 10" xfId="40140" xr:uid="{00000000-0005-0000-0000-0000E4790000}"/>
    <cellStyle name="Migliaia 29 3 2 2" xfId="11469" xr:uid="{00000000-0005-0000-0000-0000E5790000}"/>
    <cellStyle name="Migliaia 29 3 2 3" xfId="12110" xr:uid="{00000000-0005-0000-0000-0000E6790000}"/>
    <cellStyle name="Migliaia 29 3 2 3 2" xfId="30295" xr:uid="{00000000-0005-0000-0000-0000E7790000}"/>
    <cellStyle name="Migliaia 29 3 2 4" xfId="19393" xr:uid="{00000000-0005-0000-0000-0000E8790000}"/>
    <cellStyle name="Migliaia 29 3 2 4 2" xfId="37357" xr:uid="{00000000-0005-0000-0000-0000E9790000}"/>
    <cellStyle name="Migliaia 29 3 2 5" xfId="3290" xr:uid="{00000000-0005-0000-0000-0000EA790000}"/>
    <cellStyle name="Migliaia 29 3 2 5 2" xfId="23290" xr:uid="{00000000-0005-0000-0000-0000EB790000}"/>
    <cellStyle name="Migliaia 29 3 2 6" xfId="21501" xr:uid="{00000000-0005-0000-0000-0000EC790000}"/>
    <cellStyle name="Migliaia 29 3 2 7" xfId="38312" xr:uid="{00000000-0005-0000-0000-0000ED790000}"/>
    <cellStyle name="Migliaia 29 3 2 8" xfId="39194" xr:uid="{00000000-0005-0000-0000-0000EE790000}"/>
    <cellStyle name="Migliaia 29 3 2 9" xfId="39654" xr:uid="{00000000-0005-0000-0000-0000EF790000}"/>
    <cellStyle name="Migliaia 29 3 3" xfId="11468" xr:uid="{00000000-0005-0000-0000-0000F0790000}"/>
    <cellStyle name="Migliaia 29 3 3 2" xfId="20528" xr:uid="{00000000-0005-0000-0000-0000F1790000}"/>
    <cellStyle name="Migliaia 29 3 3 2 2" xfId="37845" xr:uid="{00000000-0005-0000-0000-0000F2790000}"/>
    <cellStyle name="Migliaia 29 3 3 2 3" xfId="38800" xr:uid="{00000000-0005-0000-0000-0000F3790000}"/>
    <cellStyle name="Migliaia 29 3 3 3" xfId="19394" xr:uid="{00000000-0005-0000-0000-0000F4790000}"/>
    <cellStyle name="Migliaia 29 3 3 3 2" xfId="37358" xr:uid="{00000000-0005-0000-0000-0000F5790000}"/>
    <cellStyle name="Migliaia 29 3 3 4" xfId="38313" xr:uid="{00000000-0005-0000-0000-0000F6790000}"/>
    <cellStyle name="Migliaia 29 3 4" xfId="12109" xr:uid="{00000000-0005-0000-0000-0000F7790000}"/>
    <cellStyle name="Migliaia 29 3 4 2" xfId="20527" xr:uid="{00000000-0005-0000-0000-0000F8790000}"/>
    <cellStyle name="Migliaia 29 3 4 2 2" xfId="37844" xr:uid="{00000000-0005-0000-0000-0000F9790000}"/>
    <cellStyle name="Migliaia 29 3 4 3" xfId="30294" xr:uid="{00000000-0005-0000-0000-0000FA790000}"/>
    <cellStyle name="Migliaia 29 3 4 4" xfId="38799" xr:uid="{00000000-0005-0000-0000-0000FB790000}"/>
    <cellStyle name="Migliaia 29 3 5" xfId="19392" xr:uid="{00000000-0005-0000-0000-0000FC790000}"/>
    <cellStyle name="Migliaia 29 3 5 2" xfId="37356" xr:uid="{00000000-0005-0000-0000-0000FD790000}"/>
    <cellStyle name="Migliaia 29 3 6" xfId="3289" xr:uid="{00000000-0005-0000-0000-0000FE790000}"/>
    <cellStyle name="Migliaia 29 3 6 2" xfId="23289" xr:uid="{00000000-0005-0000-0000-0000FF790000}"/>
    <cellStyle name="Migliaia 29 3 7" xfId="21500" xr:uid="{00000000-0005-0000-0000-0000007A0000}"/>
    <cellStyle name="Migliaia 29 3 8" xfId="38311" xr:uid="{00000000-0005-0000-0000-0000017A0000}"/>
    <cellStyle name="Migliaia 29 3 9" xfId="39193" xr:uid="{00000000-0005-0000-0000-0000027A0000}"/>
    <cellStyle name="Migliaia 29 4" xfId="572" xr:uid="{00000000-0005-0000-0000-0000037A0000}"/>
    <cellStyle name="Migliaia 29 4 2" xfId="19396" xr:uid="{00000000-0005-0000-0000-0000047A0000}"/>
    <cellStyle name="Migliaia 29 4 2 2" xfId="20530" xr:uid="{00000000-0005-0000-0000-0000057A0000}"/>
    <cellStyle name="Migliaia 29 4 2 2 2" xfId="37847" xr:uid="{00000000-0005-0000-0000-0000067A0000}"/>
    <cellStyle name="Migliaia 29 4 2 2 3" xfId="38802" xr:uid="{00000000-0005-0000-0000-0000077A0000}"/>
    <cellStyle name="Migliaia 29 4 2 3" xfId="37360" xr:uid="{00000000-0005-0000-0000-0000087A0000}"/>
    <cellStyle name="Migliaia 29 4 2 4" xfId="38315" xr:uid="{00000000-0005-0000-0000-0000097A0000}"/>
    <cellStyle name="Migliaia 29 4 3" xfId="20529" xr:uid="{00000000-0005-0000-0000-00000A7A0000}"/>
    <cellStyle name="Migliaia 29 4 3 2" xfId="37846" xr:uid="{00000000-0005-0000-0000-00000B7A0000}"/>
    <cellStyle name="Migliaia 29 4 3 3" xfId="38801" xr:uid="{00000000-0005-0000-0000-00000C7A0000}"/>
    <cellStyle name="Migliaia 29 4 4" xfId="19395" xr:uid="{00000000-0005-0000-0000-00000D7A0000}"/>
    <cellStyle name="Migliaia 29 4 4 2" xfId="37359" xr:uid="{00000000-0005-0000-0000-00000E7A0000}"/>
    <cellStyle name="Migliaia 29 4 5" xfId="11470" xr:uid="{00000000-0005-0000-0000-00000F7A0000}"/>
    <cellStyle name="Migliaia 29 4 6" xfId="21502" xr:uid="{00000000-0005-0000-0000-0000107A0000}"/>
    <cellStyle name="Migliaia 29 4 7" xfId="38314" xr:uid="{00000000-0005-0000-0000-0000117A0000}"/>
    <cellStyle name="Migliaia 29 4 8" xfId="39655" xr:uid="{00000000-0005-0000-0000-0000127A0000}"/>
    <cellStyle name="Migliaia 29 4 9" xfId="40141" xr:uid="{00000000-0005-0000-0000-0000137A0000}"/>
    <cellStyle name="Migliaia 29 5" xfId="573" xr:uid="{00000000-0005-0000-0000-0000147A0000}"/>
    <cellStyle name="Migliaia 29 5 2" xfId="19397" xr:uid="{00000000-0005-0000-0000-0000157A0000}"/>
    <cellStyle name="Migliaia 29 5 2 2" xfId="37361" xr:uid="{00000000-0005-0000-0000-0000167A0000}"/>
    <cellStyle name="Migliaia 29 5 3" xfId="11471" xr:uid="{00000000-0005-0000-0000-0000177A0000}"/>
    <cellStyle name="Migliaia 29 5 4" xfId="21503" xr:uid="{00000000-0005-0000-0000-0000187A0000}"/>
    <cellStyle name="Migliaia 29 5 5" xfId="38316" xr:uid="{00000000-0005-0000-0000-0000197A0000}"/>
    <cellStyle name="Migliaia 29 5 6" xfId="39656" xr:uid="{00000000-0005-0000-0000-00001A7A0000}"/>
    <cellStyle name="Migliaia 29 5 7" xfId="40142" xr:uid="{00000000-0005-0000-0000-00001B7A0000}"/>
    <cellStyle name="Migliaia 29 6" xfId="574" xr:uid="{00000000-0005-0000-0000-00001C7A0000}"/>
    <cellStyle name="Migliaia 29 6 2" xfId="11466" xr:uid="{00000000-0005-0000-0000-00001D7A0000}"/>
    <cellStyle name="Migliaia 29 6 3" xfId="21504" xr:uid="{00000000-0005-0000-0000-00001E7A0000}"/>
    <cellStyle name="Migliaia 29 6 4" xfId="39657" xr:uid="{00000000-0005-0000-0000-00001F7A0000}"/>
    <cellStyle name="Migliaia 29 6 5" xfId="40143" xr:uid="{00000000-0005-0000-0000-0000207A0000}"/>
    <cellStyle name="Migliaia 29 7" xfId="12107" xr:uid="{00000000-0005-0000-0000-0000217A0000}"/>
    <cellStyle name="Migliaia 29 7 2" xfId="30292" xr:uid="{00000000-0005-0000-0000-0000227A0000}"/>
    <cellStyle name="Migliaia 29 8" xfId="19390" xr:uid="{00000000-0005-0000-0000-0000237A0000}"/>
    <cellStyle name="Migliaia 29 8 2" xfId="37354" xr:uid="{00000000-0005-0000-0000-0000247A0000}"/>
    <cellStyle name="Migliaia 29 9" xfId="3287" xr:uid="{00000000-0005-0000-0000-0000257A0000}"/>
    <cellStyle name="Migliaia 29 9 2" xfId="23287" xr:uid="{00000000-0005-0000-0000-0000267A0000}"/>
    <cellStyle name="Migliaia 3" xfId="575" xr:uid="{00000000-0005-0000-0000-0000277A0000}"/>
    <cellStyle name="Migliaia 3 10" xfId="21505" xr:uid="{00000000-0005-0000-0000-0000287A0000}"/>
    <cellStyle name="Migliaia 3 11" xfId="38317" xr:uid="{00000000-0005-0000-0000-0000297A0000}"/>
    <cellStyle name="Migliaia 3 12" xfId="39195" xr:uid="{00000000-0005-0000-0000-00002A7A0000}"/>
    <cellStyle name="Migliaia 3 13" xfId="39658" xr:uid="{00000000-0005-0000-0000-00002B7A0000}"/>
    <cellStyle name="Migliaia 3 14" xfId="40144" xr:uid="{00000000-0005-0000-0000-00002C7A0000}"/>
    <cellStyle name="Migliaia 3 2" xfId="576" xr:uid="{00000000-0005-0000-0000-00002D7A0000}"/>
    <cellStyle name="Migliaia 3 2 10" xfId="39659" xr:uid="{00000000-0005-0000-0000-00002E7A0000}"/>
    <cellStyle name="Migliaia 3 2 11" xfId="40145" xr:uid="{00000000-0005-0000-0000-00002F7A0000}"/>
    <cellStyle name="Migliaia 3 2 2" xfId="3560" xr:uid="{00000000-0005-0000-0000-0000307A0000}"/>
    <cellStyle name="Migliaia 3 2 2 2" xfId="12321" xr:uid="{00000000-0005-0000-0000-0000317A0000}"/>
    <cellStyle name="Migliaia 3 2 2 2 2" xfId="30491" xr:uid="{00000000-0005-0000-0000-0000327A0000}"/>
    <cellStyle name="Migliaia 3 2 2 3" xfId="20531" xr:uid="{00000000-0005-0000-0000-0000337A0000}"/>
    <cellStyle name="Migliaia 3 2 2 3 2" xfId="37848" xr:uid="{00000000-0005-0000-0000-0000347A0000}"/>
    <cellStyle name="Migliaia 3 2 2 4" xfId="23489" xr:uid="{00000000-0005-0000-0000-0000357A0000}"/>
    <cellStyle name="Migliaia 3 2 2 5" xfId="38803" xr:uid="{00000000-0005-0000-0000-0000367A0000}"/>
    <cellStyle name="Migliaia 3 2 2 6" xfId="39405" xr:uid="{00000000-0005-0000-0000-0000377A0000}"/>
    <cellStyle name="Migliaia 3 2 3" xfId="11473" xr:uid="{00000000-0005-0000-0000-0000387A0000}"/>
    <cellStyle name="Migliaia 3 2 4" xfId="12112" xr:uid="{00000000-0005-0000-0000-0000397A0000}"/>
    <cellStyle name="Migliaia 3 2 4 2" xfId="30297" xr:uid="{00000000-0005-0000-0000-00003A7A0000}"/>
    <cellStyle name="Migliaia 3 2 5" xfId="19399" xr:uid="{00000000-0005-0000-0000-00003B7A0000}"/>
    <cellStyle name="Migliaia 3 2 5 2" xfId="37363" xr:uid="{00000000-0005-0000-0000-00003C7A0000}"/>
    <cellStyle name="Migliaia 3 2 6" xfId="3292" xr:uid="{00000000-0005-0000-0000-00003D7A0000}"/>
    <cellStyle name="Migliaia 3 2 6 2" xfId="23292" xr:uid="{00000000-0005-0000-0000-00003E7A0000}"/>
    <cellStyle name="Migliaia 3 2 7" xfId="21506" xr:uid="{00000000-0005-0000-0000-00003F7A0000}"/>
    <cellStyle name="Migliaia 3 2 8" xfId="38318" xr:uid="{00000000-0005-0000-0000-0000407A0000}"/>
    <cellStyle name="Migliaia 3 2 9" xfId="39196" xr:uid="{00000000-0005-0000-0000-0000417A0000}"/>
    <cellStyle name="Migliaia 3 3" xfId="577" xr:uid="{00000000-0005-0000-0000-0000427A0000}"/>
    <cellStyle name="Migliaia 3 3 10" xfId="39660" xr:uid="{00000000-0005-0000-0000-0000437A0000}"/>
    <cellStyle name="Migliaia 3 3 11" xfId="40146" xr:uid="{00000000-0005-0000-0000-0000447A0000}"/>
    <cellStyle name="Migliaia 3 3 2" xfId="578" xr:uid="{00000000-0005-0000-0000-0000457A0000}"/>
    <cellStyle name="Migliaia 3 3 2 10" xfId="40147" xr:uid="{00000000-0005-0000-0000-0000467A0000}"/>
    <cellStyle name="Migliaia 3 3 2 2" xfId="11475" xr:uid="{00000000-0005-0000-0000-0000477A0000}"/>
    <cellStyle name="Migliaia 3 3 2 3" xfId="12114" xr:uid="{00000000-0005-0000-0000-0000487A0000}"/>
    <cellStyle name="Migliaia 3 3 2 3 2" xfId="30299" xr:uid="{00000000-0005-0000-0000-0000497A0000}"/>
    <cellStyle name="Migliaia 3 3 2 4" xfId="19401" xr:uid="{00000000-0005-0000-0000-00004A7A0000}"/>
    <cellStyle name="Migliaia 3 3 2 4 2" xfId="37365" xr:uid="{00000000-0005-0000-0000-00004B7A0000}"/>
    <cellStyle name="Migliaia 3 3 2 5" xfId="3294" xr:uid="{00000000-0005-0000-0000-00004C7A0000}"/>
    <cellStyle name="Migliaia 3 3 2 5 2" xfId="23294" xr:uid="{00000000-0005-0000-0000-00004D7A0000}"/>
    <cellStyle name="Migliaia 3 3 2 6" xfId="21508" xr:uid="{00000000-0005-0000-0000-00004E7A0000}"/>
    <cellStyle name="Migliaia 3 3 2 7" xfId="38320" xr:uid="{00000000-0005-0000-0000-00004F7A0000}"/>
    <cellStyle name="Migliaia 3 3 2 8" xfId="39198" xr:uid="{00000000-0005-0000-0000-0000507A0000}"/>
    <cellStyle name="Migliaia 3 3 2 9" xfId="39661" xr:uid="{00000000-0005-0000-0000-0000517A0000}"/>
    <cellStyle name="Migliaia 3 3 3" xfId="11474" xr:uid="{00000000-0005-0000-0000-0000527A0000}"/>
    <cellStyle name="Migliaia 3 3 3 2" xfId="20533" xr:uid="{00000000-0005-0000-0000-0000537A0000}"/>
    <cellStyle name="Migliaia 3 3 3 2 2" xfId="37850" xr:uid="{00000000-0005-0000-0000-0000547A0000}"/>
    <cellStyle name="Migliaia 3 3 3 2 3" xfId="38805" xr:uid="{00000000-0005-0000-0000-0000557A0000}"/>
    <cellStyle name="Migliaia 3 3 3 3" xfId="19402" xr:uid="{00000000-0005-0000-0000-0000567A0000}"/>
    <cellStyle name="Migliaia 3 3 3 3 2" xfId="37366" xr:uid="{00000000-0005-0000-0000-0000577A0000}"/>
    <cellStyle name="Migliaia 3 3 3 4" xfId="38321" xr:uid="{00000000-0005-0000-0000-0000587A0000}"/>
    <cellStyle name="Migliaia 3 3 4" xfId="12113" xr:uid="{00000000-0005-0000-0000-0000597A0000}"/>
    <cellStyle name="Migliaia 3 3 4 2" xfId="20532" xr:uid="{00000000-0005-0000-0000-00005A7A0000}"/>
    <cellStyle name="Migliaia 3 3 4 2 2" xfId="37849" xr:uid="{00000000-0005-0000-0000-00005B7A0000}"/>
    <cellStyle name="Migliaia 3 3 4 3" xfId="30298" xr:uid="{00000000-0005-0000-0000-00005C7A0000}"/>
    <cellStyle name="Migliaia 3 3 4 4" xfId="38804" xr:uid="{00000000-0005-0000-0000-00005D7A0000}"/>
    <cellStyle name="Migliaia 3 3 5" xfId="19400" xr:uid="{00000000-0005-0000-0000-00005E7A0000}"/>
    <cellStyle name="Migliaia 3 3 5 2" xfId="37364" xr:uid="{00000000-0005-0000-0000-00005F7A0000}"/>
    <cellStyle name="Migliaia 3 3 6" xfId="3293" xr:uid="{00000000-0005-0000-0000-0000607A0000}"/>
    <cellStyle name="Migliaia 3 3 6 2" xfId="23293" xr:uid="{00000000-0005-0000-0000-0000617A0000}"/>
    <cellStyle name="Migliaia 3 3 7" xfId="21507" xr:uid="{00000000-0005-0000-0000-0000627A0000}"/>
    <cellStyle name="Migliaia 3 3 8" xfId="38319" xr:uid="{00000000-0005-0000-0000-0000637A0000}"/>
    <cellStyle name="Migliaia 3 3 9" xfId="39197" xr:uid="{00000000-0005-0000-0000-0000647A0000}"/>
    <cellStyle name="Migliaia 3 4" xfId="579" xr:uid="{00000000-0005-0000-0000-0000657A0000}"/>
    <cellStyle name="Migliaia 3 4 2" xfId="19404" xr:uid="{00000000-0005-0000-0000-0000667A0000}"/>
    <cellStyle name="Migliaia 3 4 2 2" xfId="20535" xr:uid="{00000000-0005-0000-0000-0000677A0000}"/>
    <cellStyle name="Migliaia 3 4 2 2 2" xfId="37852" xr:uid="{00000000-0005-0000-0000-0000687A0000}"/>
    <cellStyle name="Migliaia 3 4 2 2 3" xfId="38807" xr:uid="{00000000-0005-0000-0000-0000697A0000}"/>
    <cellStyle name="Migliaia 3 4 2 3" xfId="37368" xr:uid="{00000000-0005-0000-0000-00006A7A0000}"/>
    <cellStyle name="Migliaia 3 4 2 4" xfId="38323" xr:uid="{00000000-0005-0000-0000-00006B7A0000}"/>
    <cellStyle name="Migliaia 3 4 3" xfId="20534" xr:uid="{00000000-0005-0000-0000-00006C7A0000}"/>
    <cellStyle name="Migliaia 3 4 3 2" xfId="37851" xr:uid="{00000000-0005-0000-0000-00006D7A0000}"/>
    <cellStyle name="Migliaia 3 4 3 3" xfId="38806" xr:uid="{00000000-0005-0000-0000-00006E7A0000}"/>
    <cellStyle name="Migliaia 3 4 4" xfId="19403" xr:uid="{00000000-0005-0000-0000-00006F7A0000}"/>
    <cellStyle name="Migliaia 3 4 4 2" xfId="37367" xr:uid="{00000000-0005-0000-0000-0000707A0000}"/>
    <cellStyle name="Migliaia 3 4 5" xfId="11476" xr:uid="{00000000-0005-0000-0000-0000717A0000}"/>
    <cellStyle name="Migliaia 3 4 6" xfId="21509" xr:uid="{00000000-0005-0000-0000-0000727A0000}"/>
    <cellStyle name="Migliaia 3 4 7" xfId="38322" xr:uid="{00000000-0005-0000-0000-0000737A0000}"/>
    <cellStyle name="Migliaia 3 4 8" xfId="39662" xr:uid="{00000000-0005-0000-0000-0000747A0000}"/>
    <cellStyle name="Migliaia 3 4 9" xfId="40148" xr:uid="{00000000-0005-0000-0000-0000757A0000}"/>
    <cellStyle name="Migliaia 3 5" xfId="580" xr:uid="{00000000-0005-0000-0000-0000767A0000}"/>
    <cellStyle name="Migliaia 3 5 2" xfId="19405" xr:uid="{00000000-0005-0000-0000-0000777A0000}"/>
    <cellStyle name="Migliaia 3 5 2 2" xfId="37369" xr:uid="{00000000-0005-0000-0000-0000787A0000}"/>
    <cellStyle name="Migliaia 3 5 3" xfId="11477" xr:uid="{00000000-0005-0000-0000-0000797A0000}"/>
    <cellStyle name="Migliaia 3 5 4" xfId="21510" xr:uid="{00000000-0005-0000-0000-00007A7A0000}"/>
    <cellStyle name="Migliaia 3 5 5" xfId="38324" xr:uid="{00000000-0005-0000-0000-00007B7A0000}"/>
    <cellStyle name="Migliaia 3 5 6" xfId="39663" xr:uid="{00000000-0005-0000-0000-00007C7A0000}"/>
    <cellStyle name="Migliaia 3 5 7" xfId="40149" xr:uid="{00000000-0005-0000-0000-00007D7A0000}"/>
    <cellStyle name="Migliaia 3 6" xfId="581" xr:uid="{00000000-0005-0000-0000-00007E7A0000}"/>
    <cellStyle name="Migliaia 3 6 2" xfId="11472" xr:uid="{00000000-0005-0000-0000-00007F7A0000}"/>
    <cellStyle name="Migliaia 3 6 3" xfId="21511" xr:uid="{00000000-0005-0000-0000-0000807A0000}"/>
    <cellStyle name="Migliaia 3 6 4" xfId="39664" xr:uid="{00000000-0005-0000-0000-0000817A0000}"/>
    <cellStyle name="Migliaia 3 6 5" xfId="40150" xr:uid="{00000000-0005-0000-0000-0000827A0000}"/>
    <cellStyle name="Migliaia 3 7" xfId="12111" xr:uid="{00000000-0005-0000-0000-0000837A0000}"/>
    <cellStyle name="Migliaia 3 7 2" xfId="30296" xr:uid="{00000000-0005-0000-0000-0000847A0000}"/>
    <cellStyle name="Migliaia 3 8" xfId="19398" xr:uid="{00000000-0005-0000-0000-0000857A0000}"/>
    <cellStyle name="Migliaia 3 8 2" xfId="37362" xr:uid="{00000000-0005-0000-0000-0000867A0000}"/>
    <cellStyle name="Migliaia 3 9" xfId="3291" xr:uid="{00000000-0005-0000-0000-0000877A0000}"/>
    <cellStyle name="Migliaia 3 9 2" xfId="23291" xr:uid="{00000000-0005-0000-0000-0000887A0000}"/>
    <cellStyle name="Migliaia 30" xfId="582" xr:uid="{00000000-0005-0000-0000-0000897A0000}"/>
    <cellStyle name="Migliaia 30 10" xfId="21512" xr:uid="{00000000-0005-0000-0000-00008A7A0000}"/>
    <cellStyle name="Migliaia 30 11" xfId="38325" xr:uid="{00000000-0005-0000-0000-00008B7A0000}"/>
    <cellStyle name="Migliaia 30 12" xfId="39199" xr:uid="{00000000-0005-0000-0000-00008C7A0000}"/>
    <cellStyle name="Migliaia 30 13" xfId="39665" xr:uid="{00000000-0005-0000-0000-00008D7A0000}"/>
    <cellStyle name="Migliaia 30 14" xfId="40151" xr:uid="{00000000-0005-0000-0000-00008E7A0000}"/>
    <cellStyle name="Migliaia 30 2" xfId="583" xr:uid="{00000000-0005-0000-0000-00008F7A0000}"/>
    <cellStyle name="Migliaia 30 2 10" xfId="39666" xr:uid="{00000000-0005-0000-0000-0000907A0000}"/>
    <cellStyle name="Migliaia 30 2 11" xfId="40152" xr:uid="{00000000-0005-0000-0000-0000917A0000}"/>
    <cellStyle name="Migliaia 30 2 2" xfId="3561" xr:uid="{00000000-0005-0000-0000-0000927A0000}"/>
    <cellStyle name="Migliaia 30 2 2 2" xfId="12322" xr:uid="{00000000-0005-0000-0000-0000937A0000}"/>
    <cellStyle name="Migliaia 30 2 2 2 2" xfId="30492" xr:uid="{00000000-0005-0000-0000-0000947A0000}"/>
    <cellStyle name="Migliaia 30 2 2 3" xfId="20536" xr:uid="{00000000-0005-0000-0000-0000957A0000}"/>
    <cellStyle name="Migliaia 30 2 2 3 2" xfId="37853" xr:uid="{00000000-0005-0000-0000-0000967A0000}"/>
    <cellStyle name="Migliaia 30 2 2 4" xfId="23490" xr:uid="{00000000-0005-0000-0000-0000977A0000}"/>
    <cellStyle name="Migliaia 30 2 2 5" xfId="38808" xr:uid="{00000000-0005-0000-0000-0000987A0000}"/>
    <cellStyle name="Migliaia 30 2 2 6" xfId="39406" xr:uid="{00000000-0005-0000-0000-0000997A0000}"/>
    <cellStyle name="Migliaia 30 2 3" xfId="11479" xr:uid="{00000000-0005-0000-0000-00009A7A0000}"/>
    <cellStyle name="Migliaia 30 2 4" xfId="12116" xr:uid="{00000000-0005-0000-0000-00009B7A0000}"/>
    <cellStyle name="Migliaia 30 2 4 2" xfId="30301" xr:uid="{00000000-0005-0000-0000-00009C7A0000}"/>
    <cellStyle name="Migliaia 30 2 5" xfId="19407" xr:uid="{00000000-0005-0000-0000-00009D7A0000}"/>
    <cellStyle name="Migliaia 30 2 5 2" xfId="37371" xr:uid="{00000000-0005-0000-0000-00009E7A0000}"/>
    <cellStyle name="Migliaia 30 2 6" xfId="3296" xr:uid="{00000000-0005-0000-0000-00009F7A0000}"/>
    <cellStyle name="Migliaia 30 2 6 2" xfId="23296" xr:uid="{00000000-0005-0000-0000-0000A07A0000}"/>
    <cellStyle name="Migliaia 30 2 7" xfId="21513" xr:uid="{00000000-0005-0000-0000-0000A17A0000}"/>
    <cellStyle name="Migliaia 30 2 8" xfId="38326" xr:uid="{00000000-0005-0000-0000-0000A27A0000}"/>
    <cellStyle name="Migliaia 30 2 9" xfId="39200" xr:uid="{00000000-0005-0000-0000-0000A37A0000}"/>
    <cellStyle name="Migliaia 30 3" xfId="584" xr:uid="{00000000-0005-0000-0000-0000A47A0000}"/>
    <cellStyle name="Migliaia 30 3 10" xfId="39667" xr:uid="{00000000-0005-0000-0000-0000A57A0000}"/>
    <cellStyle name="Migliaia 30 3 11" xfId="40153" xr:uid="{00000000-0005-0000-0000-0000A67A0000}"/>
    <cellStyle name="Migliaia 30 3 2" xfId="585" xr:uid="{00000000-0005-0000-0000-0000A77A0000}"/>
    <cellStyle name="Migliaia 30 3 2 10" xfId="40154" xr:uid="{00000000-0005-0000-0000-0000A87A0000}"/>
    <cellStyle name="Migliaia 30 3 2 2" xfId="11481" xr:uid="{00000000-0005-0000-0000-0000A97A0000}"/>
    <cellStyle name="Migliaia 30 3 2 3" xfId="12118" xr:uid="{00000000-0005-0000-0000-0000AA7A0000}"/>
    <cellStyle name="Migliaia 30 3 2 3 2" xfId="30303" xr:uid="{00000000-0005-0000-0000-0000AB7A0000}"/>
    <cellStyle name="Migliaia 30 3 2 4" xfId="19409" xr:uid="{00000000-0005-0000-0000-0000AC7A0000}"/>
    <cellStyle name="Migliaia 30 3 2 4 2" xfId="37373" xr:uid="{00000000-0005-0000-0000-0000AD7A0000}"/>
    <cellStyle name="Migliaia 30 3 2 5" xfId="3298" xr:uid="{00000000-0005-0000-0000-0000AE7A0000}"/>
    <cellStyle name="Migliaia 30 3 2 5 2" xfId="23298" xr:uid="{00000000-0005-0000-0000-0000AF7A0000}"/>
    <cellStyle name="Migliaia 30 3 2 6" xfId="21515" xr:uid="{00000000-0005-0000-0000-0000B07A0000}"/>
    <cellStyle name="Migliaia 30 3 2 7" xfId="38328" xr:uid="{00000000-0005-0000-0000-0000B17A0000}"/>
    <cellStyle name="Migliaia 30 3 2 8" xfId="39202" xr:uid="{00000000-0005-0000-0000-0000B27A0000}"/>
    <cellStyle name="Migliaia 30 3 2 9" xfId="39668" xr:uid="{00000000-0005-0000-0000-0000B37A0000}"/>
    <cellStyle name="Migliaia 30 3 3" xfId="11480" xr:uid="{00000000-0005-0000-0000-0000B47A0000}"/>
    <cellStyle name="Migliaia 30 3 3 2" xfId="20538" xr:uid="{00000000-0005-0000-0000-0000B57A0000}"/>
    <cellStyle name="Migliaia 30 3 3 2 2" xfId="37855" xr:uid="{00000000-0005-0000-0000-0000B67A0000}"/>
    <cellStyle name="Migliaia 30 3 3 2 3" xfId="38810" xr:uid="{00000000-0005-0000-0000-0000B77A0000}"/>
    <cellStyle name="Migliaia 30 3 3 3" xfId="19410" xr:uid="{00000000-0005-0000-0000-0000B87A0000}"/>
    <cellStyle name="Migliaia 30 3 3 3 2" xfId="37374" xr:uid="{00000000-0005-0000-0000-0000B97A0000}"/>
    <cellStyle name="Migliaia 30 3 3 4" xfId="38329" xr:uid="{00000000-0005-0000-0000-0000BA7A0000}"/>
    <cellStyle name="Migliaia 30 3 4" xfId="12117" xr:uid="{00000000-0005-0000-0000-0000BB7A0000}"/>
    <cellStyle name="Migliaia 30 3 4 2" xfId="20537" xr:uid="{00000000-0005-0000-0000-0000BC7A0000}"/>
    <cellStyle name="Migliaia 30 3 4 2 2" xfId="37854" xr:uid="{00000000-0005-0000-0000-0000BD7A0000}"/>
    <cellStyle name="Migliaia 30 3 4 3" xfId="30302" xr:uid="{00000000-0005-0000-0000-0000BE7A0000}"/>
    <cellStyle name="Migliaia 30 3 4 4" xfId="38809" xr:uid="{00000000-0005-0000-0000-0000BF7A0000}"/>
    <cellStyle name="Migliaia 30 3 5" xfId="19408" xr:uid="{00000000-0005-0000-0000-0000C07A0000}"/>
    <cellStyle name="Migliaia 30 3 5 2" xfId="37372" xr:uid="{00000000-0005-0000-0000-0000C17A0000}"/>
    <cellStyle name="Migliaia 30 3 6" xfId="3297" xr:uid="{00000000-0005-0000-0000-0000C27A0000}"/>
    <cellStyle name="Migliaia 30 3 6 2" xfId="23297" xr:uid="{00000000-0005-0000-0000-0000C37A0000}"/>
    <cellStyle name="Migliaia 30 3 7" xfId="21514" xr:uid="{00000000-0005-0000-0000-0000C47A0000}"/>
    <cellStyle name="Migliaia 30 3 8" xfId="38327" xr:uid="{00000000-0005-0000-0000-0000C57A0000}"/>
    <cellStyle name="Migliaia 30 3 9" xfId="39201" xr:uid="{00000000-0005-0000-0000-0000C67A0000}"/>
    <cellStyle name="Migliaia 30 4" xfId="586" xr:uid="{00000000-0005-0000-0000-0000C77A0000}"/>
    <cellStyle name="Migliaia 30 4 2" xfId="19412" xr:uid="{00000000-0005-0000-0000-0000C87A0000}"/>
    <cellStyle name="Migliaia 30 4 2 2" xfId="20540" xr:uid="{00000000-0005-0000-0000-0000C97A0000}"/>
    <cellStyle name="Migliaia 30 4 2 2 2" xfId="37857" xr:uid="{00000000-0005-0000-0000-0000CA7A0000}"/>
    <cellStyle name="Migliaia 30 4 2 2 3" xfId="38812" xr:uid="{00000000-0005-0000-0000-0000CB7A0000}"/>
    <cellStyle name="Migliaia 30 4 2 3" xfId="37376" xr:uid="{00000000-0005-0000-0000-0000CC7A0000}"/>
    <cellStyle name="Migliaia 30 4 2 4" xfId="38331" xr:uid="{00000000-0005-0000-0000-0000CD7A0000}"/>
    <cellStyle name="Migliaia 30 4 3" xfId="20539" xr:uid="{00000000-0005-0000-0000-0000CE7A0000}"/>
    <cellStyle name="Migliaia 30 4 3 2" xfId="37856" xr:uid="{00000000-0005-0000-0000-0000CF7A0000}"/>
    <cellStyle name="Migliaia 30 4 3 3" xfId="38811" xr:uid="{00000000-0005-0000-0000-0000D07A0000}"/>
    <cellStyle name="Migliaia 30 4 4" xfId="19411" xr:uid="{00000000-0005-0000-0000-0000D17A0000}"/>
    <cellStyle name="Migliaia 30 4 4 2" xfId="37375" xr:uid="{00000000-0005-0000-0000-0000D27A0000}"/>
    <cellStyle name="Migliaia 30 4 5" xfId="11482" xr:uid="{00000000-0005-0000-0000-0000D37A0000}"/>
    <cellStyle name="Migliaia 30 4 6" xfId="21516" xr:uid="{00000000-0005-0000-0000-0000D47A0000}"/>
    <cellStyle name="Migliaia 30 4 7" xfId="38330" xr:uid="{00000000-0005-0000-0000-0000D57A0000}"/>
    <cellStyle name="Migliaia 30 4 8" xfId="39669" xr:uid="{00000000-0005-0000-0000-0000D67A0000}"/>
    <cellStyle name="Migliaia 30 4 9" xfId="40155" xr:uid="{00000000-0005-0000-0000-0000D77A0000}"/>
    <cellStyle name="Migliaia 30 5" xfId="587" xr:uid="{00000000-0005-0000-0000-0000D87A0000}"/>
    <cellStyle name="Migliaia 30 5 2" xfId="19413" xr:uid="{00000000-0005-0000-0000-0000D97A0000}"/>
    <cellStyle name="Migliaia 30 5 2 2" xfId="37377" xr:uid="{00000000-0005-0000-0000-0000DA7A0000}"/>
    <cellStyle name="Migliaia 30 5 3" xfId="11483" xr:uid="{00000000-0005-0000-0000-0000DB7A0000}"/>
    <cellStyle name="Migliaia 30 5 4" xfId="21517" xr:uid="{00000000-0005-0000-0000-0000DC7A0000}"/>
    <cellStyle name="Migliaia 30 5 5" xfId="38332" xr:uid="{00000000-0005-0000-0000-0000DD7A0000}"/>
    <cellStyle name="Migliaia 30 5 6" xfId="39670" xr:uid="{00000000-0005-0000-0000-0000DE7A0000}"/>
    <cellStyle name="Migliaia 30 5 7" xfId="40156" xr:uid="{00000000-0005-0000-0000-0000DF7A0000}"/>
    <cellStyle name="Migliaia 30 6" xfId="588" xr:uid="{00000000-0005-0000-0000-0000E07A0000}"/>
    <cellStyle name="Migliaia 30 6 2" xfId="11478" xr:uid="{00000000-0005-0000-0000-0000E17A0000}"/>
    <cellStyle name="Migliaia 30 6 3" xfId="21518" xr:uid="{00000000-0005-0000-0000-0000E27A0000}"/>
    <cellStyle name="Migliaia 30 6 4" xfId="39671" xr:uid="{00000000-0005-0000-0000-0000E37A0000}"/>
    <cellStyle name="Migliaia 30 6 5" xfId="40157" xr:uid="{00000000-0005-0000-0000-0000E47A0000}"/>
    <cellStyle name="Migliaia 30 7" xfId="12115" xr:uid="{00000000-0005-0000-0000-0000E57A0000}"/>
    <cellStyle name="Migliaia 30 7 2" xfId="30300" xr:uid="{00000000-0005-0000-0000-0000E67A0000}"/>
    <cellStyle name="Migliaia 30 8" xfId="19406" xr:uid="{00000000-0005-0000-0000-0000E77A0000}"/>
    <cellStyle name="Migliaia 30 8 2" xfId="37370" xr:uid="{00000000-0005-0000-0000-0000E87A0000}"/>
    <cellStyle name="Migliaia 30 9" xfId="3295" xr:uid="{00000000-0005-0000-0000-0000E97A0000}"/>
    <cellStyle name="Migliaia 30 9 2" xfId="23295" xr:uid="{00000000-0005-0000-0000-0000EA7A0000}"/>
    <cellStyle name="Migliaia 31" xfId="589" xr:uid="{00000000-0005-0000-0000-0000EB7A0000}"/>
    <cellStyle name="Migliaia 31 10" xfId="21519" xr:uid="{00000000-0005-0000-0000-0000EC7A0000}"/>
    <cellStyle name="Migliaia 31 11" xfId="38333" xr:uid="{00000000-0005-0000-0000-0000ED7A0000}"/>
    <cellStyle name="Migliaia 31 12" xfId="39203" xr:uid="{00000000-0005-0000-0000-0000EE7A0000}"/>
    <cellStyle name="Migliaia 31 13" xfId="39672" xr:uid="{00000000-0005-0000-0000-0000EF7A0000}"/>
    <cellStyle name="Migliaia 31 14" xfId="40158" xr:uid="{00000000-0005-0000-0000-0000F07A0000}"/>
    <cellStyle name="Migliaia 31 2" xfId="590" xr:uid="{00000000-0005-0000-0000-0000F17A0000}"/>
    <cellStyle name="Migliaia 31 2 10" xfId="39673" xr:uid="{00000000-0005-0000-0000-0000F27A0000}"/>
    <cellStyle name="Migliaia 31 2 11" xfId="40159" xr:uid="{00000000-0005-0000-0000-0000F37A0000}"/>
    <cellStyle name="Migliaia 31 2 2" xfId="3562" xr:uid="{00000000-0005-0000-0000-0000F47A0000}"/>
    <cellStyle name="Migliaia 31 2 2 2" xfId="12323" xr:uid="{00000000-0005-0000-0000-0000F57A0000}"/>
    <cellStyle name="Migliaia 31 2 2 2 2" xfId="30493" xr:uid="{00000000-0005-0000-0000-0000F67A0000}"/>
    <cellStyle name="Migliaia 31 2 2 3" xfId="20541" xr:uid="{00000000-0005-0000-0000-0000F77A0000}"/>
    <cellStyle name="Migliaia 31 2 2 3 2" xfId="37858" xr:uid="{00000000-0005-0000-0000-0000F87A0000}"/>
    <cellStyle name="Migliaia 31 2 2 4" xfId="23491" xr:uid="{00000000-0005-0000-0000-0000F97A0000}"/>
    <cellStyle name="Migliaia 31 2 2 5" xfId="38813" xr:uid="{00000000-0005-0000-0000-0000FA7A0000}"/>
    <cellStyle name="Migliaia 31 2 2 6" xfId="39407" xr:uid="{00000000-0005-0000-0000-0000FB7A0000}"/>
    <cellStyle name="Migliaia 31 2 3" xfId="11485" xr:uid="{00000000-0005-0000-0000-0000FC7A0000}"/>
    <cellStyle name="Migliaia 31 2 4" xfId="12120" xr:uid="{00000000-0005-0000-0000-0000FD7A0000}"/>
    <cellStyle name="Migliaia 31 2 4 2" xfId="30305" xr:uid="{00000000-0005-0000-0000-0000FE7A0000}"/>
    <cellStyle name="Migliaia 31 2 5" xfId="19415" xr:uid="{00000000-0005-0000-0000-0000FF7A0000}"/>
    <cellStyle name="Migliaia 31 2 5 2" xfId="37379" xr:uid="{00000000-0005-0000-0000-0000007B0000}"/>
    <cellStyle name="Migliaia 31 2 6" xfId="3300" xr:uid="{00000000-0005-0000-0000-0000017B0000}"/>
    <cellStyle name="Migliaia 31 2 6 2" xfId="23300" xr:uid="{00000000-0005-0000-0000-0000027B0000}"/>
    <cellStyle name="Migliaia 31 2 7" xfId="21520" xr:uid="{00000000-0005-0000-0000-0000037B0000}"/>
    <cellStyle name="Migliaia 31 2 8" xfId="38334" xr:uid="{00000000-0005-0000-0000-0000047B0000}"/>
    <cellStyle name="Migliaia 31 2 9" xfId="39204" xr:uid="{00000000-0005-0000-0000-0000057B0000}"/>
    <cellStyle name="Migliaia 31 3" xfId="591" xr:uid="{00000000-0005-0000-0000-0000067B0000}"/>
    <cellStyle name="Migliaia 31 3 10" xfId="39674" xr:uid="{00000000-0005-0000-0000-0000077B0000}"/>
    <cellStyle name="Migliaia 31 3 11" xfId="40160" xr:uid="{00000000-0005-0000-0000-0000087B0000}"/>
    <cellStyle name="Migliaia 31 3 2" xfId="592" xr:uid="{00000000-0005-0000-0000-0000097B0000}"/>
    <cellStyle name="Migliaia 31 3 2 10" xfId="40161" xr:uid="{00000000-0005-0000-0000-00000A7B0000}"/>
    <cellStyle name="Migliaia 31 3 2 2" xfId="11487" xr:uid="{00000000-0005-0000-0000-00000B7B0000}"/>
    <cellStyle name="Migliaia 31 3 2 3" xfId="12122" xr:uid="{00000000-0005-0000-0000-00000C7B0000}"/>
    <cellStyle name="Migliaia 31 3 2 3 2" xfId="30307" xr:uid="{00000000-0005-0000-0000-00000D7B0000}"/>
    <cellStyle name="Migliaia 31 3 2 4" xfId="19417" xr:uid="{00000000-0005-0000-0000-00000E7B0000}"/>
    <cellStyle name="Migliaia 31 3 2 4 2" xfId="37381" xr:uid="{00000000-0005-0000-0000-00000F7B0000}"/>
    <cellStyle name="Migliaia 31 3 2 5" xfId="3302" xr:uid="{00000000-0005-0000-0000-0000107B0000}"/>
    <cellStyle name="Migliaia 31 3 2 5 2" xfId="23302" xr:uid="{00000000-0005-0000-0000-0000117B0000}"/>
    <cellStyle name="Migliaia 31 3 2 6" xfId="21522" xr:uid="{00000000-0005-0000-0000-0000127B0000}"/>
    <cellStyle name="Migliaia 31 3 2 7" xfId="38336" xr:uid="{00000000-0005-0000-0000-0000137B0000}"/>
    <cellStyle name="Migliaia 31 3 2 8" xfId="39206" xr:uid="{00000000-0005-0000-0000-0000147B0000}"/>
    <cellStyle name="Migliaia 31 3 2 9" xfId="39675" xr:uid="{00000000-0005-0000-0000-0000157B0000}"/>
    <cellStyle name="Migliaia 31 3 3" xfId="11486" xr:uid="{00000000-0005-0000-0000-0000167B0000}"/>
    <cellStyle name="Migliaia 31 3 3 2" xfId="20543" xr:uid="{00000000-0005-0000-0000-0000177B0000}"/>
    <cellStyle name="Migliaia 31 3 3 2 2" xfId="37860" xr:uid="{00000000-0005-0000-0000-0000187B0000}"/>
    <cellStyle name="Migliaia 31 3 3 2 3" xfId="38815" xr:uid="{00000000-0005-0000-0000-0000197B0000}"/>
    <cellStyle name="Migliaia 31 3 3 3" xfId="19418" xr:uid="{00000000-0005-0000-0000-00001A7B0000}"/>
    <cellStyle name="Migliaia 31 3 3 3 2" xfId="37382" xr:uid="{00000000-0005-0000-0000-00001B7B0000}"/>
    <cellStyle name="Migliaia 31 3 3 4" xfId="38337" xr:uid="{00000000-0005-0000-0000-00001C7B0000}"/>
    <cellStyle name="Migliaia 31 3 4" xfId="12121" xr:uid="{00000000-0005-0000-0000-00001D7B0000}"/>
    <cellStyle name="Migliaia 31 3 4 2" xfId="20542" xr:uid="{00000000-0005-0000-0000-00001E7B0000}"/>
    <cellStyle name="Migliaia 31 3 4 2 2" xfId="37859" xr:uid="{00000000-0005-0000-0000-00001F7B0000}"/>
    <cellStyle name="Migliaia 31 3 4 3" xfId="30306" xr:uid="{00000000-0005-0000-0000-0000207B0000}"/>
    <cellStyle name="Migliaia 31 3 4 4" xfId="38814" xr:uid="{00000000-0005-0000-0000-0000217B0000}"/>
    <cellStyle name="Migliaia 31 3 5" xfId="19416" xr:uid="{00000000-0005-0000-0000-0000227B0000}"/>
    <cellStyle name="Migliaia 31 3 5 2" xfId="37380" xr:uid="{00000000-0005-0000-0000-0000237B0000}"/>
    <cellStyle name="Migliaia 31 3 6" xfId="3301" xr:uid="{00000000-0005-0000-0000-0000247B0000}"/>
    <cellStyle name="Migliaia 31 3 6 2" xfId="23301" xr:uid="{00000000-0005-0000-0000-0000257B0000}"/>
    <cellStyle name="Migliaia 31 3 7" xfId="21521" xr:uid="{00000000-0005-0000-0000-0000267B0000}"/>
    <cellStyle name="Migliaia 31 3 8" xfId="38335" xr:uid="{00000000-0005-0000-0000-0000277B0000}"/>
    <cellStyle name="Migliaia 31 3 9" xfId="39205" xr:uid="{00000000-0005-0000-0000-0000287B0000}"/>
    <cellStyle name="Migliaia 31 4" xfId="593" xr:uid="{00000000-0005-0000-0000-0000297B0000}"/>
    <cellStyle name="Migliaia 31 4 2" xfId="19420" xr:uid="{00000000-0005-0000-0000-00002A7B0000}"/>
    <cellStyle name="Migliaia 31 4 2 2" xfId="20545" xr:uid="{00000000-0005-0000-0000-00002B7B0000}"/>
    <cellStyle name="Migliaia 31 4 2 2 2" xfId="37862" xr:uid="{00000000-0005-0000-0000-00002C7B0000}"/>
    <cellStyle name="Migliaia 31 4 2 2 3" xfId="38817" xr:uid="{00000000-0005-0000-0000-00002D7B0000}"/>
    <cellStyle name="Migliaia 31 4 2 3" xfId="37384" xr:uid="{00000000-0005-0000-0000-00002E7B0000}"/>
    <cellStyle name="Migliaia 31 4 2 4" xfId="38339" xr:uid="{00000000-0005-0000-0000-00002F7B0000}"/>
    <cellStyle name="Migliaia 31 4 3" xfId="20544" xr:uid="{00000000-0005-0000-0000-0000307B0000}"/>
    <cellStyle name="Migliaia 31 4 3 2" xfId="37861" xr:uid="{00000000-0005-0000-0000-0000317B0000}"/>
    <cellStyle name="Migliaia 31 4 3 3" xfId="38816" xr:uid="{00000000-0005-0000-0000-0000327B0000}"/>
    <cellStyle name="Migliaia 31 4 4" xfId="19419" xr:uid="{00000000-0005-0000-0000-0000337B0000}"/>
    <cellStyle name="Migliaia 31 4 4 2" xfId="37383" xr:uid="{00000000-0005-0000-0000-0000347B0000}"/>
    <cellStyle name="Migliaia 31 4 5" xfId="11488" xr:uid="{00000000-0005-0000-0000-0000357B0000}"/>
    <cellStyle name="Migliaia 31 4 6" xfId="21523" xr:uid="{00000000-0005-0000-0000-0000367B0000}"/>
    <cellStyle name="Migliaia 31 4 7" xfId="38338" xr:uid="{00000000-0005-0000-0000-0000377B0000}"/>
    <cellStyle name="Migliaia 31 4 8" xfId="39676" xr:uid="{00000000-0005-0000-0000-0000387B0000}"/>
    <cellStyle name="Migliaia 31 4 9" xfId="40162" xr:uid="{00000000-0005-0000-0000-0000397B0000}"/>
    <cellStyle name="Migliaia 31 5" xfId="594" xr:uid="{00000000-0005-0000-0000-00003A7B0000}"/>
    <cellStyle name="Migliaia 31 5 2" xfId="19421" xr:uid="{00000000-0005-0000-0000-00003B7B0000}"/>
    <cellStyle name="Migliaia 31 5 2 2" xfId="37385" xr:uid="{00000000-0005-0000-0000-00003C7B0000}"/>
    <cellStyle name="Migliaia 31 5 3" xfId="11489" xr:uid="{00000000-0005-0000-0000-00003D7B0000}"/>
    <cellStyle name="Migliaia 31 5 4" xfId="21524" xr:uid="{00000000-0005-0000-0000-00003E7B0000}"/>
    <cellStyle name="Migliaia 31 5 5" xfId="38340" xr:uid="{00000000-0005-0000-0000-00003F7B0000}"/>
    <cellStyle name="Migliaia 31 5 6" xfId="39677" xr:uid="{00000000-0005-0000-0000-0000407B0000}"/>
    <cellStyle name="Migliaia 31 5 7" xfId="40163" xr:uid="{00000000-0005-0000-0000-0000417B0000}"/>
    <cellStyle name="Migliaia 31 6" xfId="595" xr:uid="{00000000-0005-0000-0000-0000427B0000}"/>
    <cellStyle name="Migliaia 31 6 2" xfId="11484" xr:uid="{00000000-0005-0000-0000-0000437B0000}"/>
    <cellStyle name="Migliaia 31 6 3" xfId="21525" xr:uid="{00000000-0005-0000-0000-0000447B0000}"/>
    <cellStyle name="Migliaia 31 6 4" xfId="39678" xr:uid="{00000000-0005-0000-0000-0000457B0000}"/>
    <cellStyle name="Migliaia 31 6 5" xfId="40164" xr:uid="{00000000-0005-0000-0000-0000467B0000}"/>
    <cellStyle name="Migliaia 31 7" xfId="12119" xr:uid="{00000000-0005-0000-0000-0000477B0000}"/>
    <cellStyle name="Migliaia 31 7 2" xfId="30304" xr:uid="{00000000-0005-0000-0000-0000487B0000}"/>
    <cellStyle name="Migliaia 31 8" xfId="19414" xr:uid="{00000000-0005-0000-0000-0000497B0000}"/>
    <cellStyle name="Migliaia 31 8 2" xfId="37378" xr:uid="{00000000-0005-0000-0000-00004A7B0000}"/>
    <cellStyle name="Migliaia 31 9" xfId="3299" xr:uid="{00000000-0005-0000-0000-00004B7B0000}"/>
    <cellStyle name="Migliaia 31 9 2" xfId="23299" xr:uid="{00000000-0005-0000-0000-00004C7B0000}"/>
    <cellStyle name="Migliaia 32" xfId="596" xr:uid="{00000000-0005-0000-0000-00004D7B0000}"/>
    <cellStyle name="Migliaia 32 10" xfId="21526" xr:uid="{00000000-0005-0000-0000-00004E7B0000}"/>
    <cellStyle name="Migliaia 32 11" xfId="38341" xr:uid="{00000000-0005-0000-0000-00004F7B0000}"/>
    <cellStyle name="Migliaia 32 12" xfId="39207" xr:uid="{00000000-0005-0000-0000-0000507B0000}"/>
    <cellStyle name="Migliaia 32 13" xfId="39679" xr:uid="{00000000-0005-0000-0000-0000517B0000}"/>
    <cellStyle name="Migliaia 32 14" xfId="40165" xr:uid="{00000000-0005-0000-0000-0000527B0000}"/>
    <cellStyle name="Migliaia 32 2" xfId="597" xr:uid="{00000000-0005-0000-0000-0000537B0000}"/>
    <cellStyle name="Migliaia 32 2 10" xfId="39680" xr:uid="{00000000-0005-0000-0000-0000547B0000}"/>
    <cellStyle name="Migliaia 32 2 11" xfId="40166" xr:uid="{00000000-0005-0000-0000-0000557B0000}"/>
    <cellStyle name="Migliaia 32 2 2" xfId="3563" xr:uid="{00000000-0005-0000-0000-0000567B0000}"/>
    <cellStyle name="Migliaia 32 2 2 2" xfId="12324" xr:uid="{00000000-0005-0000-0000-0000577B0000}"/>
    <cellStyle name="Migliaia 32 2 2 2 2" xfId="30494" xr:uid="{00000000-0005-0000-0000-0000587B0000}"/>
    <cellStyle name="Migliaia 32 2 2 3" xfId="20546" xr:uid="{00000000-0005-0000-0000-0000597B0000}"/>
    <cellStyle name="Migliaia 32 2 2 3 2" xfId="37863" xr:uid="{00000000-0005-0000-0000-00005A7B0000}"/>
    <cellStyle name="Migliaia 32 2 2 4" xfId="23492" xr:uid="{00000000-0005-0000-0000-00005B7B0000}"/>
    <cellStyle name="Migliaia 32 2 2 5" xfId="38818" xr:uid="{00000000-0005-0000-0000-00005C7B0000}"/>
    <cellStyle name="Migliaia 32 2 2 6" xfId="39408" xr:uid="{00000000-0005-0000-0000-00005D7B0000}"/>
    <cellStyle name="Migliaia 32 2 3" xfId="11491" xr:uid="{00000000-0005-0000-0000-00005E7B0000}"/>
    <cellStyle name="Migliaia 32 2 4" xfId="12124" xr:uid="{00000000-0005-0000-0000-00005F7B0000}"/>
    <cellStyle name="Migliaia 32 2 4 2" xfId="30309" xr:uid="{00000000-0005-0000-0000-0000607B0000}"/>
    <cellStyle name="Migliaia 32 2 5" xfId="19423" xr:uid="{00000000-0005-0000-0000-0000617B0000}"/>
    <cellStyle name="Migliaia 32 2 5 2" xfId="37387" xr:uid="{00000000-0005-0000-0000-0000627B0000}"/>
    <cellStyle name="Migliaia 32 2 6" xfId="3304" xr:uid="{00000000-0005-0000-0000-0000637B0000}"/>
    <cellStyle name="Migliaia 32 2 6 2" xfId="23304" xr:uid="{00000000-0005-0000-0000-0000647B0000}"/>
    <cellStyle name="Migliaia 32 2 7" xfId="21527" xr:uid="{00000000-0005-0000-0000-0000657B0000}"/>
    <cellStyle name="Migliaia 32 2 8" xfId="38342" xr:uid="{00000000-0005-0000-0000-0000667B0000}"/>
    <cellStyle name="Migliaia 32 2 9" xfId="39208" xr:uid="{00000000-0005-0000-0000-0000677B0000}"/>
    <cellStyle name="Migliaia 32 3" xfId="598" xr:uid="{00000000-0005-0000-0000-0000687B0000}"/>
    <cellStyle name="Migliaia 32 3 10" xfId="39681" xr:uid="{00000000-0005-0000-0000-0000697B0000}"/>
    <cellStyle name="Migliaia 32 3 11" xfId="40167" xr:uid="{00000000-0005-0000-0000-00006A7B0000}"/>
    <cellStyle name="Migliaia 32 3 2" xfId="599" xr:uid="{00000000-0005-0000-0000-00006B7B0000}"/>
    <cellStyle name="Migliaia 32 3 2 10" xfId="40168" xr:uid="{00000000-0005-0000-0000-00006C7B0000}"/>
    <cellStyle name="Migliaia 32 3 2 2" xfId="11493" xr:uid="{00000000-0005-0000-0000-00006D7B0000}"/>
    <cellStyle name="Migliaia 32 3 2 3" xfId="12126" xr:uid="{00000000-0005-0000-0000-00006E7B0000}"/>
    <cellStyle name="Migliaia 32 3 2 3 2" xfId="30311" xr:uid="{00000000-0005-0000-0000-00006F7B0000}"/>
    <cellStyle name="Migliaia 32 3 2 4" xfId="19425" xr:uid="{00000000-0005-0000-0000-0000707B0000}"/>
    <cellStyle name="Migliaia 32 3 2 4 2" xfId="37389" xr:uid="{00000000-0005-0000-0000-0000717B0000}"/>
    <cellStyle name="Migliaia 32 3 2 5" xfId="3306" xr:uid="{00000000-0005-0000-0000-0000727B0000}"/>
    <cellStyle name="Migliaia 32 3 2 5 2" xfId="23306" xr:uid="{00000000-0005-0000-0000-0000737B0000}"/>
    <cellStyle name="Migliaia 32 3 2 6" xfId="21529" xr:uid="{00000000-0005-0000-0000-0000747B0000}"/>
    <cellStyle name="Migliaia 32 3 2 7" xfId="38344" xr:uid="{00000000-0005-0000-0000-0000757B0000}"/>
    <cellStyle name="Migliaia 32 3 2 8" xfId="39210" xr:uid="{00000000-0005-0000-0000-0000767B0000}"/>
    <cellStyle name="Migliaia 32 3 2 9" xfId="39682" xr:uid="{00000000-0005-0000-0000-0000777B0000}"/>
    <cellStyle name="Migliaia 32 3 3" xfId="11492" xr:uid="{00000000-0005-0000-0000-0000787B0000}"/>
    <cellStyle name="Migliaia 32 3 3 2" xfId="20548" xr:uid="{00000000-0005-0000-0000-0000797B0000}"/>
    <cellStyle name="Migliaia 32 3 3 2 2" xfId="37865" xr:uid="{00000000-0005-0000-0000-00007A7B0000}"/>
    <cellStyle name="Migliaia 32 3 3 2 3" xfId="38820" xr:uid="{00000000-0005-0000-0000-00007B7B0000}"/>
    <cellStyle name="Migliaia 32 3 3 3" xfId="19426" xr:uid="{00000000-0005-0000-0000-00007C7B0000}"/>
    <cellStyle name="Migliaia 32 3 3 3 2" xfId="37390" xr:uid="{00000000-0005-0000-0000-00007D7B0000}"/>
    <cellStyle name="Migliaia 32 3 3 4" xfId="38345" xr:uid="{00000000-0005-0000-0000-00007E7B0000}"/>
    <cellStyle name="Migliaia 32 3 4" xfId="12125" xr:uid="{00000000-0005-0000-0000-00007F7B0000}"/>
    <cellStyle name="Migliaia 32 3 4 2" xfId="20547" xr:uid="{00000000-0005-0000-0000-0000807B0000}"/>
    <cellStyle name="Migliaia 32 3 4 2 2" xfId="37864" xr:uid="{00000000-0005-0000-0000-0000817B0000}"/>
    <cellStyle name="Migliaia 32 3 4 3" xfId="30310" xr:uid="{00000000-0005-0000-0000-0000827B0000}"/>
    <cellStyle name="Migliaia 32 3 4 4" xfId="38819" xr:uid="{00000000-0005-0000-0000-0000837B0000}"/>
    <cellStyle name="Migliaia 32 3 5" xfId="19424" xr:uid="{00000000-0005-0000-0000-0000847B0000}"/>
    <cellStyle name="Migliaia 32 3 5 2" xfId="37388" xr:uid="{00000000-0005-0000-0000-0000857B0000}"/>
    <cellStyle name="Migliaia 32 3 6" xfId="3305" xr:uid="{00000000-0005-0000-0000-0000867B0000}"/>
    <cellStyle name="Migliaia 32 3 6 2" xfId="23305" xr:uid="{00000000-0005-0000-0000-0000877B0000}"/>
    <cellStyle name="Migliaia 32 3 7" xfId="21528" xr:uid="{00000000-0005-0000-0000-0000887B0000}"/>
    <cellStyle name="Migliaia 32 3 8" xfId="38343" xr:uid="{00000000-0005-0000-0000-0000897B0000}"/>
    <cellStyle name="Migliaia 32 3 9" xfId="39209" xr:uid="{00000000-0005-0000-0000-00008A7B0000}"/>
    <cellStyle name="Migliaia 32 4" xfId="600" xr:uid="{00000000-0005-0000-0000-00008B7B0000}"/>
    <cellStyle name="Migliaia 32 4 2" xfId="19428" xr:uid="{00000000-0005-0000-0000-00008C7B0000}"/>
    <cellStyle name="Migliaia 32 4 2 2" xfId="20550" xr:uid="{00000000-0005-0000-0000-00008D7B0000}"/>
    <cellStyle name="Migliaia 32 4 2 2 2" xfId="37867" xr:uid="{00000000-0005-0000-0000-00008E7B0000}"/>
    <cellStyle name="Migliaia 32 4 2 2 3" xfId="38822" xr:uid="{00000000-0005-0000-0000-00008F7B0000}"/>
    <cellStyle name="Migliaia 32 4 2 3" xfId="37392" xr:uid="{00000000-0005-0000-0000-0000907B0000}"/>
    <cellStyle name="Migliaia 32 4 2 4" xfId="38347" xr:uid="{00000000-0005-0000-0000-0000917B0000}"/>
    <cellStyle name="Migliaia 32 4 3" xfId="20549" xr:uid="{00000000-0005-0000-0000-0000927B0000}"/>
    <cellStyle name="Migliaia 32 4 3 2" xfId="37866" xr:uid="{00000000-0005-0000-0000-0000937B0000}"/>
    <cellStyle name="Migliaia 32 4 3 3" xfId="38821" xr:uid="{00000000-0005-0000-0000-0000947B0000}"/>
    <cellStyle name="Migliaia 32 4 4" xfId="19427" xr:uid="{00000000-0005-0000-0000-0000957B0000}"/>
    <cellStyle name="Migliaia 32 4 4 2" xfId="37391" xr:uid="{00000000-0005-0000-0000-0000967B0000}"/>
    <cellStyle name="Migliaia 32 4 5" xfId="11494" xr:uid="{00000000-0005-0000-0000-0000977B0000}"/>
    <cellStyle name="Migliaia 32 4 6" xfId="21530" xr:uid="{00000000-0005-0000-0000-0000987B0000}"/>
    <cellStyle name="Migliaia 32 4 7" xfId="38346" xr:uid="{00000000-0005-0000-0000-0000997B0000}"/>
    <cellStyle name="Migliaia 32 4 8" xfId="39683" xr:uid="{00000000-0005-0000-0000-00009A7B0000}"/>
    <cellStyle name="Migliaia 32 4 9" xfId="40169" xr:uid="{00000000-0005-0000-0000-00009B7B0000}"/>
    <cellStyle name="Migliaia 32 5" xfId="601" xr:uid="{00000000-0005-0000-0000-00009C7B0000}"/>
    <cellStyle name="Migliaia 32 5 2" xfId="19429" xr:uid="{00000000-0005-0000-0000-00009D7B0000}"/>
    <cellStyle name="Migliaia 32 5 2 2" xfId="37393" xr:uid="{00000000-0005-0000-0000-00009E7B0000}"/>
    <cellStyle name="Migliaia 32 5 3" xfId="11495" xr:uid="{00000000-0005-0000-0000-00009F7B0000}"/>
    <cellStyle name="Migliaia 32 5 4" xfId="21531" xr:uid="{00000000-0005-0000-0000-0000A07B0000}"/>
    <cellStyle name="Migliaia 32 5 5" xfId="38348" xr:uid="{00000000-0005-0000-0000-0000A17B0000}"/>
    <cellStyle name="Migliaia 32 5 6" xfId="39684" xr:uid="{00000000-0005-0000-0000-0000A27B0000}"/>
    <cellStyle name="Migliaia 32 5 7" xfId="40170" xr:uid="{00000000-0005-0000-0000-0000A37B0000}"/>
    <cellStyle name="Migliaia 32 6" xfId="602" xr:uid="{00000000-0005-0000-0000-0000A47B0000}"/>
    <cellStyle name="Migliaia 32 6 2" xfId="11490" xr:uid="{00000000-0005-0000-0000-0000A57B0000}"/>
    <cellStyle name="Migliaia 32 6 3" xfId="21532" xr:uid="{00000000-0005-0000-0000-0000A67B0000}"/>
    <cellStyle name="Migliaia 32 6 4" xfId="39685" xr:uid="{00000000-0005-0000-0000-0000A77B0000}"/>
    <cellStyle name="Migliaia 32 6 5" xfId="40171" xr:uid="{00000000-0005-0000-0000-0000A87B0000}"/>
    <cellStyle name="Migliaia 32 7" xfId="12123" xr:uid="{00000000-0005-0000-0000-0000A97B0000}"/>
    <cellStyle name="Migliaia 32 7 2" xfId="30308" xr:uid="{00000000-0005-0000-0000-0000AA7B0000}"/>
    <cellStyle name="Migliaia 32 8" xfId="19422" xr:uid="{00000000-0005-0000-0000-0000AB7B0000}"/>
    <cellStyle name="Migliaia 32 8 2" xfId="37386" xr:uid="{00000000-0005-0000-0000-0000AC7B0000}"/>
    <cellStyle name="Migliaia 32 9" xfId="3303" xr:uid="{00000000-0005-0000-0000-0000AD7B0000}"/>
    <cellStyle name="Migliaia 32 9 2" xfId="23303" xr:uid="{00000000-0005-0000-0000-0000AE7B0000}"/>
    <cellStyle name="Migliaia 33" xfId="603" xr:uid="{00000000-0005-0000-0000-0000AF7B0000}"/>
    <cellStyle name="Migliaia 33 10" xfId="21533" xr:uid="{00000000-0005-0000-0000-0000B07B0000}"/>
    <cellStyle name="Migliaia 33 11" xfId="38349" xr:uid="{00000000-0005-0000-0000-0000B17B0000}"/>
    <cellStyle name="Migliaia 33 12" xfId="39211" xr:uid="{00000000-0005-0000-0000-0000B27B0000}"/>
    <cellStyle name="Migliaia 33 13" xfId="39686" xr:uid="{00000000-0005-0000-0000-0000B37B0000}"/>
    <cellStyle name="Migliaia 33 14" xfId="40172" xr:uid="{00000000-0005-0000-0000-0000B47B0000}"/>
    <cellStyle name="Migliaia 33 2" xfId="604" xr:uid="{00000000-0005-0000-0000-0000B57B0000}"/>
    <cellStyle name="Migliaia 33 2 10" xfId="39687" xr:uid="{00000000-0005-0000-0000-0000B67B0000}"/>
    <cellStyle name="Migliaia 33 2 11" xfId="40173" xr:uid="{00000000-0005-0000-0000-0000B77B0000}"/>
    <cellStyle name="Migliaia 33 2 2" xfId="3564" xr:uid="{00000000-0005-0000-0000-0000B87B0000}"/>
    <cellStyle name="Migliaia 33 2 2 2" xfId="12325" xr:uid="{00000000-0005-0000-0000-0000B97B0000}"/>
    <cellStyle name="Migliaia 33 2 2 2 2" xfId="30495" xr:uid="{00000000-0005-0000-0000-0000BA7B0000}"/>
    <cellStyle name="Migliaia 33 2 2 3" xfId="20551" xr:uid="{00000000-0005-0000-0000-0000BB7B0000}"/>
    <cellStyle name="Migliaia 33 2 2 3 2" xfId="37868" xr:uid="{00000000-0005-0000-0000-0000BC7B0000}"/>
    <cellStyle name="Migliaia 33 2 2 4" xfId="23493" xr:uid="{00000000-0005-0000-0000-0000BD7B0000}"/>
    <cellStyle name="Migliaia 33 2 2 5" xfId="38823" xr:uid="{00000000-0005-0000-0000-0000BE7B0000}"/>
    <cellStyle name="Migliaia 33 2 2 6" xfId="39409" xr:uid="{00000000-0005-0000-0000-0000BF7B0000}"/>
    <cellStyle name="Migliaia 33 2 3" xfId="11497" xr:uid="{00000000-0005-0000-0000-0000C07B0000}"/>
    <cellStyle name="Migliaia 33 2 4" xfId="12128" xr:uid="{00000000-0005-0000-0000-0000C17B0000}"/>
    <cellStyle name="Migliaia 33 2 4 2" xfId="30313" xr:uid="{00000000-0005-0000-0000-0000C27B0000}"/>
    <cellStyle name="Migliaia 33 2 5" xfId="19431" xr:uid="{00000000-0005-0000-0000-0000C37B0000}"/>
    <cellStyle name="Migliaia 33 2 5 2" xfId="37395" xr:uid="{00000000-0005-0000-0000-0000C47B0000}"/>
    <cellStyle name="Migliaia 33 2 6" xfId="3308" xr:uid="{00000000-0005-0000-0000-0000C57B0000}"/>
    <cellStyle name="Migliaia 33 2 6 2" xfId="23308" xr:uid="{00000000-0005-0000-0000-0000C67B0000}"/>
    <cellStyle name="Migliaia 33 2 7" xfId="21534" xr:uid="{00000000-0005-0000-0000-0000C77B0000}"/>
    <cellStyle name="Migliaia 33 2 8" xfId="38350" xr:uid="{00000000-0005-0000-0000-0000C87B0000}"/>
    <cellStyle name="Migliaia 33 2 9" xfId="39212" xr:uid="{00000000-0005-0000-0000-0000C97B0000}"/>
    <cellStyle name="Migliaia 33 3" xfId="605" xr:uid="{00000000-0005-0000-0000-0000CA7B0000}"/>
    <cellStyle name="Migliaia 33 3 10" xfId="39688" xr:uid="{00000000-0005-0000-0000-0000CB7B0000}"/>
    <cellStyle name="Migliaia 33 3 11" xfId="40174" xr:uid="{00000000-0005-0000-0000-0000CC7B0000}"/>
    <cellStyle name="Migliaia 33 3 2" xfId="606" xr:uid="{00000000-0005-0000-0000-0000CD7B0000}"/>
    <cellStyle name="Migliaia 33 3 2 10" xfId="40175" xr:uid="{00000000-0005-0000-0000-0000CE7B0000}"/>
    <cellStyle name="Migliaia 33 3 2 2" xfId="11499" xr:uid="{00000000-0005-0000-0000-0000CF7B0000}"/>
    <cellStyle name="Migliaia 33 3 2 3" xfId="12130" xr:uid="{00000000-0005-0000-0000-0000D07B0000}"/>
    <cellStyle name="Migliaia 33 3 2 3 2" xfId="30315" xr:uid="{00000000-0005-0000-0000-0000D17B0000}"/>
    <cellStyle name="Migliaia 33 3 2 4" xfId="19433" xr:uid="{00000000-0005-0000-0000-0000D27B0000}"/>
    <cellStyle name="Migliaia 33 3 2 4 2" xfId="37397" xr:uid="{00000000-0005-0000-0000-0000D37B0000}"/>
    <cellStyle name="Migliaia 33 3 2 5" xfId="3310" xr:uid="{00000000-0005-0000-0000-0000D47B0000}"/>
    <cellStyle name="Migliaia 33 3 2 5 2" xfId="23310" xr:uid="{00000000-0005-0000-0000-0000D57B0000}"/>
    <cellStyle name="Migliaia 33 3 2 6" xfId="21536" xr:uid="{00000000-0005-0000-0000-0000D67B0000}"/>
    <cellStyle name="Migliaia 33 3 2 7" xfId="38352" xr:uid="{00000000-0005-0000-0000-0000D77B0000}"/>
    <cellStyle name="Migliaia 33 3 2 8" xfId="39214" xr:uid="{00000000-0005-0000-0000-0000D87B0000}"/>
    <cellStyle name="Migliaia 33 3 2 9" xfId="39689" xr:uid="{00000000-0005-0000-0000-0000D97B0000}"/>
    <cellStyle name="Migliaia 33 3 3" xfId="11498" xr:uid="{00000000-0005-0000-0000-0000DA7B0000}"/>
    <cellStyle name="Migliaia 33 3 3 2" xfId="20553" xr:uid="{00000000-0005-0000-0000-0000DB7B0000}"/>
    <cellStyle name="Migliaia 33 3 3 2 2" xfId="37870" xr:uid="{00000000-0005-0000-0000-0000DC7B0000}"/>
    <cellStyle name="Migliaia 33 3 3 2 3" xfId="38825" xr:uid="{00000000-0005-0000-0000-0000DD7B0000}"/>
    <cellStyle name="Migliaia 33 3 3 3" xfId="19434" xr:uid="{00000000-0005-0000-0000-0000DE7B0000}"/>
    <cellStyle name="Migliaia 33 3 3 3 2" xfId="37398" xr:uid="{00000000-0005-0000-0000-0000DF7B0000}"/>
    <cellStyle name="Migliaia 33 3 3 4" xfId="38353" xr:uid="{00000000-0005-0000-0000-0000E07B0000}"/>
    <cellStyle name="Migliaia 33 3 4" xfId="12129" xr:uid="{00000000-0005-0000-0000-0000E17B0000}"/>
    <cellStyle name="Migliaia 33 3 4 2" xfId="20552" xr:uid="{00000000-0005-0000-0000-0000E27B0000}"/>
    <cellStyle name="Migliaia 33 3 4 2 2" xfId="37869" xr:uid="{00000000-0005-0000-0000-0000E37B0000}"/>
    <cellStyle name="Migliaia 33 3 4 3" xfId="30314" xr:uid="{00000000-0005-0000-0000-0000E47B0000}"/>
    <cellStyle name="Migliaia 33 3 4 4" xfId="38824" xr:uid="{00000000-0005-0000-0000-0000E57B0000}"/>
    <cellStyle name="Migliaia 33 3 5" xfId="19432" xr:uid="{00000000-0005-0000-0000-0000E67B0000}"/>
    <cellStyle name="Migliaia 33 3 5 2" xfId="37396" xr:uid="{00000000-0005-0000-0000-0000E77B0000}"/>
    <cellStyle name="Migliaia 33 3 6" xfId="3309" xr:uid="{00000000-0005-0000-0000-0000E87B0000}"/>
    <cellStyle name="Migliaia 33 3 6 2" xfId="23309" xr:uid="{00000000-0005-0000-0000-0000E97B0000}"/>
    <cellStyle name="Migliaia 33 3 7" xfId="21535" xr:uid="{00000000-0005-0000-0000-0000EA7B0000}"/>
    <cellStyle name="Migliaia 33 3 8" xfId="38351" xr:uid="{00000000-0005-0000-0000-0000EB7B0000}"/>
    <cellStyle name="Migliaia 33 3 9" xfId="39213" xr:uid="{00000000-0005-0000-0000-0000EC7B0000}"/>
    <cellStyle name="Migliaia 33 4" xfId="607" xr:uid="{00000000-0005-0000-0000-0000ED7B0000}"/>
    <cellStyle name="Migliaia 33 4 2" xfId="19436" xr:uid="{00000000-0005-0000-0000-0000EE7B0000}"/>
    <cellStyle name="Migliaia 33 4 2 2" xfId="20555" xr:uid="{00000000-0005-0000-0000-0000EF7B0000}"/>
    <cellStyle name="Migliaia 33 4 2 2 2" xfId="37872" xr:uid="{00000000-0005-0000-0000-0000F07B0000}"/>
    <cellStyle name="Migliaia 33 4 2 2 3" xfId="38827" xr:uid="{00000000-0005-0000-0000-0000F17B0000}"/>
    <cellStyle name="Migliaia 33 4 2 3" xfId="37400" xr:uid="{00000000-0005-0000-0000-0000F27B0000}"/>
    <cellStyle name="Migliaia 33 4 2 4" xfId="38355" xr:uid="{00000000-0005-0000-0000-0000F37B0000}"/>
    <cellStyle name="Migliaia 33 4 3" xfId="20554" xr:uid="{00000000-0005-0000-0000-0000F47B0000}"/>
    <cellStyle name="Migliaia 33 4 3 2" xfId="37871" xr:uid="{00000000-0005-0000-0000-0000F57B0000}"/>
    <cellStyle name="Migliaia 33 4 3 3" xfId="38826" xr:uid="{00000000-0005-0000-0000-0000F67B0000}"/>
    <cellStyle name="Migliaia 33 4 4" xfId="19435" xr:uid="{00000000-0005-0000-0000-0000F77B0000}"/>
    <cellStyle name="Migliaia 33 4 4 2" xfId="37399" xr:uid="{00000000-0005-0000-0000-0000F87B0000}"/>
    <cellStyle name="Migliaia 33 4 5" xfId="11500" xr:uid="{00000000-0005-0000-0000-0000F97B0000}"/>
    <cellStyle name="Migliaia 33 4 6" xfId="21537" xr:uid="{00000000-0005-0000-0000-0000FA7B0000}"/>
    <cellStyle name="Migliaia 33 4 7" xfId="38354" xr:uid="{00000000-0005-0000-0000-0000FB7B0000}"/>
    <cellStyle name="Migliaia 33 4 8" xfId="39690" xr:uid="{00000000-0005-0000-0000-0000FC7B0000}"/>
    <cellStyle name="Migliaia 33 4 9" xfId="40176" xr:uid="{00000000-0005-0000-0000-0000FD7B0000}"/>
    <cellStyle name="Migliaia 33 5" xfId="608" xr:uid="{00000000-0005-0000-0000-0000FE7B0000}"/>
    <cellStyle name="Migliaia 33 5 2" xfId="19437" xr:uid="{00000000-0005-0000-0000-0000FF7B0000}"/>
    <cellStyle name="Migliaia 33 5 2 2" xfId="37401" xr:uid="{00000000-0005-0000-0000-0000007C0000}"/>
    <cellStyle name="Migliaia 33 5 3" xfId="11501" xr:uid="{00000000-0005-0000-0000-0000017C0000}"/>
    <cellStyle name="Migliaia 33 5 4" xfId="21538" xr:uid="{00000000-0005-0000-0000-0000027C0000}"/>
    <cellStyle name="Migliaia 33 5 5" xfId="38356" xr:uid="{00000000-0005-0000-0000-0000037C0000}"/>
    <cellStyle name="Migliaia 33 5 6" xfId="39691" xr:uid="{00000000-0005-0000-0000-0000047C0000}"/>
    <cellStyle name="Migliaia 33 5 7" xfId="40177" xr:uid="{00000000-0005-0000-0000-0000057C0000}"/>
    <cellStyle name="Migliaia 33 6" xfId="609" xr:uid="{00000000-0005-0000-0000-0000067C0000}"/>
    <cellStyle name="Migliaia 33 6 2" xfId="11496" xr:uid="{00000000-0005-0000-0000-0000077C0000}"/>
    <cellStyle name="Migliaia 33 6 3" xfId="21539" xr:uid="{00000000-0005-0000-0000-0000087C0000}"/>
    <cellStyle name="Migliaia 33 6 4" xfId="39692" xr:uid="{00000000-0005-0000-0000-0000097C0000}"/>
    <cellStyle name="Migliaia 33 6 5" xfId="40178" xr:uid="{00000000-0005-0000-0000-00000A7C0000}"/>
    <cellStyle name="Migliaia 33 7" xfId="12127" xr:uid="{00000000-0005-0000-0000-00000B7C0000}"/>
    <cellStyle name="Migliaia 33 7 2" xfId="30312" xr:uid="{00000000-0005-0000-0000-00000C7C0000}"/>
    <cellStyle name="Migliaia 33 8" xfId="19430" xr:uid="{00000000-0005-0000-0000-00000D7C0000}"/>
    <cellStyle name="Migliaia 33 8 2" xfId="37394" xr:uid="{00000000-0005-0000-0000-00000E7C0000}"/>
    <cellStyle name="Migliaia 33 9" xfId="3307" xr:uid="{00000000-0005-0000-0000-00000F7C0000}"/>
    <cellStyle name="Migliaia 33 9 2" xfId="23307" xr:uid="{00000000-0005-0000-0000-0000107C0000}"/>
    <cellStyle name="Migliaia 34" xfId="610" xr:uid="{00000000-0005-0000-0000-0000117C0000}"/>
    <cellStyle name="Migliaia 34 10" xfId="21540" xr:uid="{00000000-0005-0000-0000-0000127C0000}"/>
    <cellStyle name="Migliaia 34 11" xfId="38357" xr:uid="{00000000-0005-0000-0000-0000137C0000}"/>
    <cellStyle name="Migliaia 34 12" xfId="39215" xr:uid="{00000000-0005-0000-0000-0000147C0000}"/>
    <cellStyle name="Migliaia 34 13" xfId="39693" xr:uid="{00000000-0005-0000-0000-0000157C0000}"/>
    <cellStyle name="Migliaia 34 14" xfId="40179" xr:uid="{00000000-0005-0000-0000-0000167C0000}"/>
    <cellStyle name="Migliaia 34 2" xfId="611" xr:uid="{00000000-0005-0000-0000-0000177C0000}"/>
    <cellStyle name="Migliaia 34 2 10" xfId="39694" xr:uid="{00000000-0005-0000-0000-0000187C0000}"/>
    <cellStyle name="Migliaia 34 2 11" xfId="40180" xr:uid="{00000000-0005-0000-0000-0000197C0000}"/>
    <cellStyle name="Migliaia 34 2 2" xfId="3565" xr:uid="{00000000-0005-0000-0000-00001A7C0000}"/>
    <cellStyle name="Migliaia 34 2 2 2" xfId="12326" xr:uid="{00000000-0005-0000-0000-00001B7C0000}"/>
    <cellStyle name="Migliaia 34 2 2 2 2" xfId="30496" xr:uid="{00000000-0005-0000-0000-00001C7C0000}"/>
    <cellStyle name="Migliaia 34 2 2 3" xfId="20556" xr:uid="{00000000-0005-0000-0000-00001D7C0000}"/>
    <cellStyle name="Migliaia 34 2 2 3 2" xfId="37873" xr:uid="{00000000-0005-0000-0000-00001E7C0000}"/>
    <cellStyle name="Migliaia 34 2 2 4" xfId="23494" xr:uid="{00000000-0005-0000-0000-00001F7C0000}"/>
    <cellStyle name="Migliaia 34 2 2 5" xfId="38828" xr:uid="{00000000-0005-0000-0000-0000207C0000}"/>
    <cellStyle name="Migliaia 34 2 2 6" xfId="39410" xr:uid="{00000000-0005-0000-0000-0000217C0000}"/>
    <cellStyle name="Migliaia 34 2 3" xfId="11503" xr:uid="{00000000-0005-0000-0000-0000227C0000}"/>
    <cellStyle name="Migliaia 34 2 4" xfId="12132" xr:uid="{00000000-0005-0000-0000-0000237C0000}"/>
    <cellStyle name="Migliaia 34 2 4 2" xfId="30317" xr:uid="{00000000-0005-0000-0000-0000247C0000}"/>
    <cellStyle name="Migliaia 34 2 5" xfId="19439" xr:uid="{00000000-0005-0000-0000-0000257C0000}"/>
    <cellStyle name="Migliaia 34 2 5 2" xfId="37403" xr:uid="{00000000-0005-0000-0000-0000267C0000}"/>
    <cellStyle name="Migliaia 34 2 6" xfId="3312" xr:uid="{00000000-0005-0000-0000-0000277C0000}"/>
    <cellStyle name="Migliaia 34 2 6 2" xfId="23312" xr:uid="{00000000-0005-0000-0000-0000287C0000}"/>
    <cellStyle name="Migliaia 34 2 7" xfId="21541" xr:uid="{00000000-0005-0000-0000-0000297C0000}"/>
    <cellStyle name="Migliaia 34 2 8" xfId="38358" xr:uid="{00000000-0005-0000-0000-00002A7C0000}"/>
    <cellStyle name="Migliaia 34 2 9" xfId="39216" xr:uid="{00000000-0005-0000-0000-00002B7C0000}"/>
    <cellStyle name="Migliaia 34 3" xfId="612" xr:uid="{00000000-0005-0000-0000-00002C7C0000}"/>
    <cellStyle name="Migliaia 34 3 10" xfId="39695" xr:uid="{00000000-0005-0000-0000-00002D7C0000}"/>
    <cellStyle name="Migliaia 34 3 11" xfId="40181" xr:uid="{00000000-0005-0000-0000-00002E7C0000}"/>
    <cellStyle name="Migliaia 34 3 2" xfId="613" xr:uid="{00000000-0005-0000-0000-00002F7C0000}"/>
    <cellStyle name="Migliaia 34 3 2 10" xfId="40182" xr:uid="{00000000-0005-0000-0000-0000307C0000}"/>
    <cellStyle name="Migliaia 34 3 2 2" xfId="11505" xr:uid="{00000000-0005-0000-0000-0000317C0000}"/>
    <cellStyle name="Migliaia 34 3 2 3" xfId="12134" xr:uid="{00000000-0005-0000-0000-0000327C0000}"/>
    <cellStyle name="Migliaia 34 3 2 3 2" xfId="30319" xr:uid="{00000000-0005-0000-0000-0000337C0000}"/>
    <cellStyle name="Migliaia 34 3 2 4" xfId="19441" xr:uid="{00000000-0005-0000-0000-0000347C0000}"/>
    <cellStyle name="Migliaia 34 3 2 4 2" xfId="37405" xr:uid="{00000000-0005-0000-0000-0000357C0000}"/>
    <cellStyle name="Migliaia 34 3 2 5" xfId="3314" xr:uid="{00000000-0005-0000-0000-0000367C0000}"/>
    <cellStyle name="Migliaia 34 3 2 5 2" xfId="23314" xr:uid="{00000000-0005-0000-0000-0000377C0000}"/>
    <cellStyle name="Migliaia 34 3 2 6" xfId="21543" xr:uid="{00000000-0005-0000-0000-0000387C0000}"/>
    <cellStyle name="Migliaia 34 3 2 7" xfId="38360" xr:uid="{00000000-0005-0000-0000-0000397C0000}"/>
    <cellStyle name="Migliaia 34 3 2 8" xfId="39218" xr:uid="{00000000-0005-0000-0000-00003A7C0000}"/>
    <cellStyle name="Migliaia 34 3 2 9" xfId="39696" xr:uid="{00000000-0005-0000-0000-00003B7C0000}"/>
    <cellStyle name="Migliaia 34 3 3" xfId="11504" xr:uid="{00000000-0005-0000-0000-00003C7C0000}"/>
    <cellStyle name="Migliaia 34 3 3 2" xfId="20558" xr:uid="{00000000-0005-0000-0000-00003D7C0000}"/>
    <cellStyle name="Migliaia 34 3 3 2 2" xfId="37875" xr:uid="{00000000-0005-0000-0000-00003E7C0000}"/>
    <cellStyle name="Migliaia 34 3 3 2 3" xfId="38830" xr:uid="{00000000-0005-0000-0000-00003F7C0000}"/>
    <cellStyle name="Migliaia 34 3 3 3" xfId="19442" xr:uid="{00000000-0005-0000-0000-0000407C0000}"/>
    <cellStyle name="Migliaia 34 3 3 3 2" xfId="37406" xr:uid="{00000000-0005-0000-0000-0000417C0000}"/>
    <cellStyle name="Migliaia 34 3 3 4" xfId="38361" xr:uid="{00000000-0005-0000-0000-0000427C0000}"/>
    <cellStyle name="Migliaia 34 3 4" xfId="12133" xr:uid="{00000000-0005-0000-0000-0000437C0000}"/>
    <cellStyle name="Migliaia 34 3 4 2" xfId="20557" xr:uid="{00000000-0005-0000-0000-0000447C0000}"/>
    <cellStyle name="Migliaia 34 3 4 2 2" xfId="37874" xr:uid="{00000000-0005-0000-0000-0000457C0000}"/>
    <cellStyle name="Migliaia 34 3 4 3" xfId="30318" xr:uid="{00000000-0005-0000-0000-0000467C0000}"/>
    <cellStyle name="Migliaia 34 3 4 4" xfId="38829" xr:uid="{00000000-0005-0000-0000-0000477C0000}"/>
    <cellStyle name="Migliaia 34 3 5" xfId="19440" xr:uid="{00000000-0005-0000-0000-0000487C0000}"/>
    <cellStyle name="Migliaia 34 3 5 2" xfId="37404" xr:uid="{00000000-0005-0000-0000-0000497C0000}"/>
    <cellStyle name="Migliaia 34 3 6" xfId="3313" xr:uid="{00000000-0005-0000-0000-00004A7C0000}"/>
    <cellStyle name="Migliaia 34 3 6 2" xfId="23313" xr:uid="{00000000-0005-0000-0000-00004B7C0000}"/>
    <cellStyle name="Migliaia 34 3 7" xfId="21542" xr:uid="{00000000-0005-0000-0000-00004C7C0000}"/>
    <cellStyle name="Migliaia 34 3 8" xfId="38359" xr:uid="{00000000-0005-0000-0000-00004D7C0000}"/>
    <cellStyle name="Migliaia 34 3 9" xfId="39217" xr:uid="{00000000-0005-0000-0000-00004E7C0000}"/>
    <cellStyle name="Migliaia 34 4" xfId="614" xr:uid="{00000000-0005-0000-0000-00004F7C0000}"/>
    <cellStyle name="Migliaia 34 4 2" xfId="19444" xr:uid="{00000000-0005-0000-0000-0000507C0000}"/>
    <cellStyle name="Migliaia 34 4 2 2" xfId="20560" xr:uid="{00000000-0005-0000-0000-0000517C0000}"/>
    <cellStyle name="Migliaia 34 4 2 2 2" xfId="37877" xr:uid="{00000000-0005-0000-0000-0000527C0000}"/>
    <cellStyle name="Migliaia 34 4 2 2 3" xfId="38832" xr:uid="{00000000-0005-0000-0000-0000537C0000}"/>
    <cellStyle name="Migliaia 34 4 2 3" xfId="37408" xr:uid="{00000000-0005-0000-0000-0000547C0000}"/>
    <cellStyle name="Migliaia 34 4 2 4" xfId="38363" xr:uid="{00000000-0005-0000-0000-0000557C0000}"/>
    <cellStyle name="Migliaia 34 4 3" xfId="20559" xr:uid="{00000000-0005-0000-0000-0000567C0000}"/>
    <cellStyle name="Migliaia 34 4 3 2" xfId="37876" xr:uid="{00000000-0005-0000-0000-0000577C0000}"/>
    <cellStyle name="Migliaia 34 4 3 3" xfId="38831" xr:uid="{00000000-0005-0000-0000-0000587C0000}"/>
    <cellStyle name="Migliaia 34 4 4" xfId="19443" xr:uid="{00000000-0005-0000-0000-0000597C0000}"/>
    <cellStyle name="Migliaia 34 4 4 2" xfId="37407" xr:uid="{00000000-0005-0000-0000-00005A7C0000}"/>
    <cellStyle name="Migliaia 34 4 5" xfId="11506" xr:uid="{00000000-0005-0000-0000-00005B7C0000}"/>
    <cellStyle name="Migliaia 34 4 6" xfId="21544" xr:uid="{00000000-0005-0000-0000-00005C7C0000}"/>
    <cellStyle name="Migliaia 34 4 7" xfId="38362" xr:uid="{00000000-0005-0000-0000-00005D7C0000}"/>
    <cellStyle name="Migliaia 34 4 8" xfId="39697" xr:uid="{00000000-0005-0000-0000-00005E7C0000}"/>
    <cellStyle name="Migliaia 34 4 9" xfId="40183" xr:uid="{00000000-0005-0000-0000-00005F7C0000}"/>
    <cellStyle name="Migliaia 34 5" xfId="615" xr:uid="{00000000-0005-0000-0000-0000607C0000}"/>
    <cellStyle name="Migliaia 34 5 2" xfId="19445" xr:uid="{00000000-0005-0000-0000-0000617C0000}"/>
    <cellStyle name="Migliaia 34 5 2 2" xfId="37409" xr:uid="{00000000-0005-0000-0000-0000627C0000}"/>
    <cellStyle name="Migliaia 34 5 3" xfId="11507" xr:uid="{00000000-0005-0000-0000-0000637C0000}"/>
    <cellStyle name="Migliaia 34 5 4" xfId="21545" xr:uid="{00000000-0005-0000-0000-0000647C0000}"/>
    <cellStyle name="Migliaia 34 5 5" xfId="38364" xr:uid="{00000000-0005-0000-0000-0000657C0000}"/>
    <cellStyle name="Migliaia 34 5 6" xfId="39698" xr:uid="{00000000-0005-0000-0000-0000667C0000}"/>
    <cellStyle name="Migliaia 34 5 7" xfId="40184" xr:uid="{00000000-0005-0000-0000-0000677C0000}"/>
    <cellStyle name="Migliaia 34 6" xfId="616" xr:uid="{00000000-0005-0000-0000-0000687C0000}"/>
    <cellStyle name="Migliaia 34 6 2" xfId="11502" xr:uid="{00000000-0005-0000-0000-0000697C0000}"/>
    <cellStyle name="Migliaia 34 6 3" xfId="21546" xr:uid="{00000000-0005-0000-0000-00006A7C0000}"/>
    <cellStyle name="Migliaia 34 6 4" xfId="39699" xr:uid="{00000000-0005-0000-0000-00006B7C0000}"/>
    <cellStyle name="Migliaia 34 6 5" xfId="40185" xr:uid="{00000000-0005-0000-0000-00006C7C0000}"/>
    <cellStyle name="Migliaia 34 7" xfId="12131" xr:uid="{00000000-0005-0000-0000-00006D7C0000}"/>
    <cellStyle name="Migliaia 34 7 2" xfId="30316" xr:uid="{00000000-0005-0000-0000-00006E7C0000}"/>
    <cellStyle name="Migliaia 34 8" xfId="19438" xr:uid="{00000000-0005-0000-0000-00006F7C0000}"/>
    <cellStyle name="Migliaia 34 8 2" xfId="37402" xr:uid="{00000000-0005-0000-0000-0000707C0000}"/>
    <cellStyle name="Migliaia 34 9" xfId="3311" xr:uid="{00000000-0005-0000-0000-0000717C0000}"/>
    <cellStyle name="Migliaia 34 9 2" xfId="23311" xr:uid="{00000000-0005-0000-0000-0000727C0000}"/>
    <cellStyle name="Migliaia 35" xfId="617" xr:uid="{00000000-0005-0000-0000-0000737C0000}"/>
    <cellStyle name="Migliaia 35 10" xfId="21547" xr:uid="{00000000-0005-0000-0000-0000747C0000}"/>
    <cellStyle name="Migliaia 35 11" xfId="38365" xr:uid="{00000000-0005-0000-0000-0000757C0000}"/>
    <cellStyle name="Migliaia 35 12" xfId="39219" xr:uid="{00000000-0005-0000-0000-0000767C0000}"/>
    <cellStyle name="Migliaia 35 13" xfId="39700" xr:uid="{00000000-0005-0000-0000-0000777C0000}"/>
    <cellStyle name="Migliaia 35 14" xfId="40186" xr:uid="{00000000-0005-0000-0000-0000787C0000}"/>
    <cellStyle name="Migliaia 35 2" xfId="618" xr:uid="{00000000-0005-0000-0000-0000797C0000}"/>
    <cellStyle name="Migliaia 35 2 10" xfId="39701" xr:uid="{00000000-0005-0000-0000-00007A7C0000}"/>
    <cellStyle name="Migliaia 35 2 11" xfId="40187" xr:uid="{00000000-0005-0000-0000-00007B7C0000}"/>
    <cellStyle name="Migliaia 35 2 2" xfId="3566" xr:uid="{00000000-0005-0000-0000-00007C7C0000}"/>
    <cellStyle name="Migliaia 35 2 2 2" xfId="12327" xr:uid="{00000000-0005-0000-0000-00007D7C0000}"/>
    <cellStyle name="Migliaia 35 2 2 2 2" xfId="30497" xr:uid="{00000000-0005-0000-0000-00007E7C0000}"/>
    <cellStyle name="Migliaia 35 2 2 3" xfId="20561" xr:uid="{00000000-0005-0000-0000-00007F7C0000}"/>
    <cellStyle name="Migliaia 35 2 2 3 2" xfId="37878" xr:uid="{00000000-0005-0000-0000-0000807C0000}"/>
    <cellStyle name="Migliaia 35 2 2 4" xfId="23495" xr:uid="{00000000-0005-0000-0000-0000817C0000}"/>
    <cellStyle name="Migliaia 35 2 2 5" xfId="38833" xr:uid="{00000000-0005-0000-0000-0000827C0000}"/>
    <cellStyle name="Migliaia 35 2 2 6" xfId="39411" xr:uid="{00000000-0005-0000-0000-0000837C0000}"/>
    <cellStyle name="Migliaia 35 2 3" xfId="11509" xr:uid="{00000000-0005-0000-0000-0000847C0000}"/>
    <cellStyle name="Migliaia 35 2 4" xfId="12136" xr:uid="{00000000-0005-0000-0000-0000857C0000}"/>
    <cellStyle name="Migliaia 35 2 4 2" xfId="30321" xr:uid="{00000000-0005-0000-0000-0000867C0000}"/>
    <cellStyle name="Migliaia 35 2 5" xfId="19447" xr:uid="{00000000-0005-0000-0000-0000877C0000}"/>
    <cellStyle name="Migliaia 35 2 5 2" xfId="37411" xr:uid="{00000000-0005-0000-0000-0000887C0000}"/>
    <cellStyle name="Migliaia 35 2 6" xfId="3316" xr:uid="{00000000-0005-0000-0000-0000897C0000}"/>
    <cellStyle name="Migliaia 35 2 6 2" xfId="23316" xr:uid="{00000000-0005-0000-0000-00008A7C0000}"/>
    <cellStyle name="Migliaia 35 2 7" xfId="21548" xr:uid="{00000000-0005-0000-0000-00008B7C0000}"/>
    <cellStyle name="Migliaia 35 2 8" xfId="38366" xr:uid="{00000000-0005-0000-0000-00008C7C0000}"/>
    <cellStyle name="Migliaia 35 2 9" xfId="39220" xr:uid="{00000000-0005-0000-0000-00008D7C0000}"/>
    <cellStyle name="Migliaia 35 3" xfId="619" xr:uid="{00000000-0005-0000-0000-00008E7C0000}"/>
    <cellStyle name="Migliaia 35 3 10" xfId="39702" xr:uid="{00000000-0005-0000-0000-00008F7C0000}"/>
    <cellStyle name="Migliaia 35 3 11" xfId="40188" xr:uid="{00000000-0005-0000-0000-0000907C0000}"/>
    <cellStyle name="Migliaia 35 3 2" xfId="620" xr:uid="{00000000-0005-0000-0000-0000917C0000}"/>
    <cellStyle name="Migliaia 35 3 2 10" xfId="40189" xr:uid="{00000000-0005-0000-0000-0000927C0000}"/>
    <cellStyle name="Migliaia 35 3 2 2" xfId="11511" xr:uid="{00000000-0005-0000-0000-0000937C0000}"/>
    <cellStyle name="Migliaia 35 3 2 3" xfId="12138" xr:uid="{00000000-0005-0000-0000-0000947C0000}"/>
    <cellStyle name="Migliaia 35 3 2 3 2" xfId="30323" xr:uid="{00000000-0005-0000-0000-0000957C0000}"/>
    <cellStyle name="Migliaia 35 3 2 4" xfId="19449" xr:uid="{00000000-0005-0000-0000-0000967C0000}"/>
    <cellStyle name="Migliaia 35 3 2 4 2" xfId="37413" xr:uid="{00000000-0005-0000-0000-0000977C0000}"/>
    <cellStyle name="Migliaia 35 3 2 5" xfId="3318" xr:uid="{00000000-0005-0000-0000-0000987C0000}"/>
    <cellStyle name="Migliaia 35 3 2 5 2" xfId="23318" xr:uid="{00000000-0005-0000-0000-0000997C0000}"/>
    <cellStyle name="Migliaia 35 3 2 6" xfId="21550" xr:uid="{00000000-0005-0000-0000-00009A7C0000}"/>
    <cellStyle name="Migliaia 35 3 2 7" xfId="38368" xr:uid="{00000000-0005-0000-0000-00009B7C0000}"/>
    <cellStyle name="Migliaia 35 3 2 8" xfId="39222" xr:uid="{00000000-0005-0000-0000-00009C7C0000}"/>
    <cellStyle name="Migliaia 35 3 2 9" xfId="39703" xr:uid="{00000000-0005-0000-0000-00009D7C0000}"/>
    <cellStyle name="Migliaia 35 3 3" xfId="11510" xr:uid="{00000000-0005-0000-0000-00009E7C0000}"/>
    <cellStyle name="Migliaia 35 3 3 2" xfId="20563" xr:uid="{00000000-0005-0000-0000-00009F7C0000}"/>
    <cellStyle name="Migliaia 35 3 3 2 2" xfId="37880" xr:uid="{00000000-0005-0000-0000-0000A07C0000}"/>
    <cellStyle name="Migliaia 35 3 3 2 3" xfId="38835" xr:uid="{00000000-0005-0000-0000-0000A17C0000}"/>
    <cellStyle name="Migliaia 35 3 3 3" xfId="19450" xr:uid="{00000000-0005-0000-0000-0000A27C0000}"/>
    <cellStyle name="Migliaia 35 3 3 3 2" xfId="37414" xr:uid="{00000000-0005-0000-0000-0000A37C0000}"/>
    <cellStyle name="Migliaia 35 3 3 4" xfId="38369" xr:uid="{00000000-0005-0000-0000-0000A47C0000}"/>
    <cellStyle name="Migliaia 35 3 4" xfId="12137" xr:uid="{00000000-0005-0000-0000-0000A57C0000}"/>
    <cellStyle name="Migliaia 35 3 4 2" xfId="20562" xr:uid="{00000000-0005-0000-0000-0000A67C0000}"/>
    <cellStyle name="Migliaia 35 3 4 2 2" xfId="37879" xr:uid="{00000000-0005-0000-0000-0000A77C0000}"/>
    <cellStyle name="Migliaia 35 3 4 3" xfId="30322" xr:uid="{00000000-0005-0000-0000-0000A87C0000}"/>
    <cellStyle name="Migliaia 35 3 4 4" xfId="38834" xr:uid="{00000000-0005-0000-0000-0000A97C0000}"/>
    <cellStyle name="Migliaia 35 3 5" xfId="19448" xr:uid="{00000000-0005-0000-0000-0000AA7C0000}"/>
    <cellStyle name="Migliaia 35 3 5 2" xfId="37412" xr:uid="{00000000-0005-0000-0000-0000AB7C0000}"/>
    <cellStyle name="Migliaia 35 3 6" xfId="3317" xr:uid="{00000000-0005-0000-0000-0000AC7C0000}"/>
    <cellStyle name="Migliaia 35 3 6 2" xfId="23317" xr:uid="{00000000-0005-0000-0000-0000AD7C0000}"/>
    <cellStyle name="Migliaia 35 3 7" xfId="21549" xr:uid="{00000000-0005-0000-0000-0000AE7C0000}"/>
    <cellStyle name="Migliaia 35 3 8" xfId="38367" xr:uid="{00000000-0005-0000-0000-0000AF7C0000}"/>
    <cellStyle name="Migliaia 35 3 9" xfId="39221" xr:uid="{00000000-0005-0000-0000-0000B07C0000}"/>
    <cellStyle name="Migliaia 35 4" xfId="621" xr:uid="{00000000-0005-0000-0000-0000B17C0000}"/>
    <cellStyle name="Migliaia 35 4 2" xfId="19452" xr:uid="{00000000-0005-0000-0000-0000B27C0000}"/>
    <cellStyle name="Migliaia 35 4 2 2" xfId="20565" xr:uid="{00000000-0005-0000-0000-0000B37C0000}"/>
    <cellStyle name="Migliaia 35 4 2 2 2" xfId="37882" xr:uid="{00000000-0005-0000-0000-0000B47C0000}"/>
    <cellStyle name="Migliaia 35 4 2 2 3" xfId="38837" xr:uid="{00000000-0005-0000-0000-0000B57C0000}"/>
    <cellStyle name="Migliaia 35 4 2 3" xfId="37416" xr:uid="{00000000-0005-0000-0000-0000B67C0000}"/>
    <cellStyle name="Migliaia 35 4 2 4" xfId="38371" xr:uid="{00000000-0005-0000-0000-0000B77C0000}"/>
    <cellStyle name="Migliaia 35 4 3" xfId="20564" xr:uid="{00000000-0005-0000-0000-0000B87C0000}"/>
    <cellStyle name="Migliaia 35 4 3 2" xfId="37881" xr:uid="{00000000-0005-0000-0000-0000B97C0000}"/>
    <cellStyle name="Migliaia 35 4 3 3" xfId="38836" xr:uid="{00000000-0005-0000-0000-0000BA7C0000}"/>
    <cellStyle name="Migliaia 35 4 4" xfId="19451" xr:uid="{00000000-0005-0000-0000-0000BB7C0000}"/>
    <cellStyle name="Migliaia 35 4 4 2" xfId="37415" xr:uid="{00000000-0005-0000-0000-0000BC7C0000}"/>
    <cellStyle name="Migliaia 35 4 5" xfId="11512" xr:uid="{00000000-0005-0000-0000-0000BD7C0000}"/>
    <cellStyle name="Migliaia 35 4 6" xfId="21551" xr:uid="{00000000-0005-0000-0000-0000BE7C0000}"/>
    <cellStyle name="Migliaia 35 4 7" xfId="38370" xr:uid="{00000000-0005-0000-0000-0000BF7C0000}"/>
    <cellStyle name="Migliaia 35 4 8" xfId="39704" xr:uid="{00000000-0005-0000-0000-0000C07C0000}"/>
    <cellStyle name="Migliaia 35 4 9" xfId="40190" xr:uid="{00000000-0005-0000-0000-0000C17C0000}"/>
    <cellStyle name="Migliaia 35 5" xfId="622" xr:uid="{00000000-0005-0000-0000-0000C27C0000}"/>
    <cellStyle name="Migliaia 35 5 2" xfId="19453" xr:uid="{00000000-0005-0000-0000-0000C37C0000}"/>
    <cellStyle name="Migliaia 35 5 2 2" xfId="37417" xr:uid="{00000000-0005-0000-0000-0000C47C0000}"/>
    <cellStyle name="Migliaia 35 5 3" xfId="11513" xr:uid="{00000000-0005-0000-0000-0000C57C0000}"/>
    <cellStyle name="Migliaia 35 5 4" xfId="21552" xr:uid="{00000000-0005-0000-0000-0000C67C0000}"/>
    <cellStyle name="Migliaia 35 5 5" xfId="38372" xr:uid="{00000000-0005-0000-0000-0000C77C0000}"/>
    <cellStyle name="Migliaia 35 5 6" xfId="39705" xr:uid="{00000000-0005-0000-0000-0000C87C0000}"/>
    <cellStyle name="Migliaia 35 5 7" xfId="40191" xr:uid="{00000000-0005-0000-0000-0000C97C0000}"/>
    <cellStyle name="Migliaia 35 6" xfId="623" xr:uid="{00000000-0005-0000-0000-0000CA7C0000}"/>
    <cellStyle name="Migliaia 35 6 2" xfId="11508" xr:uid="{00000000-0005-0000-0000-0000CB7C0000}"/>
    <cellStyle name="Migliaia 35 6 3" xfId="21553" xr:uid="{00000000-0005-0000-0000-0000CC7C0000}"/>
    <cellStyle name="Migliaia 35 6 4" xfId="39706" xr:uid="{00000000-0005-0000-0000-0000CD7C0000}"/>
    <cellStyle name="Migliaia 35 6 5" xfId="40192" xr:uid="{00000000-0005-0000-0000-0000CE7C0000}"/>
    <cellStyle name="Migliaia 35 7" xfId="12135" xr:uid="{00000000-0005-0000-0000-0000CF7C0000}"/>
    <cellStyle name="Migliaia 35 7 2" xfId="30320" xr:uid="{00000000-0005-0000-0000-0000D07C0000}"/>
    <cellStyle name="Migliaia 35 8" xfId="19446" xr:uid="{00000000-0005-0000-0000-0000D17C0000}"/>
    <cellStyle name="Migliaia 35 8 2" xfId="37410" xr:uid="{00000000-0005-0000-0000-0000D27C0000}"/>
    <cellStyle name="Migliaia 35 9" xfId="3315" xr:uid="{00000000-0005-0000-0000-0000D37C0000}"/>
    <cellStyle name="Migliaia 35 9 2" xfId="23315" xr:uid="{00000000-0005-0000-0000-0000D47C0000}"/>
    <cellStyle name="Migliaia 36" xfId="624" xr:uid="{00000000-0005-0000-0000-0000D57C0000}"/>
    <cellStyle name="Migliaia 36 10" xfId="21554" xr:uid="{00000000-0005-0000-0000-0000D67C0000}"/>
    <cellStyle name="Migliaia 36 11" xfId="38373" xr:uid="{00000000-0005-0000-0000-0000D77C0000}"/>
    <cellStyle name="Migliaia 36 12" xfId="39223" xr:uid="{00000000-0005-0000-0000-0000D87C0000}"/>
    <cellStyle name="Migliaia 36 13" xfId="39707" xr:uid="{00000000-0005-0000-0000-0000D97C0000}"/>
    <cellStyle name="Migliaia 36 14" xfId="40193" xr:uid="{00000000-0005-0000-0000-0000DA7C0000}"/>
    <cellStyle name="Migliaia 36 2" xfId="625" xr:uid="{00000000-0005-0000-0000-0000DB7C0000}"/>
    <cellStyle name="Migliaia 36 2 10" xfId="39708" xr:uid="{00000000-0005-0000-0000-0000DC7C0000}"/>
    <cellStyle name="Migliaia 36 2 11" xfId="40194" xr:uid="{00000000-0005-0000-0000-0000DD7C0000}"/>
    <cellStyle name="Migliaia 36 2 2" xfId="3567" xr:uid="{00000000-0005-0000-0000-0000DE7C0000}"/>
    <cellStyle name="Migliaia 36 2 2 2" xfId="12328" xr:uid="{00000000-0005-0000-0000-0000DF7C0000}"/>
    <cellStyle name="Migliaia 36 2 2 2 2" xfId="30498" xr:uid="{00000000-0005-0000-0000-0000E07C0000}"/>
    <cellStyle name="Migliaia 36 2 2 3" xfId="20566" xr:uid="{00000000-0005-0000-0000-0000E17C0000}"/>
    <cellStyle name="Migliaia 36 2 2 3 2" xfId="37883" xr:uid="{00000000-0005-0000-0000-0000E27C0000}"/>
    <cellStyle name="Migliaia 36 2 2 4" xfId="23496" xr:uid="{00000000-0005-0000-0000-0000E37C0000}"/>
    <cellStyle name="Migliaia 36 2 2 5" xfId="38838" xr:uid="{00000000-0005-0000-0000-0000E47C0000}"/>
    <cellStyle name="Migliaia 36 2 2 6" xfId="39412" xr:uid="{00000000-0005-0000-0000-0000E57C0000}"/>
    <cellStyle name="Migliaia 36 2 3" xfId="11515" xr:uid="{00000000-0005-0000-0000-0000E67C0000}"/>
    <cellStyle name="Migliaia 36 2 4" xfId="12140" xr:uid="{00000000-0005-0000-0000-0000E77C0000}"/>
    <cellStyle name="Migliaia 36 2 4 2" xfId="30325" xr:uid="{00000000-0005-0000-0000-0000E87C0000}"/>
    <cellStyle name="Migliaia 36 2 5" xfId="19455" xr:uid="{00000000-0005-0000-0000-0000E97C0000}"/>
    <cellStyle name="Migliaia 36 2 5 2" xfId="37419" xr:uid="{00000000-0005-0000-0000-0000EA7C0000}"/>
    <cellStyle name="Migliaia 36 2 6" xfId="3320" xr:uid="{00000000-0005-0000-0000-0000EB7C0000}"/>
    <cellStyle name="Migliaia 36 2 6 2" xfId="23320" xr:uid="{00000000-0005-0000-0000-0000EC7C0000}"/>
    <cellStyle name="Migliaia 36 2 7" xfId="21555" xr:uid="{00000000-0005-0000-0000-0000ED7C0000}"/>
    <cellStyle name="Migliaia 36 2 8" xfId="38374" xr:uid="{00000000-0005-0000-0000-0000EE7C0000}"/>
    <cellStyle name="Migliaia 36 2 9" xfId="39224" xr:uid="{00000000-0005-0000-0000-0000EF7C0000}"/>
    <cellStyle name="Migliaia 36 3" xfId="626" xr:uid="{00000000-0005-0000-0000-0000F07C0000}"/>
    <cellStyle name="Migliaia 36 3 10" xfId="39709" xr:uid="{00000000-0005-0000-0000-0000F17C0000}"/>
    <cellStyle name="Migliaia 36 3 11" xfId="40195" xr:uid="{00000000-0005-0000-0000-0000F27C0000}"/>
    <cellStyle name="Migliaia 36 3 2" xfId="627" xr:uid="{00000000-0005-0000-0000-0000F37C0000}"/>
    <cellStyle name="Migliaia 36 3 2 10" xfId="40196" xr:uid="{00000000-0005-0000-0000-0000F47C0000}"/>
    <cellStyle name="Migliaia 36 3 2 2" xfId="11517" xr:uid="{00000000-0005-0000-0000-0000F57C0000}"/>
    <cellStyle name="Migliaia 36 3 2 3" xfId="12142" xr:uid="{00000000-0005-0000-0000-0000F67C0000}"/>
    <cellStyle name="Migliaia 36 3 2 3 2" xfId="30327" xr:uid="{00000000-0005-0000-0000-0000F77C0000}"/>
    <cellStyle name="Migliaia 36 3 2 4" xfId="19457" xr:uid="{00000000-0005-0000-0000-0000F87C0000}"/>
    <cellStyle name="Migliaia 36 3 2 4 2" xfId="37421" xr:uid="{00000000-0005-0000-0000-0000F97C0000}"/>
    <cellStyle name="Migliaia 36 3 2 5" xfId="3322" xr:uid="{00000000-0005-0000-0000-0000FA7C0000}"/>
    <cellStyle name="Migliaia 36 3 2 5 2" xfId="23322" xr:uid="{00000000-0005-0000-0000-0000FB7C0000}"/>
    <cellStyle name="Migliaia 36 3 2 6" xfId="21557" xr:uid="{00000000-0005-0000-0000-0000FC7C0000}"/>
    <cellStyle name="Migliaia 36 3 2 7" xfId="38376" xr:uid="{00000000-0005-0000-0000-0000FD7C0000}"/>
    <cellStyle name="Migliaia 36 3 2 8" xfId="39226" xr:uid="{00000000-0005-0000-0000-0000FE7C0000}"/>
    <cellStyle name="Migliaia 36 3 2 9" xfId="39710" xr:uid="{00000000-0005-0000-0000-0000FF7C0000}"/>
    <cellStyle name="Migliaia 36 3 3" xfId="11516" xr:uid="{00000000-0005-0000-0000-0000007D0000}"/>
    <cellStyle name="Migliaia 36 3 3 2" xfId="20568" xr:uid="{00000000-0005-0000-0000-0000017D0000}"/>
    <cellStyle name="Migliaia 36 3 3 2 2" xfId="37885" xr:uid="{00000000-0005-0000-0000-0000027D0000}"/>
    <cellStyle name="Migliaia 36 3 3 2 3" xfId="38840" xr:uid="{00000000-0005-0000-0000-0000037D0000}"/>
    <cellStyle name="Migliaia 36 3 3 3" xfId="19458" xr:uid="{00000000-0005-0000-0000-0000047D0000}"/>
    <cellStyle name="Migliaia 36 3 3 3 2" xfId="37422" xr:uid="{00000000-0005-0000-0000-0000057D0000}"/>
    <cellStyle name="Migliaia 36 3 3 4" xfId="38377" xr:uid="{00000000-0005-0000-0000-0000067D0000}"/>
    <cellStyle name="Migliaia 36 3 4" xfId="12141" xr:uid="{00000000-0005-0000-0000-0000077D0000}"/>
    <cellStyle name="Migliaia 36 3 4 2" xfId="20567" xr:uid="{00000000-0005-0000-0000-0000087D0000}"/>
    <cellStyle name="Migliaia 36 3 4 2 2" xfId="37884" xr:uid="{00000000-0005-0000-0000-0000097D0000}"/>
    <cellStyle name="Migliaia 36 3 4 3" xfId="30326" xr:uid="{00000000-0005-0000-0000-00000A7D0000}"/>
    <cellStyle name="Migliaia 36 3 4 4" xfId="38839" xr:uid="{00000000-0005-0000-0000-00000B7D0000}"/>
    <cellStyle name="Migliaia 36 3 5" xfId="19456" xr:uid="{00000000-0005-0000-0000-00000C7D0000}"/>
    <cellStyle name="Migliaia 36 3 5 2" xfId="37420" xr:uid="{00000000-0005-0000-0000-00000D7D0000}"/>
    <cellStyle name="Migliaia 36 3 6" xfId="3321" xr:uid="{00000000-0005-0000-0000-00000E7D0000}"/>
    <cellStyle name="Migliaia 36 3 6 2" xfId="23321" xr:uid="{00000000-0005-0000-0000-00000F7D0000}"/>
    <cellStyle name="Migliaia 36 3 7" xfId="21556" xr:uid="{00000000-0005-0000-0000-0000107D0000}"/>
    <cellStyle name="Migliaia 36 3 8" xfId="38375" xr:uid="{00000000-0005-0000-0000-0000117D0000}"/>
    <cellStyle name="Migliaia 36 3 9" xfId="39225" xr:uid="{00000000-0005-0000-0000-0000127D0000}"/>
    <cellStyle name="Migliaia 36 4" xfId="628" xr:uid="{00000000-0005-0000-0000-0000137D0000}"/>
    <cellStyle name="Migliaia 36 4 2" xfId="19460" xr:uid="{00000000-0005-0000-0000-0000147D0000}"/>
    <cellStyle name="Migliaia 36 4 2 2" xfId="20570" xr:uid="{00000000-0005-0000-0000-0000157D0000}"/>
    <cellStyle name="Migliaia 36 4 2 2 2" xfId="37887" xr:uid="{00000000-0005-0000-0000-0000167D0000}"/>
    <cellStyle name="Migliaia 36 4 2 2 3" xfId="38842" xr:uid="{00000000-0005-0000-0000-0000177D0000}"/>
    <cellStyle name="Migliaia 36 4 2 3" xfId="37424" xr:uid="{00000000-0005-0000-0000-0000187D0000}"/>
    <cellStyle name="Migliaia 36 4 2 4" xfId="38379" xr:uid="{00000000-0005-0000-0000-0000197D0000}"/>
    <cellStyle name="Migliaia 36 4 3" xfId="20569" xr:uid="{00000000-0005-0000-0000-00001A7D0000}"/>
    <cellStyle name="Migliaia 36 4 3 2" xfId="37886" xr:uid="{00000000-0005-0000-0000-00001B7D0000}"/>
    <cellStyle name="Migliaia 36 4 3 3" xfId="38841" xr:uid="{00000000-0005-0000-0000-00001C7D0000}"/>
    <cellStyle name="Migliaia 36 4 4" xfId="19459" xr:uid="{00000000-0005-0000-0000-00001D7D0000}"/>
    <cellStyle name="Migliaia 36 4 4 2" xfId="37423" xr:uid="{00000000-0005-0000-0000-00001E7D0000}"/>
    <cellStyle name="Migliaia 36 4 5" xfId="11518" xr:uid="{00000000-0005-0000-0000-00001F7D0000}"/>
    <cellStyle name="Migliaia 36 4 6" xfId="21558" xr:uid="{00000000-0005-0000-0000-0000207D0000}"/>
    <cellStyle name="Migliaia 36 4 7" xfId="38378" xr:uid="{00000000-0005-0000-0000-0000217D0000}"/>
    <cellStyle name="Migliaia 36 4 8" xfId="39711" xr:uid="{00000000-0005-0000-0000-0000227D0000}"/>
    <cellStyle name="Migliaia 36 4 9" xfId="40197" xr:uid="{00000000-0005-0000-0000-0000237D0000}"/>
    <cellStyle name="Migliaia 36 5" xfId="629" xr:uid="{00000000-0005-0000-0000-0000247D0000}"/>
    <cellStyle name="Migliaia 36 5 2" xfId="19461" xr:uid="{00000000-0005-0000-0000-0000257D0000}"/>
    <cellStyle name="Migliaia 36 5 2 2" xfId="37425" xr:uid="{00000000-0005-0000-0000-0000267D0000}"/>
    <cellStyle name="Migliaia 36 5 3" xfId="11519" xr:uid="{00000000-0005-0000-0000-0000277D0000}"/>
    <cellStyle name="Migliaia 36 5 4" xfId="21559" xr:uid="{00000000-0005-0000-0000-0000287D0000}"/>
    <cellStyle name="Migliaia 36 5 5" xfId="38380" xr:uid="{00000000-0005-0000-0000-0000297D0000}"/>
    <cellStyle name="Migliaia 36 5 6" xfId="39712" xr:uid="{00000000-0005-0000-0000-00002A7D0000}"/>
    <cellStyle name="Migliaia 36 5 7" xfId="40198" xr:uid="{00000000-0005-0000-0000-00002B7D0000}"/>
    <cellStyle name="Migliaia 36 6" xfId="630" xr:uid="{00000000-0005-0000-0000-00002C7D0000}"/>
    <cellStyle name="Migliaia 36 6 2" xfId="11514" xr:uid="{00000000-0005-0000-0000-00002D7D0000}"/>
    <cellStyle name="Migliaia 36 6 3" xfId="21560" xr:uid="{00000000-0005-0000-0000-00002E7D0000}"/>
    <cellStyle name="Migliaia 36 6 4" xfId="39713" xr:uid="{00000000-0005-0000-0000-00002F7D0000}"/>
    <cellStyle name="Migliaia 36 6 5" xfId="40199" xr:uid="{00000000-0005-0000-0000-0000307D0000}"/>
    <cellStyle name="Migliaia 36 7" xfId="12139" xr:uid="{00000000-0005-0000-0000-0000317D0000}"/>
    <cellStyle name="Migliaia 36 7 2" xfId="30324" xr:uid="{00000000-0005-0000-0000-0000327D0000}"/>
    <cellStyle name="Migliaia 36 8" xfId="19454" xr:uid="{00000000-0005-0000-0000-0000337D0000}"/>
    <cellStyle name="Migliaia 36 8 2" xfId="37418" xr:uid="{00000000-0005-0000-0000-0000347D0000}"/>
    <cellStyle name="Migliaia 36 9" xfId="3319" xr:uid="{00000000-0005-0000-0000-0000357D0000}"/>
    <cellStyle name="Migliaia 36 9 2" xfId="23319" xr:uid="{00000000-0005-0000-0000-0000367D0000}"/>
    <cellStyle name="Migliaia 37" xfId="631" xr:uid="{00000000-0005-0000-0000-0000377D0000}"/>
    <cellStyle name="Migliaia 37 10" xfId="21561" xr:uid="{00000000-0005-0000-0000-0000387D0000}"/>
    <cellStyle name="Migliaia 37 11" xfId="38381" xr:uid="{00000000-0005-0000-0000-0000397D0000}"/>
    <cellStyle name="Migliaia 37 12" xfId="39227" xr:uid="{00000000-0005-0000-0000-00003A7D0000}"/>
    <cellStyle name="Migliaia 37 13" xfId="39714" xr:uid="{00000000-0005-0000-0000-00003B7D0000}"/>
    <cellStyle name="Migliaia 37 14" xfId="40200" xr:uid="{00000000-0005-0000-0000-00003C7D0000}"/>
    <cellStyle name="Migliaia 37 2" xfId="632" xr:uid="{00000000-0005-0000-0000-00003D7D0000}"/>
    <cellStyle name="Migliaia 37 2 10" xfId="39715" xr:uid="{00000000-0005-0000-0000-00003E7D0000}"/>
    <cellStyle name="Migliaia 37 2 11" xfId="40201" xr:uid="{00000000-0005-0000-0000-00003F7D0000}"/>
    <cellStyle name="Migliaia 37 2 2" xfId="3568" xr:uid="{00000000-0005-0000-0000-0000407D0000}"/>
    <cellStyle name="Migliaia 37 2 2 2" xfId="12329" xr:uid="{00000000-0005-0000-0000-0000417D0000}"/>
    <cellStyle name="Migliaia 37 2 2 2 2" xfId="30499" xr:uid="{00000000-0005-0000-0000-0000427D0000}"/>
    <cellStyle name="Migliaia 37 2 2 3" xfId="20571" xr:uid="{00000000-0005-0000-0000-0000437D0000}"/>
    <cellStyle name="Migliaia 37 2 2 3 2" xfId="37888" xr:uid="{00000000-0005-0000-0000-0000447D0000}"/>
    <cellStyle name="Migliaia 37 2 2 4" xfId="23497" xr:uid="{00000000-0005-0000-0000-0000457D0000}"/>
    <cellStyle name="Migliaia 37 2 2 5" xfId="38843" xr:uid="{00000000-0005-0000-0000-0000467D0000}"/>
    <cellStyle name="Migliaia 37 2 2 6" xfId="39413" xr:uid="{00000000-0005-0000-0000-0000477D0000}"/>
    <cellStyle name="Migliaia 37 2 3" xfId="11521" xr:uid="{00000000-0005-0000-0000-0000487D0000}"/>
    <cellStyle name="Migliaia 37 2 4" xfId="12144" xr:uid="{00000000-0005-0000-0000-0000497D0000}"/>
    <cellStyle name="Migliaia 37 2 4 2" xfId="30329" xr:uid="{00000000-0005-0000-0000-00004A7D0000}"/>
    <cellStyle name="Migliaia 37 2 5" xfId="19463" xr:uid="{00000000-0005-0000-0000-00004B7D0000}"/>
    <cellStyle name="Migliaia 37 2 5 2" xfId="37427" xr:uid="{00000000-0005-0000-0000-00004C7D0000}"/>
    <cellStyle name="Migliaia 37 2 6" xfId="3324" xr:uid="{00000000-0005-0000-0000-00004D7D0000}"/>
    <cellStyle name="Migliaia 37 2 6 2" xfId="23324" xr:uid="{00000000-0005-0000-0000-00004E7D0000}"/>
    <cellStyle name="Migliaia 37 2 7" xfId="21562" xr:uid="{00000000-0005-0000-0000-00004F7D0000}"/>
    <cellStyle name="Migliaia 37 2 8" xfId="38382" xr:uid="{00000000-0005-0000-0000-0000507D0000}"/>
    <cellStyle name="Migliaia 37 2 9" xfId="39228" xr:uid="{00000000-0005-0000-0000-0000517D0000}"/>
    <cellStyle name="Migliaia 37 3" xfId="633" xr:uid="{00000000-0005-0000-0000-0000527D0000}"/>
    <cellStyle name="Migliaia 37 3 10" xfId="39716" xr:uid="{00000000-0005-0000-0000-0000537D0000}"/>
    <cellStyle name="Migliaia 37 3 11" xfId="40202" xr:uid="{00000000-0005-0000-0000-0000547D0000}"/>
    <cellStyle name="Migliaia 37 3 2" xfId="634" xr:uid="{00000000-0005-0000-0000-0000557D0000}"/>
    <cellStyle name="Migliaia 37 3 2 10" xfId="40203" xr:uid="{00000000-0005-0000-0000-0000567D0000}"/>
    <cellStyle name="Migliaia 37 3 2 2" xfId="11523" xr:uid="{00000000-0005-0000-0000-0000577D0000}"/>
    <cellStyle name="Migliaia 37 3 2 3" xfId="12146" xr:uid="{00000000-0005-0000-0000-0000587D0000}"/>
    <cellStyle name="Migliaia 37 3 2 3 2" xfId="30331" xr:uid="{00000000-0005-0000-0000-0000597D0000}"/>
    <cellStyle name="Migliaia 37 3 2 4" xfId="19465" xr:uid="{00000000-0005-0000-0000-00005A7D0000}"/>
    <cellStyle name="Migliaia 37 3 2 4 2" xfId="37429" xr:uid="{00000000-0005-0000-0000-00005B7D0000}"/>
    <cellStyle name="Migliaia 37 3 2 5" xfId="3326" xr:uid="{00000000-0005-0000-0000-00005C7D0000}"/>
    <cellStyle name="Migliaia 37 3 2 5 2" xfId="23326" xr:uid="{00000000-0005-0000-0000-00005D7D0000}"/>
    <cellStyle name="Migliaia 37 3 2 6" xfId="21564" xr:uid="{00000000-0005-0000-0000-00005E7D0000}"/>
    <cellStyle name="Migliaia 37 3 2 7" xfId="38384" xr:uid="{00000000-0005-0000-0000-00005F7D0000}"/>
    <cellStyle name="Migliaia 37 3 2 8" xfId="39230" xr:uid="{00000000-0005-0000-0000-0000607D0000}"/>
    <cellStyle name="Migliaia 37 3 2 9" xfId="39717" xr:uid="{00000000-0005-0000-0000-0000617D0000}"/>
    <cellStyle name="Migliaia 37 3 3" xfId="11522" xr:uid="{00000000-0005-0000-0000-0000627D0000}"/>
    <cellStyle name="Migliaia 37 3 3 2" xfId="20573" xr:uid="{00000000-0005-0000-0000-0000637D0000}"/>
    <cellStyle name="Migliaia 37 3 3 2 2" xfId="37890" xr:uid="{00000000-0005-0000-0000-0000647D0000}"/>
    <cellStyle name="Migliaia 37 3 3 2 3" xfId="38845" xr:uid="{00000000-0005-0000-0000-0000657D0000}"/>
    <cellStyle name="Migliaia 37 3 3 3" xfId="19466" xr:uid="{00000000-0005-0000-0000-0000667D0000}"/>
    <cellStyle name="Migliaia 37 3 3 3 2" xfId="37430" xr:uid="{00000000-0005-0000-0000-0000677D0000}"/>
    <cellStyle name="Migliaia 37 3 3 4" xfId="38385" xr:uid="{00000000-0005-0000-0000-0000687D0000}"/>
    <cellStyle name="Migliaia 37 3 4" xfId="12145" xr:uid="{00000000-0005-0000-0000-0000697D0000}"/>
    <cellStyle name="Migliaia 37 3 4 2" xfId="20572" xr:uid="{00000000-0005-0000-0000-00006A7D0000}"/>
    <cellStyle name="Migliaia 37 3 4 2 2" xfId="37889" xr:uid="{00000000-0005-0000-0000-00006B7D0000}"/>
    <cellStyle name="Migliaia 37 3 4 3" xfId="30330" xr:uid="{00000000-0005-0000-0000-00006C7D0000}"/>
    <cellStyle name="Migliaia 37 3 4 4" xfId="38844" xr:uid="{00000000-0005-0000-0000-00006D7D0000}"/>
    <cellStyle name="Migliaia 37 3 5" xfId="19464" xr:uid="{00000000-0005-0000-0000-00006E7D0000}"/>
    <cellStyle name="Migliaia 37 3 5 2" xfId="37428" xr:uid="{00000000-0005-0000-0000-00006F7D0000}"/>
    <cellStyle name="Migliaia 37 3 6" xfId="3325" xr:uid="{00000000-0005-0000-0000-0000707D0000}"/>
    <cellStyle name="Migliaia 37 3 6 2" xfId="23325" xr:uid="{00000000-0005-0000-0000-0000717D0000}"/>
    <cellStyle name="Migliaia 37 3 7" xfId="21563" xr:uid="{00000000-0005-0000-0000-0000727D0000}"/>
    <cellStyle name="Migliaia 37 3 8" xfId="38383" xr:uid="{00000000-0005-0000-0000-0000737D0000}"/>
    <cellStyle name="Migliaia 37 3 9" xfId="39229" xr:uid="{00000000-0005-0000-0000-0000747D0000}"/>
    <cellStyle name="Migliaia 37 4" xfId="635" xr:uid="{00000000-0005-0000-0000-0000757D0000}"/>
    <cellStyle name="Migliaia 37 4 2" xfId="19468" xr:uid="{00000000-0005-0000-0000-0000767D0000}"/>
    <cellStyle name="Migliaia 37 4 2 2" xfId="20575" xr:uid="{00000000-0005-0000-0000-0000777D0000}"/>
    <cellStyle name="Migliaia 37 4 2 2 2" xfId="37892" xr:uid="{00000000-0005-0000-0000-0000787D0000}"/>
    <cellStyle name="Migliaia 37 4 2 2 3" xfId="38847" xr:uid="{00000000-0005-0000-0000-0000797D0000}"/>
    <cellStyle name="Migliaia 37 4 2 3" xfId="37432" xr:uid="{00000000-0005-0000-0000-00007A7D0000}"/>
    <cellStyle name="Migliaia 37 4 2 4" xfId="38387" xr:uid="{00000000-0005-0000-0000-00007B7D0000}"/>
    <cellStyle name="Migliaia 37 4 3" xfId="20574" xr:uid="{00000000-0005-0000-0000-00007C7D0000}"/>
    <cellStyle name="Migliaia 37 4 3 2" xfId="37891" xr:uid="{00000000-0005-0000-0000-00007D7D0000}"/>
    <cellStyle name="Migliaia 37 4 3 3" xfId="38846" xr:uid="{00000000-0005-0000-0000-00007E7D0000}"/>
    <cellStyle name="Migliaia 37 4 4" xfId="19467" xr:uid="{00000000-0005-0000-0000-00007F7D0000}"/>
    <cellStyle name="Migliaia 37 4 4 2" xfId="37431" xr:uid="{00000000-0005-0000-0000-0000807D0000}"/>
    <cellStyle name="Migliaia 37 4 5" xfId="11524" xr:uid="{00000000-0005-0000-0000-0000817D0000}"/>
    <cellStyle name="Migliaia 37 4 6" xfId="21565" xr:uid="{00000000-0005-0000-0000-0000827D0000}"/>
    <cellStyle name="Migliaia 37 4 7" xfId="38386" xr:uid="{00000000-0005-0000-0000-0000837D0000}"/>
    <cellStyle name="Migliaia 37 4 8" xfId="39718" xr:uid="{00000000-0005-0000-0000-0000847D0000}"/>
    <cellStyle name="Migliaia 37 4 9" xfId="40204" xr:uid="{00000000-0005-0000-0000-0000857D0000}"/>
    <cellStyle name="Migliaia 37 5" xfId="636" xr:uid="{00000000-0005-0000-0000-0000867D0000}"/>
    <cellStyle name="Migliaia 37 5 2" xfId="19469" xr:uid="{00000000-0005-0000-0000-0000877D0000}"/>
    <cellStyle name="Migliaia 37 5 2 2" xfId="37433" xr:uid="{00000000-0005-0000-0000-0000887D0000}"/>
    <cellStyle name="Migliaia 37 5 3" xfId="11525" xr:uid="{00000000-0005-0000-0000-0000897D0000}"/>
    <cellStyle name="Migliaia 37 5 4" xfId="21566" xr:uid="{00000000-0005-0000-0000-00008A7D0000}"/>
    <cellStyle name="Migliaia 37 5 5" xfId="38388" xr:uid="{00000000-0005-0000-0000-00008B7D0000}"/>
    <cellStyle name="Migliaia 37 5 6" xfId="39719" xr:uid="{00000000-0005-0000-0000-00008C7D0000}"/>
    <cellStyle name="Migliaia 37 5 7" xfId="40205" xr:uid="{00000000-0005-0000-0000-00008D7D0000}"/>
    <cellStyle name="Migliaia 37 6" xfId="637" xr:uid="{00000000-0005-0000-0000-00008E7D0000}"/>
    <cellStyle name="Migliaia 37 6 2" xfId="11520" xr:uid="{00000000-0005-0000-0000-00008F7D0000}"/>
    <cellStyle name="Migliaia 37 6 3" xfId="21567" xr:uid="{00000000-0005-0000-0000-0000907D0000}"/>
    <cellStyle name="Migliaia 37 6 4" xfId="39720" xr:uid="{00000000-0005-0000-0000-0000917D0000}"/>
    <cellStyle name="Migliaia 37 6 5" xfId="40206" xr:uid="{00000000-0005-0000-0000-0000927D0000}"/>
    <cellStyle name="Migliaia 37 7" xfId="12143" xr:uid="{00000000-0005-0000-0000-0000937D0000}"/>
    <cellStyle name="Migliaia 37 7 2" xfId="30328" xr:uid="{00000000-0005-0000-0000-0000947D0000}"/>
    <cellStyle name="Migliaia 37 8" xfId="19462" xr:uid="{00000000-0005-0000-0000-0000957D0000}"/>
    <cellStyle name="Migliaia 37 8 2" xfId="37426" xr:uid="{00000000-0005-0000-0000-0000967D0000}"/>
    <cellStyle name="Migliaia 37 9" xfId="3323" xr:uid="{00000000-0005-0000-0000-0000977D0000}"/>
    <cellStyle name="Migliaia 37 9 2" xfId="23323" xr:uid="{00000000-0005-0000-0000-0000987D0000}"/>
    <cellStyle name="Migliaia 38" xfId="638" xr:uid="{00000000-0005-0000-0000-0000997D0000}"/>
    <cellStyle name="Migliaia 38 10" xfId="21568" xr:uid="{00000000-0005-0000-0000-00009A7D0000}"/>
    <cellStyle name="Migliaia 38 11" xfId="38389" xr:uid="{00000000-0005-0000-0000-00009B7D0000}"/>
    <cellStyle name="Migliaia 38 12" xfId="39231" xr:uid="{00000000-0005-0000-0000-00009C7D0000}"/>
    <cellStyle name="Migliaia 38 13" xfId="39721" xr:uid="{00000000-0005-0000-0000-00009D7D0000}"/>
    <cellStyle name="Migliaia 38 14" xfId="40207" xr:uid="{00000000-0005-0000-0000-00009E7D0000}"/>
    <cellStyle name="Migliaia 38 2" xfId="639" xr:uid="{00000000-0005-0000-0000-00009F7D0000}"/>
    <cellStyle name="Migliaia 38 2 10" xfId="39722" xr:uid="{00000000-0005-0000-0000-0000A07D0000}"/>
    <cellStyle name="Migliaia 38 2 11" xfId="40208" xr:uid="{00000000-0005-0000-0000-0000A17D0000}"/>
    <cellStyle name="Migliaia 38 2 2" xfId="3569" xr:uid="{00000000-0005-0000-0000-0000A27D0000}"/>
    <cellStyle name="Migliaia 38 2 2 2" xfId="12330" xr:uid="{00000000-0005-0000-0000-0000A37D0000}"/>
    <cellStyle name="Migliaia 38 2 2 2 2" xfId="30500" xr:uid="{00000000-0005-0000-0000-0000A47D0000}"/>
    <cellStyle name="Migliaia 38 2 2 3" xfId="20576" xr:uid="{00000000-0005-0000-0000-0000A57D0000}"/>
    <cellStyle name="Migliaia 38 2 2 3 2" xfId="37893" xr:uid="{00000000-0005-0000-0000-0000A67D0000}"/>
    <cellStyle name="Migliaia 38 2 2 4" xfId="23498" xr:uid="{00000000-0005-0000-0000-0000A77D0000}"/>
    <cellStyle name="Migliaia 38 2 2 5" xfId="38848" xr:uid="{00000000-0005-0000-0000-0000A87D0000}"/>
    <cellStyle name="Migliaia 38 2 2 6" xfId="39414" xr:uid="{00000000-0005-0000-0000-0000A97D0000}"/>
    <cellStyle name="Migliaia 38 2 3" xfId="11527" xr:uid="{00000000-0005-0000-0000-0000AA7D0000}"/>
    <cellStyle name="Migliaia 38 2 4" xfId="12148" xr:uid="{00000000-0005-0000-0000-0000AB7D0000}"/>
    <cellStyle name="Migliaia 38 2 4 2" xfId="30333" xr:uid="{00000000-0005-0000-0000-0000AC7D0000}"/>
    <cellStyle name="Migliaia 38 2 5" xfId="19471" xr:uid="{00000000-0005-0000-0000-0000AD7D0000}"/>
    <cellStyle name="Migliaia 38 2 5 2" xfId="37435" xr:uid="{00000000-0005-0000-0000-0000AE7D0000}"/>
    <cellStyle name="Migliaia 38 2 6" xfId="3328" xr:uid="{00000000-0005-0000-0000-0000AF7D0000}"/>
    <cellStyle name="Migliaia 38 2 6 2" xfId="23328" xr:uid="{00000000-0005-0000-0000-0000B07D0000}"/>
    <cellStyle name="Migliaia 38 2 7" xfId="21569" xr:uid="{00000000-0005-0000-0000-0000B17D0000}"/>
    <cellStyle name="Migliaia 38 2 8" xfId="38390" xr:uid="{00000000-0005-0000-0000-0000B27D0000}"/>
    <cellStyle name="Migliaia 38 2 9" xfId="39232" xr:uid="{00000000-0005-0000-0000-0000B37D0000}"/>
    <cellStyle name="Migliaia 38 3" xfId="640" xr:uid="{00000000-0005-0000-0000-0000B47D0000}"/>
    <cellStyle name="Migliaia 38 3 10" xfId="39723" xr:uid="{00000000-0005-0000-0000-0000B57D0000}"/>
    <cellStyle name="Migliaia 38 3 11" xfId="40209" xr:uid="{00000000-0005-0000-0000-0000B67D0000}"/>
    <cellStyle name="Migliaia 38 3 2" xfId="641" xr:uid="{00000000-0005-0000-0000-0000B77D0000}"/>
    <cellStyle name="Migliaia 38 3 2 10" xfId="40210" xr:uid="{00000000-0005-0000-0000-0000B87D0000}"/>
    <cellStyle name="Migliaia 38 3 2 2" xfId="11529" xr:uid="{00000000-0005-0000-0000-0000B97D0000}"/>
    <cellStyle name="Migliaia 38 3 2 3" xfId="12150" xr:uid="{00000000-0005-0000-0000-0000BA7D0000}"/>
    <cellStyle name="Migliaia 38 3 2 3 2" xfId="30335" xr:uid="{00000000-0005-0000-0000-0000BB7D0000}"/>
    <cellStyle name="Migliaia 38 3 2 4" xfId="19473" xr:uid="{00000000-0005-0000-0000-0000BC7D0000}"/>
    <cellStyle name="Migliaia 38 3 2 4 2" xfId="37437" xr:uid="{00000000-0005-0000-0000-0000BD7D0000}"/>
    <cellStyle name="Migliaia 38 3 2 5" xfId="3330" xr:uid="{00000000-0005-0000-0000-0000BE7D0000}"/>
    <cellStyle name="Migliaia 38 3 2 5 2" xfId="23330" xr:uid="{00000000-0005-0000-0000-0000BF7D0000}"/>
    <cellStyle name="Migliaia 38 3 2 6" xfId="21571" xr:uid="{00000000-0005-0000-0000-0000C07D0000}"/>
    <cellStyle name="Migliaia 38 3 2 7" xfId="38392" xr:uid="{00000000-0005-0000-0000-0000C17D0000}"/>
    <cellStyle name="Migliaia 38 3 2 8" xfId="39234" xr:uid="{00000000-0005-0000-0000-0000C27D0000}"/>
    <cellStyle name="Migliaia 38 3 2 9" xfId="39724" xr:uid="{00000000-0005-0000-0000-0000C37D0000}"/>
    <cellStyle name="Migliaia 38 3 3" xfId="11528" xr:uid="{00000000-0005-0000-0000-0000C47D0000}"/>
    <cellStyle name="Migliaia 38 3 3 2" xfId="20578" xr:uid="{00000000-0005-0000-0000-0000C57D0000}"/>
    <cellStyle name="Migliaia 38 3 3 2 2" xfId="37895" xr:uid="{00000000-0005-0000-0000-0000C67D0000}"/>
    <cellStyle name="Migliaia 38 3 3 2 3" xfId="38850" xr:uid="{00000000-0005-0000-0000-0000C77D0000}"/>
    <cellStyle name="Migliaia 38 3 3 3" xfId="19474" xr:uid="{00000000-0005-0000-0000-0000C87D0000}"/>
    <cellStyle name="Migliaia 38 3 3 3 2" xfId="37438" xr:uid="{00000000-0005-0000-0000-0000C97D0000}"/>
    <cellStyle name="Migliaia 38 3 3 4" xfId="38393" xr:uid="{00000000-0005-0000-0000-0000CA7D0000}"/>
    <cellStyle name="Migliaia 38 3 4" xfId="12149" xr:uid="{00000000-0005-0000-0000-0000CB7D0000}"/>
    <cellStyle name="Migliaia 38 3 4 2" xfId="20577" xr:uid="{00000000-0005-0000-0000-0000CC7D0000}"/>
    <cellStyle name="Migliaia 38 3 4 2 2" xfId="37894" xr:uid="{00000000-0005-0000-0000-0000CD7D0000}"/>
    <cellStyle name="Migliaia 38 3 4 3" xfId="30334" xr:uid="{00000000-0005-0000-0000-0000CE7D0000}"/>
    <cellStyle name="Migliaia 38 3 4 4" xfId="38849" xr:uid="{00000000-0005-0000-0000-0000CF7D0000}"/>
    <cellStyle name="Migliaia 38 3 5" xfId="19472" xr:uid="{00000000-0005-0000-0000-0000D07D0000}"/>
    <cellStyle name="Migliaia 38 3 5 2" xfId="37436" xr:uid="{00000000-0005-0000-0000-0000D17D0000}"/>
    <cellStyle name="Migliaia 38 3 6" xfId="3329" xr:uid="{00000000-0005-0000-0000-0000D27D0000}"/>
    <cellStyle name="Migliaia 38 3 6 2" xfId="23329" xr:uid="{00000000-0005-0000-0000-0000D37D0000}"/>
    <cellStyle name="Migliaia 38 3 7" xfId="21570" xr:uid="{00000000-0005-0000-0000-0000D47D0000}"/>
    <cellStyle name="Migliaia 38 3 8" xfId="38391" xr:uid="{00000000-0005-0000-0000-0000D57D0000}"/>
    <cellStyle name="Migliaia 38 3 9" xfId="39233" xr:uid="{00000000-0005-0000-0000-0000D67D0000}"/>
    <cellStyle name="Migliaia 38 4" xfId="642" xr:uid="{00000000-0005-0000-0000-0000D77D0000}"/>
    <cellStyle name="Migliaia 38 4 2" xfId="19476" xr:uid="{00000000-0005-0000-0000-0000D87D0000}"/>
    <cellStyle name="Migliaia 38 4 2 2" xfId="20580" xr:uid="{00000000-0005-0000-0000-0000D97D0000}"/>
    <cellStyle name="Migliaia 38 4 2 2 2" xfId="37897" xr:uid="{00000000-0005-0000-0000-0000DA7D0000}"/>
    <cellStyle name="Migliaia 38 4 2 2 3" xfId="38852" xr:uid="{00000000-0005-0000-0000-0000DB7D0000}"/>
    <cellStyle name="Migliaia 38 4 2 3" xfId="37440" xr:uid="{00000000-0005-0000-0000-0000DC7D0000}"/>
    <cellStyle name="Migliaia 38 4 2 4" xfId="38395" xr:uid="{00000000-0005-0000-0000-0000DD7D0000}"/>
    <cellStyle name="Migliaia 38 4 3" xfId="20579" xr:uid="{00000000-0005-0000-0000-0000DE7D0000}"/>
    <cellStyle name="Migliaia 38 4 3 2" xfId="37896" xr:uid="{00000000-0005-0000-0000-0000DF7D0000}"/>
    <cellStyle name="Migliaia 38 4 3 3" xfId="38851" xr:uid="{00000000-0005-0000-0000-0000E07D0000}"/>
    <cellStyle name="Migliaia 38 4 4" xfId="19475" xr:uid="{00000000-0005-0000-0000-0000E17D0000}"/>
    <cellStyle name="Migliaia 38 4 4 2" xfId="37439" xr:uid="{00000000-0005-0000-0000-0000E27D0000}"/>
    <cellStyle name="Migliaia 38 4 5" xfId="11530" xr:uid="{00000000-0005-0000-0000-0000E37D0000}"/>
    <cellStyle name="Migliaia 38 4 6" xfId="21572" xr:uid="{00000000-0005-0000-0000-0000E47D0000}"/>
    <cellStyle name="Migliaia 38 4 7" xfId="38394" xr:uid="{00000000-0005-0000-0000-0000E57D0000}"/>
    <cellStyle name="Migliaia 38 4 8" xfId="39725" xr:uid="{00000000-0005-0000-0000-0000E67D0000}"/>
    <cellStyle name="Migliaia 38 4 9" xfId="40211" xr:uid="{00000000-0005-0000-0000-0000E77D0000}"/>
    <cellStyle name="Migliaia 38 5" xfId="643" xr:uid="{00000000-0005-0000-0000-0000E87D0000}"/>
    <cellStyle name="Migliaia 38 5 2" xfId="19477" xr:uid="{00000000-0005-0000-0000-0000E97D0000}"/>
    <cellStyle name="Migliaia 38 5 2 2" xfId="37441" xr:uid="{00000000-0005-0000-0000-0000EA7D0000}"/>
    <cellStyle name="Migliaia 38 5 3" xfId="11531" xr:uid="{00000000-0005-0000-0000-0000EB7D0000}"/>
    <cellStyle name="Migliaia 38 5 4" xfId="21573" xr:uid="{00000000-0005-0000-0000-0000EC7D0000}"/>
    <cellStyle name="Migliaia 38 5 5" xfId="38396" xr:uid="{00000000-0005-0000-0000-0000ED7D0000}"/>
    <cellStyle name="Migliaia 38 5 6" xfId="39726" xr:uid="{00000000-0005-0000-0000-0000EE7D0000}"/>
    <cellStyle name="Migliaia 38 5 7" xfId="40212" xr:uid="{00000000-0005-0000-0000-0000EF7D0000}"/>
    <cellStyle name="Migliaia 38 6" xfId="644" xr:uid="{00000000-0005-0000-0000-0000F07D0000}"/>
    <cellStyle name="Migliaia 38 6 2" xfId="11526" xr:uid="{00000000-0005-0000-0000-0000F17D0000}"/>
    <cellStyle name="Migliaia 38 6 3" xfId="21574" xr:uid="{00000000-0005-0000-0000-0000F27D0000}"/>
    <cellStyle name="Migliaia 38 6 4" xfId="39727" xr:uid="{00000000-0005-0000-0000-0000F37D0000}"/>
    <cellStyle name="Migliaia 38 6 5" xfId="40213" xr:uid="{00000000-0005-0000-0000-0000F47D0000}"/>
    <cellStyle name="Migliaia 38 7" xfId="12147" xr:uid="{00000000-0005-0000-0000-0000F57D0000}"/>
    <cellStyle name="Migliaia 38 7 2" xfId="30332" xr:uid="{00000000-0005-0000-0000-0000F67D0000}"/>
    <cellStyle name="Migliaia 38 8" xfId="19470" xr:uid="{00000000-0005-0000-0000-0000F77D0000}"/>
    <cellStyle name="Migliaia 38 8 2" xfId="37434" xr:uid="{00000000-0005-0000-0000-0000F87D0000}"/>
    <cellStyle name="Migliaia 38 9" xfId="3327" xr:uid="{00000000-0005-0000-0000-0000F97D0000}"/>
    <cellStyle name="Migliaia 38 9 2" xfId="23327" xr:uid="{00000000-0005-0000-0000-0000FA7D0000}"/>
    <cellStyle name="Migliaia 39" xfId="645" xr:uid="{00000000-0005-0000-0000-0000FB7D0000}"/>
    <cellStyle name="Migliaia 39 10" xfId="21575" xr:uid="{00000000-0005-0000-0000-0000FC7D0000}"/>
    <cellStyle name="Migliaia 39 11" xfId="38397" xr:uid="{00000000-0005-0000-0000-0000FD7D0000}"/>
    <cellStyle name="Migliaia 39 12" xfId="39235" xr:uid="{00000000-0005-0000-0000-0000FE7D0000}"/>
    <cellStyle name="Migliaia 39 13" xfId="39728" xr:uid="{00000000-0005-0000-0000-0000FF7D0000}"/>
    <cellStyle name="Migliaia 39 14" xfId="40214" xr:uid="{00000000-0005-0000-0000-0000007E0000}"/>
    <cellStyle name="Migliaia 39 2" xfId="646" xr:uid="{00000000-0005-0000-0000-0000017E0000}"/>
    <cellStyle name="Migliaia 39 2 10" xfId="39729" xr:uid="{00000000-0005-0000-0000-0000027E0000}"/>
    <cellStyle name="Migliaia 39 2 11" xfId="40215" xr:uid="{00000000-0005-0000-0000-0000037E0000}"/>
    <cellStyle name="Migliaia 39 2 2" xfId="3570" xr:uid="{00000000-0005-0000-0000-0000047E0000}"/>
    <cellStyle name="Migliaia 39 2 2 2" xfId="12331" xr:uid="{00000000-0005-0000-0000-0000057E0000}"/>
    <cellStyle name="Migliaia 39 2 2 2 2" xfId="30501" xr:uid="{00000000-0005-0000-0000-0000067E0000}"/>
    <cellStyle name="Migliaia 39 2 2 3" xfId="20581" xr:uid="{00000000-0005-0000-0000-0000077E0000}"/>
    <cellStyle name="Migliaia 39 2 2 3 2" xfId="37898" xr:uid="{00000000-0005-0000-0000-0000087E0000}"/>
    <cellStyle name="Migliaia 39 2 2 4" xfId="23499" xr:uid="{00000000-0005-0000-0000-0000097E0000}"/>
    <cellStyle name="Migliaia 39 2 2 5" xfId="38853" xr:uid="{00000000-0005-0000-0000-00000A7E0000}"/>
    <cellStyle name="Migliaia 39 2 2 6" xfId="39415" xr:uid="{00000000-0005-0000-0000-00000B7E0000}"/>
    <cellStyle name="Migliaia 39 2 3" xfId="11533" xr:uid="{00000000-0005-0000-0000-00000C7E0000}"/>
    <cellStyle name="Migliaia 39 2 4" xfId="12152" xr:uid="{00000000-0005-0000-0000-00000D7E0000}"/>
    <cellStyle name="Migliaia 39 2 4 2" xfId="30337" xr:uid="{00000000-0005-0000-0000-00000E7E0000}"/>
    <cellStyle name="Migliaia 39 2 5" xfId="19479" xr:uid="{00000000-0005-0000-0000-00000F7E0000}"/>
    <cellStyle name="Migliaia 39 2 5 2" xfId="37443" xr:uid="{00000000-0005-0000-0000-0000107E0000}"/>
    <cellStyle name="Migliaia 39 2 6" xfId="3332" xr:uid="{00000000-0005-0000-0000-0000117E0000}"/>
    <cellStyle name="Migliaia 39 2 6 2" xfId="23332" xr:uid="{00000000-0005-0000-0000-0000127E0000}"/>
    <cellStyle name="Migliaia 39 2 7" xfId="21576" xr:uid="{00000000-0005-0000-0000-0000137E0000}"/>
    <cellStyle name="Migliaia 39 2 8" xfId="38398" xr:uid="{00000000-0005-0000-0000-0000147E0000}"/>
    <cellStyle name="Migliaia 39 2 9" xfId="39236" xr:uid="{00000000-0005-0000-0000-0000157E0000}"/>
    <cellStyle name="Migliaia 39 3" xfId="647" xr:uid="{00000000-0005-0000-0000-0000167E0000}"/>
    <cellStyle name="Migliaia 39 3 10" xfId="39730" xr:uid="{00000000-0005-0000-0000-0000177E0000}"/>
    <cellStyle name="Migliaia 39 3 11" xfId="40216" xr:uid="{00000000-0005-0000-0000-0000187E0000}"/>
    <cellStyle name="Migliaia 39 3 2" xfId="648" xr:uid="{00000000-0005-0000-0000-0000197E0000}"/>
    <cellStyle name="Migliaia 39 3 2 10" xfId="40217" xr:uid="{00000000-0005-0000-0000-00001A7E0000}"/>
    <cellStyle name="Migliaia 39 3 2 2" xfId="11535" xr:uid="{00000000-0005-0000-0000-00001B7E0000}"/>
    <cellStyle name="Migliaia 39 3 2 3" xfId="12154" xr:uid="{00000000-0005-0000-0000-00001C7E0000}"/>
    <cellStyle name="Migliaia 39 3 2 3 2" xfId="30339" xr:uid="{00000000-0005-0000-0000-00001D7E0000}"/>
    <cellStyle name="Migliaia 39 3 2 4" xfId="19481" xr:uid="{00000000-0005-0000-0000-00001E7E0000}"/>
    <cellStyle name="Migliaia 39 3 2 4 2" xfId="37445" xr:uid="{00000000-0005-0000-0000-00001F7E0000}"/>
    <cellStyle name="Migliaia 39 3 2 5" xfId="3334" xr:uid="{00000000-0005-0000-0000-0000207E0000}"/>
    <cellStyle name="Migliaia 39 3 2 5 2" xfId="23334" xr:uid="{00000000-0005-0000-0000-0000217E0000}"/>
    <cellStyle name="Migliaia 39 3 2 6" xfId="21578" xr:uid="{00000000-0005-0000-0000-0000227E0000}"/>
    <cellStyle name="Migliaia 39 3 2 7" xfId="38400" xr:uid="{00000000-0005-0000-0000-0000237E0000}"/>
    <cellStyle name="Migliaia 39 3 2 8" xfId="39238" xr:uid="{00000000-0005-0000-0000-0000247E0000}"/>
    <cellStyle name="Migliaia 39 3 2 9" xfId="39731" xr:uid="{00000000-0005-0000-0000-0000257E0000}"/>
    <cellStyle name="Migliaia 39 3 3" xfId="11534" xr:uid="{00000000-0005-0000-0000-0000267E0000}"/>
    <cellStyle name="Migliaia 39 3 3 2" xfId="20583" xr:uid="{00000000-0005-0000-0000-0000277E0000}"/>
    <cellStyle name="Migliaia 39 3 3 2 2" xfId="37900" xr:uid="{00000000-0005-0000-0000-0000287E0000}"/>
    <cellStyle name="Migliaia 39 3 3 2 3" xfId="38855" xr:uid="{00000000-0005-0000-0000-0000297E0000}"/>
    <cellStyle name="Migliaia 39 3 3 3" xfId="19482" xr:uid="{00000000-0005-0000-0000-00002A7E0000}"/>
    <cellStyle name="Migliaia 39 3 3 3 2" xfId="37446" xr:uid="{00000000-0005-0000-0000-00002B7E0000}"/>
    <cellStyle name="Migliaia 39 3 3 4" xfId="38401" xr:uid="{00000000-0005-0000-0000-00002C7E0000}"/>
    <cellStyle name="Migliaia 39 3 4" xfId="12153" xr:uid="{00000000-0005-0000-0000-00002D7E0000}"/>
    <cellStyle name="Migliaia 39 3 4 2" xfId="20582" xr:uid="{00000000-0005-0000-0000-00002E7E0000}"/>
    <cellStyle name="Migliaia 39 3 4 2 2" xfId="37899" xr:uid="{00000000-0005-0000-0000-00002F7E0000}"/>
    <cellStyle name="Migliaia 39 3 4 3" xfId="30338" xr:uid="{00000000-0005-0000-0000-0000307E0000}"/>
    <cellStyle name="Migliaia 39 3 4 4" xfId="38854" xr:uid="{00000000-0005-0000-0000-0000317E0000}"/>
    <cellStyle name="Migliaia 39 3 5" xfId="19480" xr:uid="{00000000-0005-0000-0000-0000327E0000}"/>
    <cellStyle name="Migliaia 39 3 5 2" xfId="37444" xr:uid="{00000000-0005-0000-0000-0000337E0000}"/>
    <cellStyle name="Migliaia 39 3 6" xfId="3333" xr:uid="{00000000-0005-0000-0000-0000347E0000}"/>
    <cellStyle name="Migliaia 39 3 6 2" xfId="23333" xr:uid="{00000000-0005-0000-0000-0000357E0000}"/>
    <cellStyle name="Migliaia 39 3 7" xfId="21577" xr:uid="{00000000-0005-0000-0000-0000367E0000}"/>
    <cellStyle name="Migliaia 39 3 8" xfId="38399" xr:uid="{00000000-0005-0000-0000-0000377E0000}"/>
    <cellStyle name="Migliaia 39 3 9" xfId="39237" xr:uid="{00000000-0005-0000-0000-0000387E0000}"/>
    <cellStyle name="Migliaia 39 4" xfId="649" xr:uid="{00000000-0005-0000-0000-0000397E0000}"/>
    <cellStyle name="Migliaia 39 4 2" xfId="19484" xr:uid="{00000000-0005-0000-0000-00003A7E0000}"/>
    <cellStyle name="Migliaia 39 4 2 2" xfId="20585" xr:uid="{00000000-0005-0000-0000-00003B7E0000}"/>
    <cellStyle name="Migliaia 39 4 2 2 2" xfId="37902" xr:uid="{00000000-0005-0000-0000-00003C7E0000}"/>
    <cellStyle name="Migliaia 39 4 2 2 3" xfId="38857" xr:uid="{00000000-0005-0000-0000-00003D7E0000}"/>
    <cellStyle name="Migliaia 39 4 2 3" xfId="37448" xr:uid="{00000000-0005-0000-0000-00003E7E0000}"/>
    <cellStyle name="Migliaia 39 4 2 4" xfId="38403" xr:uid="{00000000-0005-0000-0000-00003F7E0000}"/>
    <cellStyle name="Migliaia 39 4 3" xfId="20584" xr:uid="{00000000-0005-0000-0000-0000407E0000}"/>
    <cellStyle name="Migliaia 39 4 3 2" xfId="37901" xr:uid="{00000000-0005-0000-0000-0000417E0000}"/>
    <cellStyle name="Migliaia 39 4 3 3" xfId="38856" xr:uid="{00000000-0005-0000-0000-0000427E0000}"/>
    <cellStyle name="Migliaia 39 4 4" xfId="19483" xr:uid="{00000000-0005-0000-0000-0000437E0000}"/>
    <cellStyle name="Migliaia 39 4 4 2" xfId="37447" xr:uid="{00000000-0005-0000-0000-0000447E0000}"/>
    <cellStyle name="Migliaia 39 4 5" xfId="11536" xr:uid="{00000000-0005-0000-0000-0000457E0000}"/>
    <cellStyle name="Migliaia 39 4 6" xfId="21579" xr:uid="{00000000-0005-0000-0000-0000467E0000}"/>
    <cellStyle name="Migliaia 39 4 7" xfId="38402" xr:uid="{00000000-0005-0000-0000-0000477E0000}"/>
    <cellStyle name="Migliaia 39 4 8" xfId="39732" xr:uid="{00000000-0005-0000-0000-0000487E0000}"/>
    <cellStyle name="Migliaia 39 4 9" xfId="40218" xr:uid="{00000000-0005-0000-0000-0000497E0000}"/>
    <cellStyle name="Migliaia 39 5" xfId="650" xr:uid="{00000000-0005-0000-0000-00004A7E0000}"/>
    <cellStyle name="Migliaia 39 5 2" xfId="19485" xr:uid="{00000000-0005-0000-0000-00004B7E0000}"/>
    <cellStyle name="Migliaia 39 5 2 2" xfId="37449" xr:uid="{00000000-0005-0000-0000-00004C7E0000}"/>
    <cellStyle name="Migliaia 39 5 3" xfId="11537" xr:uid="{00000000-0005-0000-0000-00004D7E0000}"/>
    <cellStyle name="Migliaia 39 5 4" xfId="21580" xr:uid="{00000000-0005-0000-0000-00004E7E0000}"/>
    <cellStyle name="Migliaia 39 5 5" xfId="38404" xr:uid="{00000000-0005-0000-0000-00004F7E0000}"/>
    <cellStyle name="Migliaia 39 5 6" xfId="39733" xr:uid="{00000000-0005-0000-0000-0000507E0000}"/>
    <cellStyle name="Migliaia 39 5 7" xfId="40219" xr:uid="{00000000-0005-0000-0000-0000517E0000}"/>
    <cellStyle name="Migliaia 39 6" xfId="651" xr:uid="{00000000-0005-0000-0000-0000527E0000}"/>
    <cellStyle name="Migliaia 39 6 2" xfId="11532" xr:uid="{00000000-0005-0000-0000-0000537E0000}"/>
    <cellStyle name="Migliaia 39 6 3" xfId="21581" xr:uid="{00000000-0005-0000-0000-0000547E0000}"/>
    <cellStyle name="Migliaia 39 6 4" xfId="39734" xr:uid="{00000000-0005-0000-0000-0000557E0000}"/>
    <cellStyle name="Migliaia 39 6 5" xfId="40220" xr:uid="{00000000-0005-0000-0000-0000567E0000}"/>
    <cellStyle name="Migliaia 39 7" xfId="12151" xr:uid="{00000000-0005-0000-0000-0000577E0000}"/>
    <cellStyle name="Migliaia 39 7 2" xfId="30336" xr:uid="{00000000-0005-0000-0000-0000587E0000}"/>
    <cellStyle name="Migliaia 39 8" xfId="19478" xr:uid="{00000000-0005-0000-0000-0000597E0000}"/>
    <cellStyle name="Migliaia 39 8 2" xfId="37442" xr:uid="{00000000-0005-0000-0000-00005A7E0000}"/>
    <cellStyle name="Migliaia 39 9" xfId="3331" xr:uid="{00000000-0005-0000-0000-00005B7E0000}"/>
    <cellStyle name="Migliaia 39 9 2" xfId="23331" xr:uid="{00000000-0005-0000-0000-00005C7E0000}"/>
    <cellStyle name="Migliaia 4" xfId="652" xr:uid="{00000000-0005-0000-0000-00005D7E0000}"/>
    <cellStyle name="Migliaia 4 10" xfId="21582" xr:uid="{00000000-0005-0000-0000-00005E7E0000}"/>
    <cellStyle name="Migliaia 4 11" xfId="38405" xr:uid="{00000000-0005-0000-0000-00005F7E0000}"/>
    <cellStyle name="Migliaia 4 12" xfId="39239" xr:uid="{00000000-0005-0000-0000-0000607E0000}"/>
    <cellStyle name="Migliaia 4 13" xfId="39735" xr:uid="{00000000-0005-0000-0000-0000617E0000}"/>
    <cellStyle name="Migliaia 4 14" xfId="40221" xr:uid="{00000000-0005-0000-0000-0000627E0000}"/>
    <cellStyle name="Migliaia 4 2" xfId="653" xr:uid="{00000000-0005-0000-0000-0000637E0000}"/>
    <cellStyle name="Migliaia 4 2 10" xfId="39736" xr:uid="{00000000-0005-0000-0000-0000647E0000}"/>
    <cellStyle name="Migliaia 4 2 11" xfId="40222" xr:uid="{00000000-0005-0000-0000-0000657E0000}"/>
    <cellStyle name="Migliaia 4 2 2" xfId="3571" xr:uid="{00000000-0005-0000-0000-0000667E0000}"/>
    <cellStyle name="Migliaia 4 2 2 2" xfId="12332" xr:uid="{00000000-0005-0000-0000-0000677E0000}"/>
    <cellStyle name="Migliaia 4 2 2 2 2" xfId="30502" xr:uid="{00000000-0005-0000-0000-0000687E0000}"/>
    <cellStyle name="Migliaia 4 2 2 3" xfId="20586" xr:uid="{00000000-0005-0000-0000-0000697E0000}"/>
    <cellStyle name="Migliaia 4 2 2 3 2" xfId="37903" xr:uid="{00000000-0005-0000-0000-00006A7E0000}"/>
    <cellStyle name="Migliaia 4 2 2 4" xfId="23500" xr:uid="{00000000-0005-0000-0000-00006B7E0000}"/>
    <cellStyle name="Migliaia 4 2 2 5" xfId="38858" xr:uid="{00000000-0005-0000-0000-00006C7E0000}"/>
    <cellStyle name="Migliaia 4 2 2 6" xfId="39416" xr:uid="{00000000-0005-0000-0000-00006D7E0000}"/>
    <cellStyle name="Migliaia 4 2 3" xfId="11539" xr:uid="{00000000-0005-0000-0000-00006E7E0000}"/>
    <cellStyle name="Migliaia 4 2 4" xfId="12156" xr:uid="{00000000-0005-0000-0000-00006F7E0000}"/>
    <cellStyle name="Migliaia 4 2 4 2" xfId="30341" xr:uid="{00000000-0005-0000-0000-0000707E0000}"/>
    <cellStyle name="Migliaia 4 2 5" xfId="19487" xr:uid="{00000000-0005-0000-0000-0000717E0000}"/>
    <cellStyle name="Migliaia 4 2 5 2" xfId="37451" xr:uid="{00000000-0005-0000-0000-0000727E0000}"/>
    <cellStyle name="Migliaia 4 2 6" xfId="3336" xr:uid="{00000000-0005-0000-0000-0000737E0000}"/>
    <cellStyle name="Migliaia 4 2 6 2" xfId="23336" xr:uid="{00000000-0005-0000-0000-0000747E0000}"/>
    <cellStyle name="Migliaia 4 2 7" xfId="21583" xr:uid="{00000000-0005-0000-0000-0000757E0000}"/>
    <cellStyle name="Migliaia 4 2 8" xfId="38406" xr:uid="{00000000-0005-0000-0000-0000767E0000}"/>
    <cellStyle name="Migliaia 4 2 9" xfId="39240" xr:uid="{00000000-0005-0000-0000-0000777E0000}"/>
    <cellStyle name="Migliaia 4 3" xfId="654" xr:uid="{00000000-0005-0000-0000-0000787E0000}"/>
    <cellStyle name="Migliaia 4 3 10" xfId="39737" xr:uid="{00000000-0005-0000-0000-0000797E0000}"/>
    <cellStyle name="Migliaia 4 3 11" xfId="40223" xr:uid="{00000000-0005-0000-0000-00007A7E0000}"/>
    <cellStyle name="Migliaia 4 3 2" xfId="655" xr:uid="{00000000-0005-0000-0000-00007B7E0000}"/>
    <cellStyle name="Migliaia 4 3 2 10" xfId="40224" xr:uid="{00000000-0005-0000-0000-00007C7E0000}"/>
    <cellStyle name="Migliaia 4 3 2 2" xfId="11541" xr:uid="{00000000-0005-0000-0000-00007D7E0000}"/>
    <cellStyle name="Migliaia 4 3 2 3" xfId="12158" xr:uid="{00000000-0005-0000-0000-00007E7E0000}"/>
    <cellStyle name="Migliaia 4 3 2 3 2" xfId="30343" xr:uid="{00000000-0005-0000-0000-00007F7E0000}"/>
    <cellStyle name="Migliaia 4 3 2 4" xfId="19489" xr:uid="{00000000-0005-0000-0000-0000807E0000}"/>
    <cellStyle name="Migliaia 4 3 2 4 2" xfId="37453" xr:uid="{00000000-0005-0000-0000-0000817E0000}"/>
    <cellStyle name="Migliaia 4 3 2 5" xfId="3338" xr:uid="{00000000-0005-0000-0000-0000827E0000}"/>
    <cellStyle name="Migliaia 4 3 2 5 2" xfId="23338" xr:uid="{00000000-0005-0000-0000-0000837E0000}"/>
    <cellStyle name="Migliaia 4 3 2 6" xfId="21585" xr:uid="{00000000-0005-0000-0000-0000847E0000}"/>
    <cellStyle name="Migliaia 4 3 2 7" xfId="38408" xr:uid="{00000000-0005-0000-0000-0000857E0000}"/>
    <cellStyle name="Migliaia 4 3 2 8" xfId="39242" xr:uid="{00000000-0005-0000-0000-0000867E0000}"/>
    <cellStyle name="Migliaia 4 3 2 9" xfId="39738" xr:uid="{00000000-0005-0000-0000-0000877E0000}"/>
    <cellStyle name="Migliaia 4 3 3" xfId="11540" xr:uid="{00000000-0005-0000-0000-0000887E0000}"/>
    <cellStyle name="Migliaia 4 3 3 2" xfId="20588" xr:uid="{00000000-0005-0000-0000-0000897E0000}"/>
    <cellStyle name="Migliaia 4 3 3 2 2" xfId="37905" xr:uid="{00000000-0005-0000-0000-00008A7E0000}"/>
    <cellStyle name="Migliaia 4 3 3 2 3" xfId="38860" xr:uid="{00000000-0005-0000-0000-00008B7E0000}"/>
    <cellStyle name="Migliaia 4 3 3 3" xfId="19490" xr:uid="{00000000-0005-0000-0000-00008C7E0000}"/>
    <cellStyle name="Migliaia 4 3 3 3 2" xfId="37454" xr:uid="{00000000-0005-0000-0000-00008D7E0000}"/>
    <cellStyle name="Migliaia 4 3 3 4" xfId="38409" xr:uid="{00000000-0005-0000-0000-00008E7E0000}"/>
    <cellStyle name="Migliaia 4 3 4" xfId="12157" xr:uid="{00000000-0005-0000-0000-00008F7E0000}"/>
    <cellStyle name="Migliaia 4 3 4 2" xfId="20587" xr:uid="{00000000-0005-0000-0000-0000907E0000}"/>
    <cellStyle name="Migliaia 4 3 4 2 2" xfId="37904" xr:uid="{00000000-0005-0000-0000-0000917E0000}"/>
    <cellStyle name="Migliaia 4 3 4 3" xfId="30342" xr:uid="{00000000-0005-0000-0000-0000927E0000}"/>
    <cellStyle name="Migliaia 4 3 4 4" xfId="38859" xr:uid="{00000000-0005-0000-0000-0000937E0000}"/>
    <cellStyle name="Migliaia 4 3 5" xfId="19488" xr:uid="{00000000-0005-0000-0000-0000947E0000}"/>
    <cellStyle name="Migliaia 4 3 5 2" xfId="37452" xr:uid="{00000000-0005-0000-0000-0000957E0000}"/>
    <cellStyle name="Migliaia 4 3 6" xfId="3337" xr:uid="{00000000-0005-0000-0000-0000967E0000}"/>
    <cellStyle name="Migliaia 4 3 6 2" xfId="23337" xr:uid="{00000000-0005-0000-0000-0000977E0000}"/>
    <cellStyle name="Migliaia 4 3 7" xfId="21584" xr:uid="{00000000-0005-0000-0000-0000987E0000}"/>
    <cellStyle name="Migliaia 4 3 8" xfId="38407" xr:uid="{00000000-0005-0000-0000-0000997E0000}"/>
    <cellStyle name="Migliaia 4 3 9" xfId="39241" xr:uid="{00000000-0005-0000-0000-00009A7E0000}"/>
    <cellStyle name="Migliaia 4 4" xfId="656" xr:uid="{00000000-0005-0000-0000-00009B7E0000}"/>
    <cellStyle name="Migliaia 4 4 2" xfId="19492" xr:uid="{00000000-0005-0000-0000-00009C7E0000}"/>
    <cellStyle name="Migliaia 4 4 2 2" xfId="20590" xr:uid="{00000000-0005-0000-0000-00009D7E0000}"/>
    <cellStyle name="Migliaia 4 4 2 2 2" xfId="37907" xr:uid="{00000000-0005-0000-0000-00009E7E0000}"/>
    <cellStyle name="Migliaia 4 4 2 2 3" xfId="38862" xr:uid="{00000000-0005-0000-0000-00009F7E0000}"/>
    <cellStyle name="Migliaia 4 4 2 3" xfId="37456" xr:uid="{00000000-0005-0000-0000-0000A07E0000}"/>
    <cellStyle name="Migliaia 4 4 2 4" xfId="38411" xr:uid="{00000000-0005-0000-0000-0000A17E0000}"/>
    <cellStyle name="Migliaia 4 4 3" xfId="20589" xr:uid="{00000000-0005-0000-0000-0000A27E0000}"/>
    <cellStyle name="Migliaia 4 4 3 2" xfId="37906" xr:uid="{00000000-0005-0000-0000-0000A37E0000}"/>
    <cellStyle name="Migliaia 4 4 3 3" xfId="38861" xr:uid="{00000000-0005-0000-0000-0000A47E0000}"/>
    <cellStyle name="Migliaia 4 4 4" xfId="19491" xr:uid="{00000000-0005-0000-0000-0000A57E0000}"/>
    <cellStyle name="Migliaia 4 4 4 2" xfId="37455" xr:uid="{00000000-0005-0000-0000-0000A67E0000}"/>
    <cellStyle name="Migliaia 4 4 5" xfId="11542" xr:uid="{00000000-0005-0000-0000-0000A77E0000}"/>
    <cellStyle name="Migliaia 4 4 6" xfId="21586" xr:uid="{00000000-0005-0000-0000-0000A87E0000}"/>
    <cellStyle name="Migliaia 4 4 7" xfId="38410" xr:uid="{00000000-0005-0000-0000-0000A97E0000}"/>
    <cellStyle name="Migliaia 4 4 8" xfId="39739" xr:uid="{00000000-0005-0000-0000-0000AA7E0000}"/>
    <cellStyle name="Migliaia 4 4 9" xfId="40225" xr:uid="{00000000-0005-0000-0000-0000AB7E0000}"/>
    <cellStyle name="Migliaia 4 5" xfId="657" xr:uid="{00000000-0005-0000-0000-0000AC7E0000}"/>
    <cellStyle name="Migliaia 4 5 2" xfId="19493" xr:uid="{00000000-0005-0000-0000-0000AD7E0000}"/>
    <cellStyle name="Migliaia 4 5 2 2" xfId="37457" xr:uid="{00000000-0005-0000-0000-0000AE7E0000}"/>
    <cellStyle name="Migliaia 4 5 3" xfId="11543" xr:uid="{00000000-0005-0000-0000-0000AF7E0000}"/>
    <cellStyle name="Migliaia 4 5 4" xfId="21587" xr:uid="{00000000-0005-0000-0000-0000B07E0000}"/>
    <cellStyle name="Migliaia 4 5 5" xfId="38412" xr:uid="{00000000-0005-0000-0000-0000B17E0000}"/>
    <cellStyle name="Migliaia 4 5 6" xfId="39740" xr:uid="{00000000-0005-0000-0000-0000B27E0000}"/>
    <cellStyle name="Migliaia 4 5 7" xfId="40226" xr:uid="{00000000-0005-0000-0000-0000B37E0000}"/>
    <cellStyle name="Migliaia 4 6" xfId="658" xr:uid="{00000000-0005-0000-0000-0000B47E0000}"/>
    <cellStyle name="Migliaia 4 6 2" xfId="11538" xr:uid="{00000000-0005-0000-0000-0000B57E0000}"/>
    <cellStyle name="Migliaia 4 6 3" xfId="21588" xr:uid="{00000000-0005-0000-0000-0000B67E0000}"/>
    <cellStyle name="Migliaia 4 6 4" xfId="39741" xr:uid="{00000000-0005-0000-0000-0000B77E0000}"/>
    <cellStyle name="Migliaia 4 6 5" xfId="40227" xr:uid="{00000000-0005-0000-0000-0000B87E0000}"/>
    <cellStyle name="Migliaia 4 7" xfId="12155" xr:uid="{00000000-0005-0000-0000-0000B97E0000}"/>
    <cellStyle name="Migliaia 4 7 2" xfId="30340" xr:uid="{00000000-0005-0000-0000-0000BA7E0000}"/>
    <cellStyle name="Migliaia 4 8" xfId="19486" xr:uid="{00000000-0005-0000-0000-0000BB7E0000}"/>
    <cellStyle name="Migliaia 4 8 2" xfId="37450" xr:uid="{00000000-0005-0000-0000-0000BC7E0000}"/>
    <cellStyle name="Migliaia 4 9" xfId="3335" xr:uid="{00000000-0005-0000-0000-0000BD7E0000}"/>
    <cellStyle name="Migliaia 4 9 2" xfId="23335" xr:uid="{00000000-0005-0000-0000-0000BE7E0000}"/>
    <cellStyle name="Migliaia 40" xfId="659" xr:uid="{00000000-0005-0000-0000-0000BF7E0000}"/>
    <cellStyle name="Migliaia 40 10" xfId="21589" xr:uid="{00000000-0005-0000-0000-0000C07E0000}"/>
    <cellStyle name="Migliaia 40 11" xfId="38413" xr:uid="{00000000-0005-0000-0000-0000C17E0000}"/>
    <cellStyle name="Migliaia 40 12" xfId="39243" xr:uid="{00000000-0005-0000-0000-0000C27E0000}"/>
    <cellStyle name="Migliaia 40 13" xfId="39742" xr:uid="{00000000-0005-0000-0000-0000C37E0000}"/>
    <cellStyle name="Migliaia 40 14" xfId="40228" xr:uid="{00000000-0005-0000-0000-0000C47E0000}"/>
    <cellStyle name="Migliaia 40 2" xfId="660" xr:uid="{00000000-0005-0000-0000-0000C57E0000}"/>
    <cellStyle name="Migliaia 40 2 10" xfId="39743" xr:uid="{00000000-0005-0000-0000-0000C67E0000}"/>
    <cellStyle name="Migliaia 40 2 11" xfId="40229" xr:uid="{00000000-0005-0000-0000-0000C77E0000}"/>
    <cellStyle name="Migliaia 40 2 2" xfId="3572" xr:uid="{00000000-0005-0000-0000-0000C87E0000}"/>
    <cellStyle name="Migliaia 40 2 2 2" xfId="12333" xr:uid="{00000000-0005-0000-0000-0000C97E0000}"/>
    <cellStyle name="Migliaia 40 2 2 2 2" xfId="30503" xr:uid="{00000000-0005-0000-0000-0000CA7E0000}"/>
    <cellStyle name="Migliaia 40 2 2 3" xfId="20591" xr:uid="{00000000-0005-0000-0000-0000CB7E0000}"/>
    <cellStyle name="Migliaia 40 2 2 3 2" xfId="37908" xr:uid="{00000000-0005-0000-0000-0000CC7E0000}"/>
    <cellStyle name="Migliaia 40 2 2 4" xfId="23501" xr:uid="{00000000-0005-0000-0000-0000CD7E0000}"/>
    <cellStyle name="Migliaia 40 2 2 5" xfId="38863" xr:uid="{00000000-0005-0000-0000-0000CE7E0000}"/>
    <cellStyle name="Migliaia 40 2 2 6" xfId="39417" xr:uid="{00000000-0005-0000-0000-0000CF7E0000}"/>
    <cellStyle name="Migliaia 40 2 3" xfId="11545" xr:uid="{00000000-0005-0000-0000-0000D07E0000}"/>
    <cellStyle name="Migliaia 40 2 4" xfId="12160" xr:uid="{00000000-0005-0000-0000-0000D17E0000}"/>
    <cellStyle name="Migliaia 40 2 4 2" xfId="30345" xr:uid="{00000000-0005-0000-0000-0000D27E0000}"/>
    <cellStyle name="Migliaia 40 2 5" xfId="19495" xr:uid="{00000000-0005-0000-0000-0000D37E0000}"/>
    <cellStyle name="Migliaia 40 2 5 2" xfId="37459" xr:uid="{00000000-0005-0000-0000-0000D47E0000}"/>
    <cellStyle name="Migliaia 40 2 6" xfId="3340" xr:uid="{00000000-0005-0000-0000-0000D57E0000}"/>
    <cellStyle name="Migliaia 40 2 6 2" xfId="23340" xr:uid="{00000000-0005-0000-0000-0000D67E0000}"/>
    <cellStyle name="Migliaia 40 2 7" xfId="21590" xr:uid="{00000000-0005-0000-0000-0000D77E0000}"/>
    <cellStyle name="Migliaia 40 2 8" xfId="38414" xr:uid="{00000000-0005-0000-0000-0000D87E0000}"/>
    <cellStyle name="Migliaia 40 2 9" xfId="39244" xr:uid="{00000000-0005-0000-0000-0000D97E0000}"/>
    <cellStyle name="Migliaia 40 3" xfId="661" xr:uid="{00000000-0005-0000-0000-0000DA7E0000}"/>
    <cellStyle name="Migliaia 40 3 10" xfId="39744" xr:uid="{00000000-0005-0000-0000-0000DB7E0000}"/>
    <cellStyle name="Migliaia 40 3 11" xfId="40230" xr:uid="{00000000-0005-0000-0000-0000DC7E0000}"/>
    <cellStyle name="Migliaia 40 3 2" xfId="662" xr:uid="{00000000-0005-0000-0000-0000DD7E0000}"/>
    <cellStyle name="Migliaia 40 3 2 10" xfId="40231" xr:uid="{00000000-0005-0000-0000-0000DE7E0000}"/>
    <cellStyle name="Migliaia 40 3 2 2" xfId="11547" xr:uid="{00000000-0005-0000-0000-0000DF7E0000}"/>
    <cellStyle name="Migliaia 40 3 2 3" xfId="12162" xr:uid="{00000000-0005-0000-0000-0000E07E0000}"/>
    <cellStyle name="Migliaia 40 3 2 3 2" xfId="30347" xr:uid="{00000000-0005-0000-0000-0000E17E0000}"/>
    <cellStyle name="Migliaia 40 3 2 4" xfId="19497" xr:uid="{00000000-0005-0000-0000-0000E27E0000}"/>
    <cellStyle name="Migliaia 40 3 2 4 2" xfId="37461" xr:uid="{00000000-0005-0000-0000-0000E37E0000}"/>
    <cellStyle name="Migliaia 40 3 2 5" xfId="3342" xr:uid="{00000000-0005-0000-0000-0000E47E0000}"/>
    <cellStyle name="Migliaia 40 3 2 5 2" xfId="23342" xr:uid="{00000000-0005-0000-0000-0000E57E0000}"/>
    <cellStyle name="Migliaia 40 3 2 6" xfId="21592" xr:uid="{00000000-0005-0000-0000-0000E67E0000}"/>
    <cellStyle name="Migliaia 40 3 2 7" xfId="38416" xr:uid="{00000000-0005-0000-0000-0000E77E0000}"/>
    <cellStyle name="Migliaia 40 3 2 8" xfId="39246" xr:uid="{00000000-0005-0000-0000-0000E87E0000}"/>
    <cellStyle name="Migliaia 40 3 2 9" xfId="39745" xr:uid="{00000000-0005-0000-0000-0000E97E0000}"/>
    <cellStyle name="Migliaia 40 3 3" xfId="11546" xr:uid="{00000000-0005-0000-0000-0000EA7E0000}"/>
    <cellStyle name="Migliaia 40 3 3 2" xfId="20593" xr:uid="{00000000-0005-0000-0000-0000EB7E0000}"/>
    <cellStyle name="Migliaia 40 3 3 2 2" xfId="37910" xr:uid="{00000000-0005-0000-0000-0000EC7E0000}"/>
    <cellStyle name="Migliaia 40 3 3 2 3" xfId="38865" xr:uid="{00000000-0005-0000-0000-0000ED7E0000}"/>
    <cellStyle name="Migliaia 40 3 3 3" xfId="19498" xr:uid="{00000000-0005-0000-0000-0000EE7E0000}"/>
    <cellStyle name="Migliaia 40 3 3 3 2" xfId="37462" xr:uid="{00000000-0005-0000-0000-0000EF7E0000}"/>
    <cellStyle name="Migliaia 40 3 3 4" xfId="38417" xr:uid="{00000000-0005-0000-0000-0000F07E0000}"/>
    <cellStyle name="Migliaia 40 3 4" xfId="12161" xr:uid="{00000000-0005-0000-0000-0000F17E0000}"/>
    <cellStyle name="Migliaia 40 3 4 2" xfId="20592" xr:uid="{00000000-0005-0000-0000-0000F27E0000}"/>
    <cellStyle name="Migliaia 40 3 4 2 2" xfId="37909" xr:uid="{00000000-0005-0000-0000-0000F37E0000}"/>
    <cellStyle name="Migliaia 40 3 4 3" xfId="30346" xr:uid="{00000000-0005-0000-0000-0000F47E0000}"/>
    <cellStyle name="Migliaia 40 3 4 4" xfId="38864" xr:uid="{00000000-0005-0000-0000-0000F57E0000}"/>
    <cellStyle name="Migliaia 40 3 5" xfId="19496" xr:uid="{00000000-0005-0000-0000-0000F67E0000}"/>
    <cellStyle name="Migliaia 40 3 5 2" xfId="37460" xr:uid="{00000000-0005-0000-0000-0000F77E0000}"/>
    <cellStyle name="Migliaia 40 3 6" xfId="3341" xr:uid="{00000000-0005-0000-0000-0000F87E0000}"/>
    <cellStyle name="Migliaia 40 3 6 2" xfId="23341" xr:uid="{00000000-0005-0000-0000-0000F97E0000}"/>
    <cellStyle name="Migliaia 40 3 7" xfId="21591" xr:uid="{00000000-0005-0000-0000-0000FA7E0000}"/>
    <cellStyle name="Migliaia 40 3 8" xfId="38415" xr:uid="{00000000-0005-0000-0000-0000FB7E0000}"/>
    <cellStyle name="Migliaia 40 3 9" xfId="39245" xr:uid="{00000000-0005-0000-0000-0000FC7E0000}"/>
    <cellStyle name="Migliaia 40 4" xfId="663" xr:uid="{00000000-0005-0000-0000-0000FD7E0000}"/>
    <cellStyle name="Migliaia 40 4 2" xfId="19500" xr:uid="{00000000-0005-0000-0000-0000FE7E0000}"/>
    <cellStyle name="Migliaia 40 4 2 2" xfId="20595" xr:uid="{00000000-0005-0000-0000-0000FF7E0000}"/>
    <cellStyle name="Migliaia 40 4 2 2 2" xfId="37912" xr:uid="{00000000-0005-0000-0000-0000007F0000}"/>
    <cellStyle name="Migliaia 40 4 2 2 3" xfId="38867" xr:uid="{00000000-0005-0000-0000-0000017F0000}"/>
    <cellStyle name="Migliaia 40 4 2 3" xfId="37464" xr:uid="{00000000-0005-0000-0000-0000027F0000}"/>
    <cellStyle name="Migliaia 40 4 2 4" xfId="38419" xr:uid="{00000000-0005-0000-0000-0000037F0000}"/>
    <cellStyle name="Migliaia 40 4 3" xfId="20594" xr:uid="{00000000-0005-0000-0000-0000047F0000}"/>
    <cellStyle name="Migliaia 40 4 3 2" xfId="37911" xr:uid="{00000000-0005-0000-0000-0000057F0000}"/>
    <cellStyle name="Migliaia 40 4 3 3" xfId="38866" xr:uid="{00000000-0005-0000-0000-0000067F0000}"/>
    <cellStyle name="Migliaia 40 4 4" xfId="19499" xr:uid="{00000000-0005-0000-0000-0000077F0000}"/>
    <cellStyle name="Migliaia 40 4 4 2" xfId="37463" xr:uid="{00000000-0005-0000-0000-0000087F0000}"/>
    <cellStyle name="Migliaia 40 4 5" xfId="11548" xr:uid="{00000000-0005-0000-0000-0000097F0000}"/>
    <cellStyle name="Migliaia 40 4 6" xfId="21593" xr:uid="{00000000-0005-0000-0000-00000A7F0000}"/>
    <cellStyle name="Migliaia 40 4 7" xfId="38418" xr:uid="{00000000-0005-0000-0000-00000B7F0000}"/>
    <cellStyle name="Migliaia 40 4 8" xfId="39746" xr:uid="{00000000-0005-0000-0000-00000C7F0000}"/>
    <cellStyle name="Migliaia 40 4 9" xfId="40232" xr:uid="{00000000-0005-0000-0000-00000D7F0000}"/>
    <cellStyle name="Migliaia 40 5" xfId="664" xr:uid="{00000000-0005-0000-0000-00000E7F0000}"/>
    <cellStyle name="Migliaia 40 5 2" xfId="19501" xr:uid="{00000000-0005-0000-0000-00000F7F0000}"/>
    <cellStyle name="Migliaia 40 5 2 2" xfId="37465" xr:uid="{00000000-0005-0000-0000-0000107F0000}"/>
    <cellStyle name="Migliaia 40 5 3" xfId="11549" xr:uid="{00000000-0005-0000-0000-0000117F0000}"/>
    <cellStyle name="Migliaia 40 5 4" xfId="21594" xr:uid="{00000000-0005-0000-0000-0000127F0000}"/>
    <cellStyle name="Migliaia 40 5 5" xfId="38420" xr:uid="{00000000-0005-0000-0000-0000137F0000}"/>
    <cellStyle name="Migliaia 40 5 6" xfId="39747" xr:uid="{00000000-0005-0000-0000-0000147F0000}"/>
    <cellStyle name="Migliaia 40 5 7" xfId="40233" xr:uid="{00000000-0005-0000-0000-0000157F0000}"/>
    <cellStyle name="Migliaia 40 6" xfId="665" xr:uid="{00000000-0005-0000-0000-0000167F0000}"/>
    <cellStyle name="Migliaia 40 6 2" xfId="11544" xr:uid="{00000000-0005-0000-0000-0000177F0000}"/>
    <cellStyle name="Migliaia 40 6 3" xfId="21595" xr:uid="{00000000-0005-0000-0000-0000187F0000}"/>
    <cellStyle name="Migliaia 40 6 4" xfId="39748" xr:uid="{00000000-0005-0000-0000-0000197F0000}"/>
    <cellStyle name="Migliaia 40 6 5" xfId="40234" xr:uid="{00000000-0005-0000-0000-00001A7F0000}"/>
    <cellStyle name="Migliaia 40 7" xfId="12159" xr:uid="{00000000-0005-0000-0000-00001B7F0000}"/>
    <cellStyle name="Migliaia 40 7 2" xfId="30344" xr:uid="{00000000-0005-0000-0000-00001C7F0000}"/>
    <cellStyle name="Migliaia 40 8" xfId="19494" xr:uid="{00000000-0005-0000-0000-00001D7F0000}"/>
    <cellStyle name="Migliaia 40 8 2" xfId="37458" xr:uid="{00000000-0005-0000-0000-00001E7F0000}"/>
    <cellStyle name="Migliaia 40 9" xfId="3339" xr:uid="{00000000-0005-0000-0000-00001F7F0000}"/>
    <cellStyle name="Migliaia 40 9 2" xfId="23339" xr:uid="{00000000-0005-0000-0000-0000207F0000}"/>
    <cellStyle name="Migliaia 41" xfId="666" xr:uid="{00000000-0005-0000-0000-0000217F0000}"/>
    <cellStyle name="Migliaia 41 10" xfId="21596" xr:uid="{00000000-0005-0000-0000-0000227F0000}"/>
    <cellStyle name="Migliaia 41 11" xfId="38421" xr:uid="{00000000-0005-0000-0000-0000237F0000}"/>
    <cellStyle name="Migliaia 41 12" xfId="39247" xr:uid="{00000000-0005-0000-0000-0000247F0000}"/>
    <cellStyle name="Migliaia 41 13" xfId="39749" xr:uid="{00000000-0005-0000-0000-0000257F0000}"/>
    <cellStyle name="Migliaia 41 14" xfId="40235" xr:uid="{00000000-0005-0000-0000-0000267F0000}"/>
    <cellStyle name="Migliaia 41 2" xfId="667" xr:uid="{00000000-0005-0000-0000-0000277F0000}"/>
    <cellStyle name="Migliaia 41 2 10" xfId="39750" xr:uid="{00000000-0005-0000-0000-0000287F0000}"/>
    <cellStyle name="Migliaia 41 2 11" xfId="40236" xr:uid="{00000000-0005-0000-0000-0000297F0000}"/>
    <cellStyle name="Migliaia 41 2 2" xfId="3573" xr:uid="{00000000-0005-0000-0000-00002A7F0000}"/>
    <cellStyle name="Migliaia 41 2 2 2" xfId="12334" xr:uid="{00000000-0005-0000-0000-00002B7F0000}"/>
    <cellStyle name="Migliaia 41 2 2 2 2" xfId="30504" xr:uid="{00000000-0005-0000-0000-00002C7F0000}"/>
    <cellStyle name="Migliaia 41 2 2 3" xfId="20596" xr:uid="{00000000-0005-0000-0000-00002D7F0000}"/>
    <cellStyle name="Migliaia 41 2 2 3 2" xfId="37913" xr:uid="{00000000-0005-0000-0000-00002E7F0000}"/>
    <cellStyle name="Migliaia 41 2 2 4" xfId="23502" xr:uid="{00000000-0005-0000-0000-00002F7F0000}"/>
    <cellStyle name="Migliaia 41 2 2 5" xfId="38868" xr:uid="{00000000-0005-0000-0000-0000307F0000}"/>
    <cellStyle name="Migliaia 41 2 2 6" xfId="39418" xr:uid="{00000000-0005-0000-0000-0000317F0000}"/>
    <cellStyle name="Migliaia 41 2 3" xfId="11551" xr:uid="{00000000-0005-0000-0000-0000327F0000}"/>
    <cellStyle name="Migliaia 41 2 4" xfId="12164" xr:uid="{00000000-0005-0000-0000-0000337F0000}"/>
    <cellStyle name="Migliaia 41 2 4 2" xfId="30349" xr:uid="{00000000-0005-0000-0000-0000347F0000}"/>
    <cellStyle name="Migliaia 41 2 5" xfId="19503" xr:uid="{00000000-0005-0000-0000-0000357F0000}"/>
    <cellStyle name="Migliaia 41 2 5 2" xfId="37467" xr:uid="{00000000-0005-0000-0000-0000367F0000}"/>
    <cellStyle name="Migliaia 41 2 6" xfId="3344" xr:uid="{00000000-0005-0000-0000-0000377F0000}"/>
    <cellStyle name="Migliaia 41 2 6 2" xfId="23344" xr:uid="{00000000-0005-0000-0000-0000387F0000}"/>
    <cellStyle name="Migliaia 41 2 7" xfId="21597" xr:uid="{00000000-0005-0000-0000-0000397F0000}"/>
    <cellStyle name="Migliaia 41 2 8" xfId="38422" xr:uid="{00000000-0005-0000-0000-00003A7F0000}"/>
    <cellStyle name="Migliaia 41 2 9" xfId="39248" xr:uid="{00000000-0005-0000-0000-00003B7F0000}"/>
    <cellStyle name="Migliaia 41 3" xfId="668" xr:uid="{00000000-0005-0000-0000-00003C7F0000}"/>
    <cellStyle name="Migliaia 41 3 10" xfId="39751" xr:uid="{00000000-0005-0000-0000-00003D7F0000}"/>
    <cellStyle name="Migliaia 41 3 11" xfId="40237" xr:uid="{00000000-0005-0000-0000-00003E7F0000}"/>
    <cellStyle name="Migliaia 41 3 2" xfId="669" xr:uid="{00000000-0005-0000-0000-00003F7F0000}"/>
    <cellStyle name="Migliaia 41 3 2 10" xfId="40238" xr:uid="{00000000-0005-0000-0000-0000407F0000}"/>
    <cellStyle name="Migliaia 41 3 2 2" xfId="11553" xr:uid="{00000000-0005-0000-0000-0000417F0000}"/>
    <cellStyle name="Migliaia 41 3 2 3" xfId="12166" xr:uid="{00000000-0005-0000-0000-0000427F0000}"/>
    <cellStyle name="Migliaia 41 3 2 3 2" xfId="30351" xr:uid="{00000000-0005-0000-0000-0000437F0000}"/>
    <cellStyle name="Migliaia 41 3 2 4" xfId="19505" xr:uid="{00000000-0005-0000-0000-0000447F0000}"/>
    <cellStyle name="Migliaia 41 3 2 4 2" xfId="37469" xr:uid="{00000000-0005-0000-0000-0000457F0000}"/>
    <cellStyle name="Migliaia 41 3 2 5" xfId="3346" xr:uid="{00000000-0005-0000-0000-0000467F0000}"/>
    <cellStyle name="Migliaia 41 3 2 5 2" xfId="23346" xr:uid="{00000000-0005-0000-0000-0000477F0000}"/>
    <cellStyle name="Migliaia 41 3 2 6" xfId="21599" xr:uid="{00000000-0005-0000-0000-0000487F0000}"/>
    <cellStyle name="Migliaia 41 3 2 7" xfId="38424" xr:uid="{00000000-0005-0000-0000-0000497F0000}"/>
    <cellStyle name="Migliaia 41 3 2 8" xfId="39250" xr:uid="{00000000-0005-0000-0000-00004A7F0000}"/>
    <cellStyle name="Migliaia 41 3 2 9" xfId="39752" xr:uid="{00000000-0005-0000-0000-00004B7F0000}"/>
    <cellStyle name="Migliaia 41 3 3" xfId="11552" xr:uid="{00000000-0005-0000-0000-00004C7F0000}"/>
    <cellStyle name="Migliaia 41 3 3 2" xfId="20598" xr:uid="{00000000-0005-0000-0000-00004D7F0000}"/>
    <cellStyle name="Migliaia 41 3 3 2 2" xfId="37915" xr:uid="{00000000-0005-0000-0000-00004E7F0000}"/>
    <cellStyle name="Migliaia 41 3 3 2 3" xfId="38870" xr:uid="{00000000-0005-0000-0000-00004F7F0000}"/>
    <cellStyle name="Migliaia 41 3 3 3" xfId="19506" xr:uid="{00000000-0005-0000-0000-0000507F0000}"/>
    <cellStyle name="Migliaia 41 3 3 3 2" xfId="37470" xr:uid="{00000000-0005-0000-0000-0000517F0000}"/>
    <cellStyle name="Migliaia 41 3 3 4" xfId="38425" xr:uid="{00000000-0005-0000-0000-0000527F0000}"/>
    <cellStyle name="Migliaia 41 3 4" xfId="12165" xr:uid="{00000000-0005-0000-0000-0000537F0000}"/>
    <cellStyle name="Migliaia 41 3 4 2" xfId="20597" xr:uid="{00000000-0005-0000-0000-0000547F0000}"/>
    <cellStyle name="Migliaia 41 3 4 2 2" xfId="37914" xr:uid="{00000000-0005-0000-0000-0000557F0000}"/>
    <cellStyle name="Migliaia 41 3 4 3" xfId="30350" xr:uid="{00000000-0005-0000-0000-0000567F0000}"/>
    <cellStyle name="Migliaia 41 3 4 4" xfId="38869" xr:uid="{00000000-0005-0000-0000-0000577F0000}"/>
    <cellStyle name="Migliaia 41 3 5" xfId="19504" xr:uid="{00000000-0005-0000-0000-0000587F0000}"/>
    <cellStyle name="Migliaia 41 3 5 2" xfId="37468" xr:uid="{00000000-0005-0000-0000-0000597F0000}"/>
    <cellStyle name="Migliaia 41 3 6" xfId="3345" xr:uid="{00000000-0005-0000-0000-00005A7F0000}"/>
    <cellStyle name="Migliaia 41 3 6 2" xfId="23345" xr:uid="{00000000-0005-0000-0000-00005B7F0000}"/>
    <cellStyle name="Migliaia 41 3 7" xfId="21598" xr:uid="{00000000-0005-0000-0000-00005C7F0000}"/>
    <cellStyle name="Migliaia 41 3 8" xfId="38423" xr:uid="{00000000-0005-0000-0000-00005D7F0000}"/>
    <cellStyle name="Migliaia 41 3 9" xfId="39249" xr:uid="{00000000-0005-0000-0000-00005E7F0000}"/>
    <cellStyle name="Migliaia 41 4" xfId="670" xr:uid="{00000000-0005-0000-0000-00005F7F0000}"/>
    <cellStyle name="Migliaia 41 4 2" xfId="19508" xr:uid="{00000000-0005-0000-0000-0000607F0000}"/>
    <cellStyle name="Migliaia 41 4 2 2" xfId="20600" xr:uid="{00000000-0005-0000-0000-0000617F0000}"/>
    <cellStyle name="Migliaia 41 4 2 2 2" xfId="37917" xr:uid="{00000000-0005-0000-0000-0000627F0000}"/>
    <cellStyle name="Migliaia 41 4 2 2 3" xfId="38872" xr:uid="{00000000-0005-0000-0000-0000637F0000}"/>
    <cellStyle name="Migliaia 41 4 2 3" xfId="37472" xr:uid="{00000000-0005-0000-0000-0000647F0000}"/>
    <cellStyle name="Migliaia 41 4 2 4" xfId="38427" xr:uid="{00000000-0005-0000-0000-0000657F0000}"/>
    <cellStyle name="Migliaia 41 4 3" xfId="20599" xr:uid="{00000000-0005-0000-0000-0000667F0000}"/>
    <cellStyle name="Migliaia 41 4 3 2" xfId="37916" xr:uid="{00000000-0005-0000-0000-0000677F0000}"/>
    <cellStyle name="Migliaia 41 4 3 3" xfId="38871" xr:uid="{00000000-0005-0000-0000-0000687F0000}"/>
    <cellStyle name="Migliaia 41 4 4" xfId="19507" xr:uid="{00000000-0005-0000-0000-0000697F0000}"/>
    <cellStyle name="Migliaia 41 4 4 2" xfId="37471" xr:uid="{00000000-0005-0000-0000-00006A7F0000}"/>
    <cellStyle name="Migliaia 41 4 5" xfId="11554" xr:uid="{00000000-0005-0000-0000-00006B7F0000}"/>
    <cellStyle name="Migliaia 41 4 6" xfId="21600" xr:uid="{00000000-0005-0000-0000-00006C7F0000}"/>
    <cellStyle name="Migliaia 41 4 7" xfId="38426" xr:uid="{00000000-0005-0000-0000-00006D7F0000}"/>
    <cellStyle name="Migliaia 41 4 8" xfId="39753" xr:uid="{00000000-0005-0000-0000-00006E7F0000}"/>
    <cellStyle name="Migliaia 41 4 9" xfId="40239" xr:uid="{00000000-0005-0000-0000-00006F7F0000}"/>
    <cellStyle name="Migliaia 41 5" xfId="671" xr:uid="{00000000-0005-0000-0000-0000707F0000}"/>
    <cellStyle name="Migliaia 41 5 2" xfId="19509" xr:uid="{00000000-0005-0000-0000-0000717F0000}"/>
    <cellStyle name="Migliaia 41 5 2 2" xfId="37473" xr:uid="{00000000-0005-0000-0000-0000727F0000}"/>
    <cellStyle name="Migliaia 41 5 3" xfId="11555" xr:uid="{00000000-0005-0000-0000-0000737F0000}"/>
    <cellStyle name="Migliaia 41 5 4" xfId="21601" xr:uid="{00000000-0005-0000-0000-0000747F0000}"/>
    <cellStyle name="Migliaia 41 5 5" xfId="38428" xr:uid="{00000000-0005-0000-0000-0000757F0000}"/>
    <cellStyle name="Migliaia 41 5 6" xfId="39754" xr:uid="{00000000-0005-0000-0000-0000767F0000}"/>
    <cellStyle name="Migliaia 41 5 7" xfId="40240" xr:uid="{00000000-0005-0000-0000-0000777F0000}"/>
    <cellStyle name="Migliaia 41 6" xfId="672" xr:uid="{00000000-0005-0000-0000-0000787F0000}"/>
    <cellStyle name="Migliaia 41 6 2" xfId="11550" xr:uid="{00000000-0005-0000-0000-0000797F0000}"/>
    <cellStyle name="Migliaia 41 6 3" xfId="21602" xr:uid="{00000000-0005-0000-0000-00007A7F0000}"/>
    <cellStyle name="Migliaia 41 6 4" xfId="39755" xr:uid="{00000000-0005-0000-0000-00007B7F0000}"/>
    <cellStyle name="Migliaia 41 6 5" xfId="40241" xr:uid="{00000000-0005-0000-0000-00007C7F0000}"/>
    <cellStyle name="Migliaia 41 7" xfId="12163" xr:uid="{00000000-0005-0000-0000-00007D7F0000}"/>
    <cellStyle name="Migliaia 41 7 2" xfId="30348" xr:uid="{00000000-0005-0000-0000-00007E7F0000}"/>
    <cellStyle name="Migliaia 41 8" xfId="19502" xr:uid="{00000000-0005-0000-0000-00007F7F0000}"/>
    <cellStyle name="Migliaia 41 8 2" xfId="37466" xr:uid="{00000000-0005-0000-0000-0000807F0000}"/>
    <cellStyle name="Migliaia 41 9" xfId="3343" xr:uid="{00000000-0005-0000-0000-0000817F0000}"/>
    <cellStyle name="Migliaia 41 9 2" xfId="23343" xr:uid="{00000000-0005-0000-0000-0000827F0000}"/>
    <cellStyle name="Migliaia 42" xfId="673" xr:uid="{00000000-0005-0000-0000-0000837F0000}"/>
    <cellStyle name="Migliaia 42 10" xfId="21603" xr:uid="{00000000-0005-0000-0000-0000847F0000}"/>
    <cellStyle name="Migliaia 42 11" xfId="38429" xr:uid="{00000000-0005-0000-0000-0000857F0000}"/>
    <cellStyle name="Migliaia 42 12" xfId="39251" xr:uid="{00000000-0005-0000-0000-0000867F0000}"/>
    <cellStyle name="Migliaia 42 13" xfId="39756" xr:uid="{00000000-0005-0000-0000-0000877F0000}"/>
    <cellStyle name="Migliaia 42 14" xfId="40242" xr:uid="{00000000-0005-0000-0000-0000887F0000}"/>
    <cellStyle name="Migliaia 42 2" xfId="674" xr:uid="{00000000-0005-0000-0000-0000897F0000}"/>
    <cellStyle name="Migliaia 42 2 10" xfId="39757" xr:uid="{00000000-0005-0000-0000-00008A7F0000}"/>
    <cellStyle name="Migliaia 42 2 11" xfId="40243" xr:uid="{00000000-0005-0000-0000-00008B7F0000}"/>
    <cellStyle name="Migliaia 42 2 2" xfId="3574" xr:uid="{00000000-0005-0000-0000-00008C7F0000}"/>
    <cellStyle name="Migliaia 42 2 2 2" xfId="12335" xr:uid="{00000000-0005-0000-0000-00008D7F0000}"/>
    <cellStyle name="Migliaia 42 2 2 2 2" xfId="30505" xr:uid="{00000000-0005-0000-0000-00008E7F0000}"/>
    <cellStyle name="Migliaia 42 2 2 3" xfId="20601" xr:uid="{00000000-0005-0000-0000-00008F7F0000}"/>
    <cellStyle name="Migliaia 42 2 2 3 2" xfId="37918" xr:uid="{00000000-0005-0000-0000-0000907F0000}"/>
    <cellStyle name="Migliaia 42 2 2 4" xfId="23503" xr:uid="{00000000-0005-0000-0000-0000917F0000}"/>
    <cellStyle name="Migliaia 42 2 2 5" xfId="38873" xr:uid="{00000000-0005-0000-0000-0000927F0000}"/>
    <cellStyle name="Migliaia 42 2 2 6" xfId="39419" xr:uid="{00000000-0005-0000-0000-0000937F0000}"/>
    <cellStyle name="Migliaia 42 2 3" xfId="11557" xr:uid="{00000000-0005-0000-0000-0000947F0000}"/>
    <cellStyle name="Migliaia 42 2 4" xfId="12168" xr:uid="{00000000-0005-0000-0000-0000957F0000}"/>
    <cellStyle name="Migliaia 42 2 4 2" xfId="30353" xr:uid="{00000000-0005-0000-0000-0000967F0000}"/>
    <cellStyle name="Migliaia 42 2 5" xfId="19511" xr:uid="{00000000-0005-0000-0000-0000977F0000}"/>
    <cellStyle name="Migliaia 42 2 5 2" xfId="37475" xr:uid="{00000000-0005-0000-0000-0000987F0000}"/>
    <cellStyle name="Migliaia 42 2 6" xfId="3348" xr:uid="{00000000-0005-0000-0000-0000997F0000}"/>
    <cellStyle name="Migliaia 42 2 6 2" xfId="23348" xr:uid="{00000000-0005-0000-0000-00009A7F0000}"/>
    <cellStyle name="Migliaia 42 2 7" xfId="21604" xr:uid="{00000000-0005-0000-0000-00009B7F0000}"/>
    <cellStyle name="Migliaia 42 2 8" xfId="38430" xr:uid="{00000000-0005-0000-0000-00009C7F0000}"/>
    <cellStyle name="Migliaia 42 2 9" xfId="39252" xr:uid="{00000000-0005-0000-0000-00009D7F0000}"/>
    <cellStyle name="Migliaia 42 3" xfId="675" xr:uid="{00000000-0005-0000-0000-00009E7F0000}"/>
    <cellStyle name="Migliaia 42 3 10" xfId="39758" xr:uid="{00000000-0005-0000-0000-00009F7F0000}"/>
    <cellStyle name="Migliaia 42 3 11" xfId="40244" xr:uid="{00000000-0005-0000-0000-0000A07F0000}"/>
    <cellStyle name="Migliaia 42 3 2" xfId="676" xr:uid="{00000000-0005-0000-0000-0000A17F0000}"/>
    <cellStyle name="Migliaia 42 3 2 10" xfId="40245" xr:uid="{00000000-0005-0000-0000-0000A27F0000}"/>
    <cellStyle name="Migliaia 42 3 2 2" xfId="11559" xr:uid="{00000000-0005-0000-0000-0000A37F0000}"/>
    <cellStyle name="Migliaia 42 3 2 3" xfId="12170" xr:uid="{00000000-0005-0000-0000-0000A47F0000}"/>
    <cellStyle name="Migliaia 42 3 2 3 2" xfId="30355" xr:uid="{00000000-0005-0000-0000-0000A57F0000}"/>
    <cellStyle name="Migliaia 42 3 2 4" xfId="19513" xr:uid="{00000000-0005-0000-0000-0000A67F0000}"/>
    <cellStyle name="Migliaia 42 3 2 4 2" xfId="37477" xr:uid="{00000000-0005-0000-0000-0000A77F0000}"/>
    <cellStyle name="Migliaia 42 3 2 5" xfId="3350" xr:uid="{00000000-0005-0000-0000-0000A87F0000}"/>
    <cellStyle name="Migliaia 42 3 2 5 2" xfId="23350" xr:uid="{00000000-0005-0000-0000-0000A97F0000}"/>
    <cellStyle name="Migliaia 42 3 2 6" xfId="21606" xr:uid="{00000000-0005-0000-0000-0000AA7F0000}"/>
    <cellStyle name="Migliaia 42 3 2 7" xfId="38432" xr:uid="{00000000-0005-0000-0000-0000AB7F0000}"/>
    <cellStyle name="Migliaia 42 3 2 8" xfId="39254" xr:uid="{00000000-0005-0000-0000-0000AC7F0000}"/>
    <cellStyle name="Migliaia 42 3 2 9" xfId="39759" xr:uid="{00000000-0005-0000-0000-0000AD7F0000}"/>
    <cellStyle name="Migliaia 42 3 3" xfId="11558" xr:uid="{00000000-0005-0000-0000-0000AE7F0000}"/>
    <cellStyle name="Migliaia 42 3 3 2" xfId="20603" xr:uid="{00000000-0005-0000-0000-0000AF7F0000}"/>
    <cellStyle name="Migliaia 42 3 3 2 2" xfId="37920" xr:uid="{00000000-0005-0000-0000-0000B07F0000}"/>
    <cellStyle name="Migliaia 42 3 3 2 3" xfId="38875" xr:uid="{00000000-0005-0000-0000-0000B17F0000}"/>
    <cellStyle name="Migliaia 42 3 3 3" xfId="19514" xr:uid="{00000000-0005-0000-0000-0000B27F0000}"/>
    <cellStyle name="Migliaia 42 3 3 3 2" xfId="37478" xr:uid="{00000000-0005-0000-0000-0000B37F0000}"/>
    <cellStyle name="Migliaia 42 3 3 4" xfId="38433" xr:uid="{00000000-0005-0000-0000-0000B47F0000}"/>
    <cellStyle name="Migliaia 42 3 4" xfId="12169" xr:uid="{00000000-0005-0000-0000-0000B57F0000}"/>
    <cellStyle name="Migliaia 42 3 4 2" xfId="20602" xr:uid="{00000000-0005-0000-0000-0000B67F0000}"/>
    <cellStyle name="Migliaia 42 3 4 2 2" xfId="37919" xr:uid="{00000000-0005-0000-0000-0000B77F0000}"/>
    <cellStyle name="Migliaia 42 3 4 3" xfId="30354" xr:uid="{00000000-0005-0000-0000-0000B87F0000}"/>
    <cellStyle name="Migliaia 42 3 4 4" xfId="38874" xr:uid="{00000000-0005-0000-0000-0000B97F0000}"/>
    <cellStyle name="Migliaia 42 3 5" xfId="19512" xr:uid="{00000000-0005-0000-0000-0000BA7F0000}"/>
    <cellStyle name="Migliaia 42 3 5 2" xfId="37476" xr:uid="{00000000-0005-0000-0000-0000BB7F0000}"/>
    <cellStyle name="Migliaia 42 3 6" xfId="3349" xr:uid="{00000000-0005-0000-0000-0000BC7F0000}"/>
    <cellStyle name="Migliaia 42 3 6 2" xfId="23349" xr:uid="{00000000-0005-0000-0000-0000BD7F0000}"/>
    <cellStyle name="Migliaia 42 3 7" xfId="21605" xr:uid="{00000000-0005-0000-0000-0000BE7F0000}"/>
    <cellStyle name="Migliaia 42 3 8" xfId="38431" xr:uid="{00000000-0005-0000-0000-0000BF7F0000}"/>
    <cellStyle name="Migliaia 42 3 9" xfId="39253" xr:uid="{00000000-0005-0000-0000-0000C07F0000}"/>
    <cellStyle name="Migliaia 42 4" xfId="677" xr:uid="{00000000-0005-0000-0000-0000C17F0000}"/>
    <cellStyle name="Migliaia 42 4 2" xfId="19516" xr:uid="{00000000-0005-0000-0000-0000C27F0000}"/>
    <cellStyle name="Migliaia 42 4 2 2" xfId="20605" xr:uid="{00000000-0005-0000-0000-0000C37F0000}"/>
    <cellStyle name="Migliaia 42 4 2 2 2" xfId="37922" xr:uid="{00000000-0005-0000-0000-0000C47F0000}"/>
    <cellStyle name="Migliaia 42 4 2 2 3" xfId="38877" xr:uid="{00000000-0005-0000-0000-0000C57F0000}"/>
    <cellStyle name="Migliaia 42 4 2 3" xfId="37480" xr:uid="{00000000-0005-0000-0000-0000C67F0000}"/>
    <cellStyle name="Migliaia 42 4 2 4" xfId="38435" xr:uid="{00000000-0005-0000-0000-0000C77F0000}"/>
    <cellStyle name="Migliaia 42 4 3" xfId="20604" xr:uid="{00000000-0005-0000-0000-0000C87F0000}"/>
    <cellStyle name="Migliaia 42 4 3 2" xfId="37921" xr:uid="{00000000-0005-0000-0000-0000C97F0000}"/>
    <cellStyle name="Migliaia 42 4 3 3" xfId="38876" xr:uid="{00000000-0005-0000-0000-0000CA7F0000}"/>
    <cellStyle name="Migliaia 42 4 4" xfId="19515" xr:uid="{00000000-0005-0000-0000-0000CB7F0000}"/>
    <cellStyle name="Migliaia 42 4 4 2" xfId="37479" xr:uid="{00000000-0005-0000-0000-0000CC7F0000}"/>
    <cellStyle name="Migliaia 42 4 5" xfId="11560" xr:uid="{00000000-0005-0000-0000-0000CD7F0000}"/>
    <cellStyle name="Migliaia 42 4 6" xfId="21607" xr:uid="{00000000-0005-0000-0000-0000CE7F0000}"/>
    <cellStyle name="Migliaia 42 4 7" xfId="38434" xr:uid="{00000000-0005-0000-0000-0000CF7F0000}"/>
    <cellStyle name="Migliaia 42 4 8" xfId="39760" xr:uid="{00000000-0005-0000-0000-0000D07F0000}"/>
    <cellStyle name="Migliaia 42 4 9" xfId="40246" xr:uid="{00000000-0005-0000-0000-0000D17F0000}"/>
    <cellStyle name="Migliaia 42 5" xfId="678" xr:uid="{00000000-0005-0000-0000-0000D27F0000}"/>
    <cellStyle name="Migliaia 42 5 2" xfId="19517" xr:uid="{00000000-0005-0000-0000-0000D37F0000}"/>
    <cellStyle name="Migliaia 42 5 2 2" xfId="37481" xr:uid="{00000000-0005-0000-0000-0000D47F0000}"/>
    <cellStyle name="Migliaia 42 5 3" xfId="11561" xr:uid="{00000000-0005-0000-0000-0000D57F0000}"/>
    <cellStyle name="Migliaia 42 5 4" xfId="21608" xr:uid="{00000000-0005-0000-0000-0000D67F0000}"/>
    <cellStyle name="Migliaia 42 5 5" xfId="38436" xr:uid="{00000000-0005-0000-0000-0000D77F0000}"/>
    <cellStyle name="Migliaia 42 5 6" xfId="39761" xr:uid="{00000000-0005-0000-0000-0000D87F0000}"/>
    <cellStyle name="Migliaia 42 5 7" xfId="40247" xr:uid="{00000000-0005-0000-0000-0000D97F0000}"/>
    <cellStyle name="Migliaia 42 6" xfId="679" xr:uid="{00000000-0005-0000-0000-0000DA7F0000}"/>
    <cellStyle name="Migliaia 42 6 2" xfId="11556" xr:uid="{00000000-0005-0000-0000-0000DB7F0000}"/>
    <cellStyle name="Migliaia 42 6 3" xfId="21609" xr:uid="{00000000-0005-0000-0000-0000DC7F0000}"/>
    <cellStyle name="Migliaia 42 6 4" xfId="39762" xr:uid="{00000000-0005-0000-0000-0000DD7F0000}"/>
    <cellStyle name="Migliaia 42 6 5" xfId="40248" xr:uid="{00000000-0005-0000-0000-0000DE7F0000}"/>
    <cellStyle name="Migliaia 42 7" xfId="12167" xr:uid="{00000000-0005-0000-0000-0000DF7F0000}"/>
    <cellStyle name="Migliaia 42 7 2" xfId="30352" xr:uid="{00000000-0005-0000-0000-0000E07F0000}"/>
    <cellStyle name="Migliaia 42 8" xfId="19510" xr:uid="{00000000-0005-0000-0000-0000E17F0000}"/>
    <cellStyle name="Migliaia 42 8 2" xfId="37474" xr:uid="{00000000-0005-0000-0000-0000E27F0000}"/>
    <cellStyle name="Migliaia 42 9" xfId="3347" xr:uid="{00000000-0005-0000-0000-0000E37F0000}"/>
    <cellStyle name="Migliaia 42 9 2" xfId="23347" xr:uid="{00000000-0005-0000-0000-0000E47F0000}"/>
    <cellStyle name="Migliaia 43" xfId="680" xr:uid="{00000000-0005-0000-0000-0000E57F0000}"/>
    <cellStyle name="Migliaia 43 10" xfId="21610" xr:uid="{00000000-0005-0000-0000-0000E67F0000}"/>
    <cellStyle name="Migliaia 43 11" xfId="38437" xr:uid="{00000000-0005-0000-0000-0000E77F0000}"/>
    <cellStyle name="Migliaia 43 12" xfId="39255" xr:uid="{00000000-0005-0000-0000-0000E87F0000}"/>
    <cellStyle name="Migliaia 43 13" xfId="39763" xr:uid="{00000000-0005-0000-0000-0000E97F0000}"/>
    <cellStyle name="Migliaia 43 14" xfId="40249" xr:uid="{00000000-0005-0000-0000-0000EA7F0000}"/>
    <cellStyle name="Migliaia 43 2" xfId="681" xr:uid="{00000000-0005-0000-0000-0000EB7F0000}"/>
    <cellStyle name="Migliaia 43 2 10" xfId="39764" xr:uid="{00000000-0005-0000-0000-0000EC7F0000}"/>
    <cellStyle name="Migliaia 43 2 11" xfId="40250" xr:uid="{00000000-0005-0000-0000-0000ED7F0000}"/>
    <cellStyle name="Migliaia 43 2 2" xfId="3575" xr:uid="{00000000-0005-0000-0000-0000EE7F0000}"/>
    <cellStyle name="Migliaia 43 2 2 2" xfId="12336" xr:uid="{00000000-0005-0000-0000-0000EF7F0000}"/>
    <cellStyle name="Migliaia 43 2 2 2 2" xfId="30506" xr:uid="{00000000-0005-0000-0000-0000F07F0000}"/>
    <cellStyle name="Migliaia 43 2 2 3" xfId="20606" xr:uid="{00000000-0005-0000-0000-0000F17F0000}"/>
    <cellStyle name="Migliaia 43 2 2 3 2" xfId="37923" xr:uid="{00000000-0005-0000-0000-0000F27F0000}"/>
    <cellStyle name="Migliaia 43 2 2 4" xfId="23504" xr:uid="{00000000-0005-0000-0000-0000F37F0000}"/>
    <cellStyle name="Migliaia 43 2 2 5" xfId="38878" xr:uid="{00000000-0005-0000-0000-0000F47F0000}"/>
    <cellStyle name="Migliaia 43 2 2 6" xfId="39420" xr:uid="{00000000-0005-0000-0000-0000F57F0000}"/>
    <cellStyle name="Migliaia 43 2 3" xfId="11563" xr:uid="{00000000-0005-0000-0000-0000F67F0000}"/>
    <cellStyle name="Migliaia 43 2 4" xfId="12172" xr:uid="{00000000-0005-0000-0000-0000F77F0000}"/>
    <cellStyle name="Migliaia 43 2 4 2" xfId="30357" xr:uid="{00000000-0005-0000-0000-0000F87F0000}"/>
    <cellStyle name="Migliaia 43 2 5" xfId="19519" xr:uid="{00000000-0005-0000-0000-0000F97F0000}"/>
    <cellStyle name="Migliaia 43 2 5 2" xfId="37483" xr:uid="{00000000-0005-0000-0000-0000FA7F0000}"/>
    <cellStyle name="Migliaia 43 2 6" xfId="3352" xr:uid="{00000000-0005-0000-0000-0000FB7F0000}"/>
    <cellStyle name="Migliaia 43 2 6 2" xfId="23352" xr:uid="{00000000-0005-0000-0000-0000FC7F0000}"/>
    <cellStyle name="Migliaia 43 2 7" xfId="21611" xr:uid="{00000000-0005-0000-0000-0000FD7F0000}"/>
    <cellStyle name="Migliaia 43 2 8" xfId="38438" xr:uid="{00000000-0005-0000-0000-0000FE7F0000}"/>
    <cellStyle name="Migliaia 43 2 9" xfId="39256" xr:uid="{00000000-0005-0000-0000-0000FF7F0000}"/>
    <cellStyle name="Migliaia 43 3" xfId="682" xr:uid="{00000000-0005-0000-0000-000000800000}"/>
    <cellStyle name="Migliaia 43 3 10" xfId="39765" xr:uid="{00000000-0005-0000-0000-000001800000}"/>
    <cellStyle name="Migliaia 43 3 11" xfId="40251" xr:uid="{00000000-0005-0000-0000-000002800000}"/>
    <cellStyle name="Migliaia 43 3 2" xfId="683" xr:uid="{00000000-0005-0000-0000-000003800000}"/>
    <cellStyle name="Migliaia 43 3 2 10" xfId="40252" xr:uid="{00000000-0005-0000-0000-000004800000}"/>
    <cellStyle name="Migliaia 43 3 2 2" xfId="11565" xr:uid="{00000000-0005-0000-0000-000005800000}"/>
    <cellStyle name="Migliaia 43 3 2 3" xfId="12174" xr:uid="{00000000-0005-0000-0000-000006800000}"/>
    <cellStyle name="Migliaia 43 3 2 3 2" xfId="30359" xr:uid="{00000000-0005-0000-0000-000007800000}"/>
    <cellStyle name="Migliaia 43 3 2 4" xfId="19521" xr:uid="{00000000-0005-0000-0000-000008800000}"/>
    <cellStyle name="Migliaia 43 3 2 4 2" xfId="37485" xr:uid="{00000000-0005-0000-0000-000009800000}"/>
    <cellStyle name="Migliaia 43 3 2 5" xfId="3354" xr:uid="{00000000-0005-0000-0000-00000A800000}"/>
    <cellStyle name="Migliaia 43 3 2 5 2" xfId="23354" xr:uid="{00000000-0005-0000-0000-00000B800000}"/>
    <cellStyle name="Migliaia 43 3 2 6" xfId="21613" xr:uid="{00000000-0005-0000-0000-00000C800000}"/>
    <cellStyle name="Migliaia 43 3 2 7" xfId="38440" xr:uid="{00000000-0005-0000-0000-00000D800000}"/>
    <cellStyle name="Migliaia 43 3 2 8" xfId="39258" xr:uid="{00000000-0005-0000-0000-00000E800000}"/>
    <cellStyle name="Migliaia 43 3 2 9" xfId="39766" xr:uid="{00000000-0005-0000-0000-00000F800000}"/>
    <cellStyle name="Migliaia 43 3 3" xfId="11564" xr:uid="{00000000-0005-0000-0000-000010800000}"/>
    <cellStyle name="Migliaia 43 3 3 2" xfId="20608" xr:uid="{00000000-0005-0000-0000-000011800000}"/>
    <cellStyle name="Migliaia 43 3 3 2 2" xfId="37925" xr:uid="{00000000-0005-0000-0000-000012800000}"/>
    <cellStyle name="Migliaia 43 3 3 2 3" xfId="38880" xr:uid="{00000000-0005-0000-0000-000013800000}"/>
    <cellStyle name="Migliaia 43 3 3 3" xfId="19522" xr:uid="{00000000-0005-0000-0000-000014800000}"/>
    <cellStyle name="Migliaia 43 3 3 3 2" xfId="37486" xr:uid="{00000000-0005-0000-0000-000015800000}"/>
    <cellStyle name="Migliaia 43 3 3 4" xfId="38441" xr:uid="{00000000-0005-0000-0000-000016800000}"/>
    <cellStyle name="Migliaia 43 3 4" xfId="12173" xr:uid="{00000000-0005-0000-0000-000017800000}"/>
    <cellStyle name="Migliaia 43 3 4 2" xfId="20607" xr:uid="{00000000-0005-0000-0000-000018800000}"/>
    <cellStyle name="Migliaia 43 3 4 2 2" xfId="37924" xr:uid="{00000000-0005-0000-0000-000019800000}"/>
    <cellStyle name="Migliaia 43 3 4 3" xfId="30358" xr:uid="{00000000-0005-0000-0000-00001A800000}"/>
    <cellStyle name="Migliaia 43 3 4 4" xfId="38879" xr:uid="{00000000-0005-0000-0000-00001B800000}"/>
    <cellStyle name="Migliaia 43 3 5" xfId="19520" xr:uid="{00000000-0005-0000-0000-00001C800000}"/>
    <cellStyle name="Migliaia 43 3 5 2" xfId="37484" xr:uid="{00000000-0005-0000-0000-00001D800000}"/>
    <cellStyle name="Migliaia 43 3 6" xfId="3353" xr:uid="{00000000-0005-0000-0000-00001E800000}"/>
    <cellStyle name="Migliaia 43 3 6 2" xfId="23353" xr:uid="{00000000-0005-0000-0000-00001F800000}"/>
    <cellStyle name="Migliaia 43 3 7" xfId="21612" xr:uid="{00000000-0005-0000-0000-000020800000}"/>
    <cellStyle name="Migliaia 43 3 8" xfId="38439" xr:uid="{00000000-0005-0000-0000-000021800000}"/>
    <cellStyle name="Migliaia 43 3 9" xfId="39257" xr:uid="{00000000-0005-0000-0000-000022800000}"/>
    <cellStyle name="Migliaia 43 4" xfId="684" xr:uid="{00000000-0005-0000-0000-000023800000}"/>
    <cellStyle name="Migliaia 43 4 2" xfId="19524" xr:uid="{00000000-0005-0000-0000-000024800000}"/>
    <cellStyle name="Migliaia 43 4 2 2" xfId="20610" xr:uid="{00000000-0005-0000-0000-000025800000}"/>
    <cellStyle name="Migliaia 43 4 2 2 2" xfId="37927" xr:uid="{00000000-0005-0000-0000-000026800000}"/>
    <cellStyle name="Migliaia 43 4 2 2 3" xfId="38882" xr:uid="{00000000-0005-0000-0000-000027800000}"/>
    <cellStyle name="Migliaia 43 4 2 3" xfId="37488" xr:uid="{00000000-0005-0000-0000-000028800000}"/>
    <cellStyle name="Migliaia 43 4 2 4" xfId="38443" xr:uid="{00000000-0005-0000-0000-000029800000}"/>
    <cellStyle name="Migliaia 43 4 3" xfId="20609" xr:uid="{00000000-0005-0000-0000-00002A800000}"/>
    <cellStyle name="Migliaia 43 4 3 2" xfId="37926" xr:uid="{00000000-0005-0000-0000-00002B800000}"/>
    <cellStyle name="Migliaia 43 4 3 3" xfId="38881" xr:uid="{00000000-0005-0000-0000-00002C800000}"/>
    <cellStyle name="Migliaia 43 4 4" xfId="19523" xr:uid="{00000000-0005-0000-0000-00002D800000}"/>
    <cellStyle name="Migliaia 43 4 4 2" xfId="37487" xr:uid="{00000000-0005-0000-0000-00002E800000}"/>
    <cellStyle name="Migliaia 43 4 5" xfId="11566" xr:uid="{00000000-0005-0000-0000-00002F800000}"/>
    <cellStyle name="Migliaia 43 4 6" xfId="21614" xr:uid="{00000000-0005-0000-0000-000030800000}"/>
    <cellStyle name="Migliaia 43 4 7" xfId="38442" xr:uid="{00000000-0005-0000-0000-000031800000}"/>
    <cellStyle name="Migliaia 43 4 8" xfId="39767" xr:uid="{00000000-0005-0000-0000-000032800000}"/>
    <cellStyle name="Migliaia 43 4 9" xfId="40253" xr:uid="{00000000-0005-0000-0000-000033800000}"/>
    <cellStyle name="Migliaia 43 5" xfId="685" xr:uid="{00000000-0005-0000-0000-000034800000}"/>
    <cellStyle name="Migliaia 43 5 2" xfId="19525" xr:uid="{00000000-0005-0000-0000-000035800000}"/>
    <cellStyle name="Migliaia 43 5 2 2" xfId="37489" xr:uid="{00000000-0005-0000-0000-000036800000}"/>
    <cellStyle name="Migliaia 43 5 3" xfId="11567" xr:uid="{00000000-0005-0000-0000-000037800000}"/>
    <cellStyle name="Migliaia 43 5 4" xfId="21615" xr:uid="{00000000-0005-0000-0000-000038800000}"/>
    <cellStyle name="Migliaia 43 5 5" xfId="38444" xr:uid="{00000000-0005-0000-0000-000039800000}"/>
    <cellStyle name="Migliaia 43 5 6" xfId="39768" xr:uid="{00000000-0005-0000-0000-00003A800000}"/>
    <cellStyle name="Migliaia 43 5 7" xfId="40254" xr:uid="{00000000-0005-0000-0000-00003B800000}"/>
    <cellStyle name="Migliaia 43 6" xfId="686" xr:uid="{00000000-0005-0000-0000-00003C800000}"/>
    <cellStyle name="Migliaia 43 6 2" xfId="11562" xr:uid="{00000000-0005-0000-0000-00003D800000}"/>
    <cellStyle name="Migliaia 43 6 3" xfId="21616" xr:uid="{00000000-0005-0000-0000-00003E800000}"/>
    <cellStyle name="Migliaia 43 6 4" xfId="39769" xr:uid="{00000000-0005-0000-0000-00003F800000}"/>
    <cellStyle name="Migliaia 43 6 5" xfId="40255" xr:uid="{00000000-0005-0000-0000-000040800000}"/>
    <cellStyle name="Migliaia 43 7" xfId="12171" xr:uid="{00000000-0005-0000-0000-000041800000}"/>
    <cellStyle name="Migliaia 43 7 2" xfId="30356" xr:uid="{00000000-0005-0000-0000-000042800000}"/>
    <cellStyle name="Migliaia 43 8" xfId="19518" xr:uid="{00000000-0005-0000-0000-000043800000}"/>
    <cellStyle name="Migliaia 43 8 2" xfId="37482" xr:uid="{00000000-0005-0000-0000-000044800000}"/>
    <cellStyle name="Migliaia 43 9" xfId="3351" xr:uid="{00000000-0005-0000-0000-000045800000}"/>
    <cellStyle name="Migliaia 43 9 2" xfId="23351" xr:uid="{00000000-0005-0000-0000-000046800000}"/>
    <cellStyle name="Migliaia 44" xfId="687" xr:uid="{00000000-0005-0000-0000-000047800000}"/>
    <cellStyle name="Migliaia 44 10" xfId="21617" xr:uid="{00000000-0005-0000-0000-000048800000}"/>
    <cellStyle name="Migliaia 44 11" xfId="38445" xr:uid="{00000000-0005-0000-0000-000049800000}"/>
    <cellStyle name="Migliaia 44 12" xfId="39259" xr:uid="{00000000-0005-0000-0000-00004A800000}"/>
    <cellStyle name="Migliaia 44 13" xfId="39770" xr:uid="{00000000-0005-0000-0000-00004B800000}"/>
    <cellStyle name="Migliaia 44 14" xfId="40256" xr:uid="{00000000-0005-0000-0000-00004C800000}"/>
    <cellStyle name="Migliaia 44 2" xfId="688" xr:uid="{00000000-0005-0000-0000-00004D800000}"/>
    <cellStyle name="Migliaia 44 2 10" xfId="39771" xr:uid="{00000000-0005-0000-0000-00004E800000}"/>
    <cellStyle name="Migliaia 44 2 11" xfId="40257" xr:uid="{00000000-0005-0000-0000-00004F800000}"/>
    <cellStyle name="Migliaia 44 2 2" xfId="3576" xr:uid="{00000000-0005-0000-0000-000050800000}"/>
    <cellStyle name="Migliaia 44 2 2 2" xfId="12337" xr:uid="{00000000-0005-0000-0000-000051800000}"/>
    <cellStyle name="Migliaia 44 2 2 2 2" xfId="30507" xr:uid="{00000000-0005-0000-0000-000052800000}"/>
    <cellStyle name="Migliaia 44 2 2 3" xfId="20611" xr:uid="{00000000-0005-0000-0000-000053800000}"/>
    <cellStyle name="Migliaia 44 2 2 3 2" xfId="37928" xr:uid="{00000000-0005-0000-0000-000054800000}"/>
    <cellStyle name="Migliaia 44 2 2 4" xfId="23505" xr:uid="{00000000-0005-0000-0000-000055800000}"/>
    <cellStyle name="Migliaia 44 2 2 5" xfId="38883" xr:uid="{00000000-0005-0000-0000-000056800000}"/>
    <cellStyle name="Migliaia 44 2 2 6" xfId="39421" xr:uid="{00000000-0005-0000-0000-000057800000}"/>
    <cellStyle name="Migliaia 44 2 3" xfId="11569" xr:uid="{00000000-0005-0000-0000-000058800000}"/>
    <cellStyle name="Migliaia 44 2 4" xfId="12176" xr:uid="{00000000-0005-0000-0000-000059800000}"/>
    <cellStyle name="Migliaia 44 2 4 2" xfId="30361" xr:uid="{00000000-0005-0000-0000-00005A800000}"/>
    <cellStyle name="Migliaia 44 2 5" xfId="19527" xr:uid="{00000000-0005-0000-0000-00005B800000}"/>
    <cellStyle name="Migliaia 44 2 5 2" xfId="37491" xr:uid="{00000000-0005-0000-0000-00005C800000}"/>
    <cellStyle name="Migliaia 44 2 6" xfId="3356" xr:uid="{00000000-0005-0000-0000-00005D800000}"/>
    <cellStyle name="Migliaia 44 2 6 2" xfId="23356" xr:uid="{00000000-0005-0000-0000-00005E800000}"/>
    <cellStyle name="Migliaia 44 2 7" xfId="21618" xr:uid="{00000000-0005-0000-0000-00005F800000}"/>
    <cellStyle name="Migliaia 44 2 8" xfId="38446" xr:uid="{00000000-0005-0000-0000-000060800000}"/>
    <cellStyle name="Migliaia 44 2 9" xfId="39260" xr:uid="{00000000-0005-0000-0000-000061800000}"/>
    <cellStyle name="Migliaia 44 3" xfId="689" xr:uid="{00000000-0005-0000-0000-000062800000}"/>
    <cellStyle name="Migliaia 44 3 10" xfId="39772" xr:uid="{00000000-0005-0000-0000-000063800000}"/>
    <cellStyle name="Migliaia 44 3 11" xfId="40258" xr:uid="{00000000-0005-0000-0000-000064800000}"/>
    <cellStyle name="Migliaia 44 3 2" xfId="690" xr:uid="{00000000-0005-0000-0000-000065800000}"/>
    <cellStyle name="Migliaia 44 3 2 10" xfId="40259" xr:uid="{00000000-0005-0000-0000-000066800000}"/>
    <cellStyle name="Migliaia 44 3 2 2" xfId="11571" xr:uid="{00000000-0005-0000-0000-000067800000}"/>
    <cellStyle name="Migliaia 44 3 2 3" xfId="12178" xr:uid="{00000000-0005-0000-0000-000068800000}"/>
    <cellStyle name="Migliaia 44 3 2 3 2" xfId="30363" xr:uid="{00000000-0005-0000-0000-000069800000}"/>
    <cellStyle name="Migliaia 44 3 2 4" xfId="19529" xr:uid="{00000000-0005-0000-0000-00006A800000}"/>
    <cellStyle name="Migliaia 44 3 2 4 2" xfId="37493" xr:uid="{00000000-0005-0000-0000-00006B800000}"/>
    <cellStyle name="Migliaia 44 3 2 5" xfId="3358" xr:uid="{00000000-0005-0000-0000-00006C800000}"/>
    <cellStyle name="Migliaia 44 3 2 5 2" xfId="23358" xr:uid="{00000000-0005-0000-0000-00006D800000}"/>
    <cellStyle name="Migliaia 44 3 2 6" xfId="21620" xr:uid="{00000000-0005-0000-0000-00006E800000}"/>
    <cellStyle name="Migliaia 44 3 2 7" xfId="38448" xr:uid="{00000000-0005-0000-0000-00006F800000}"/>
    <cellStyle name="Migliaia 44 3 2 8" xfId="39262" xr:uid="{00000000-0005-0000-0000-000070800000}"/>
    <cellStyle name="Migliaia 44 3 2 9" xfId="39773" xr:uid="{00000000-0005-0000-0000-000071800000}"/>
    <cellStyle name="Migliaia 44 3 3" xfId="11570" xr:uid="{00000000-0005-0000-0000-000072800000}"/>
    <cellStyle name="Migliaia 44 3 3 2" xfId="20613" xr:uid="{00000000-0005-0000-0000-000073800000}"/>
    <cellStyle name="Migliaia 44 3 3 2 2" xfId="37930" xr:uid="{00000000-0005-0000-0000-000074800000}"/>
    <cellStyle name="Migliaia 44 3 3 2 3" xfId="38885" xr:uid="{00000000-0005-0000-0000-000075800000}"/>
    <cellStyle name="Migliaia 44 3 3 3" xfId="19530" xr:uid="{00000000-0005-0000-0000-000076800000}"/>
    <cellStyle name="Migliaia 44 3 3 3 2" xfId="37494" xr:uid="{00000000-0005-0000-0000-000077800000}"/>
    <cellStyle name="Migliaia 44 3 3 4" xfId="38449" xr:uid="{00000000-0005-0000-0000-000078800000}"/>
    <cellStyle name="Migliaia 44 3 4" xfId="12177" xr:uid="{00000000-0005-0000-0000-000079800000}"/>
    <cellStyle name="Migliaia 44 3 4 2" xfId="20612" xr:uid="{00000000-0005-0000-0000-00007A800000}"/>
    <cellStyle name="Migliaia 44 3 4 2 2" xfId="37929" xr:uid="{00000000-0005-0000-0000-00007B800000}"/>
    <cellStyle name="Migliaia 44 3 4 3" xfId="30362" xr:uid="{00000000-0005-0000-0000-00007C800000}"/>
    <cellStyle name="Migliaia 44 3 4 4" xfId="38884" xr:uid="{00000000-0005-0000-0000-00007D800000}"/>
    <cellStyle name="Migliaia 44 3 5" xfId="19528" xr:uid="{00000000-0005-0000-0000-00007E800000}"/>
    <cellStyle name="Migliaia 44 3 5 2" xfId="37492" xr:uid="{00000000-0005-0000-0000-00007F800000}"/>
    <cellStyle name="Migliaia 44 3 6" xfId="3357" xr:uid="{00000000-0005-0000-0000-000080800000}"/>
    <cellStyle name="Migliaia 44 3 6 2" xfId="23357" xr:uid="{00000000-0005-0000-0000-000081800000}"/>
    <cellStyle name="Migliaia 44 3 7" xfId="21619" xr:uid="{00000000-0005-0000-0000-000082800000}"/>
    <cellStyle name="Migliaia 44 3 8" xfId="38447" xr:uid="{00000000-0005-0000-0000-000083800000}"/>
    <cellStyle name="Migliaia 44 3 9" xfId="39261" xr:uid="{00000000-0005-0000-0000-000084800000}"/>
    <cellStyle name="Migliaia 44 4" xfId="691" xr:uid="{00000000-0005-0000-0000-000085800000}"/>
    <cellStyle name="Migliaia 44 4 2" xfId="19532" xr:uid="{00000000-0005-0000-0000-000086800000}"/>
    <cellStyle name="Migliaia 44 4 2 2" xfId="20615" xr:uid="{00000000-0005-0000-0000-000087800000}"/>
    <cellStyle name="Migliaia 44 4 2 2 2" xfId="37932" xr:uid="{00000000-0005-0000-0000-000088800000}"/>
    <cellStyle name="Migliaia 44 4 2 2 3" xfId="38887" xr:uid="{00000000-0005-0000-0000-000089800000}"/>
    <cellStyle name="Migliaia 44 4 2 3" xfId="37496" xr:uid="{00000000-0005-0000-0000-00008A800000}"/>
    <cellStyle name="Migliaia 44 4 2 4" xfId="38451" xr:uid="{00000000-0005-0000-0000-00008B800000}"/>
    <cellStyle name="Migliaia 44 4 3" xfId="20614" xr:uid="{00000000-0005-0000-0000-00008C800000}"/>
    <cellStyle name="Migliaia 44 4 3 2" xfId="37931" xr:uid="{00000000-0005-0000-0000-00008D800000}"/>
    <cellStyle name="Migliaia 44 4 3 3" xfId="38886" xr:uid="{00000000-0005-0000-0000-00008E800000}"/>
    <cellStyle name="Migliaia 44 4 4" xfId="19531" xr:uid="{00000000-0005-0000-0000-00008F800000}"/>
    <cellStyle name="Migliaia 44 4 4 2" xfId="37495" xr:uid="{00000000-0005-0000-0000-000090800000}"/>
    <cellStyle name="Migliaia 44 4 5" xfId="11572" xr:uid="{00000000-0005-0000-0000-000091800000}"/>
    <cellStyle name="Migliaia 44 4 6" xfId="21621" xr:uid="{00000000-0005-0000-0000-000092800000}"/>
    <cellStyle name="Migliaia 44 4 7" xfId="38450" xr:uid="{00000000-0005-0000-0000-000093800000}"/>
    <cellStyle name="Migliaia 44 4 8" xfId="39774" xr:uid="{00000000-0005-0000-0000-000094800000}"/>
    <cellStyle name="Migliaia 44 4 9" xfId="40260" xr:uid="{00000000-0005-0000-0000-000095800000}"/>
    <cellStyle name="Migliaia 44 5" xfId="692" xr:uid="{00000000-0005-0000-0000-000096800000}"/>
    <cellStyle name="Migliaia 44 5 2" xfId="19533" xr:uid="{00000000-0005-0000-0000-000097800000}"/>
    <cellStyle name="Migliaia 44 5 2 2" xfId="37497" xr:uid="{00000000-0005-0000-0000-000098800000}"/>
    <cellStyle name="Migliaia 44 5 3" xfId="11573" xr:uid="{00000000-0005-0000-0000-000099800000}"/>
    <cellStyle name="Migliaia 44 5 4" xfId="21622" xr:uid="{00000000-0005-0000-0000-00009A800000}"/>
    <cellStyle name="Migliaia 44 5 5" xfId="38452" xr:uid="{00000000-0005-0000-0000-00009B800000}"/>
    <cellStyle name="Migliaia 44 5 6" xfId="39775" xr:uid="{00000000-0005-0000-0000-00009C800000}"/>
    <cellStyle name="Migliaia 44 5 7" xfId="40261" xr:uid="{00000000-0005-0000-0000-00009D800000}"/>
    <cellStyle name="Migliaia 44 6" xfId="693" xr:uid="{00000000-0005-0000-0000-00009E800000}"/>
    <cellStyle name="Migliaia 44 6 2" xfId="11568" xr:uid="{00000000-0005-0000-0000-00009F800000}"/>
    <cellStyle name="Migliaia 44 6 3" xfId="21623" xr:uid="{00000000-0005-0000-0000-0000A0800000}"/>
    <cellStyle name="Migliaia 44 6 4" xfId="39776" xr:uid="{00000000-0005-0000-0000-0000A1800000}"/>
    <cellStyle name="Migliaia 44 6 5" xfId="40262" xr:uid="{00000000-0005-0000-0000-0000A2800000}"/>
    <cellStyle name="Migliaia 44 7" xfId="12175" xr:uid="{00000000-0005-0000-0000-0000A3800000}"/>
    <cellStyle name="Migliaia 44 7 2" xfId="30360" xr:uid="{00000000-0005-0000-0000-0000A4800000}"/>
    <cellStyle name="Migliaia 44 8" xfId="19526" xr:uid="{00000000-0005-0000-0000-0000A5800000}"/>
    <cellStyle name="Migliaia 44 8 2" xfId="37490" xr:uid="{00000000-0005-0000-0000-0000A6800000}"/>
    <cellStyle name="Migliaia 44 9" xfId="3355" xr:uid="{00000000-0005-0000-0000-0000A7800000}"/>
    <cellStyle name="Migliaia 44 9 2" xfId="23355" xr:uid="{00000000-0005-0000-0000-0000A8800000}"/>
    <cellStyle name="Migliaia 45" xfId="694" xr:uid="{00000000-0005-0000-0000-0000A9800000}"/>
    <cellStyle name="Migliaia 45 10" xfId="21624" xr:uid="{00000000-0005-0000-0000-0000AA800000}"/>
    <cellStyle name="Migliaia 45 11" xfId="38453" xr:uid="{00000000-0005-0000-0000-0000AB800000}"/>
    <cellStyle name="Migliaia 45 12" xfId="39263" xr:uid="{00000000-0005-0000-0000-0000AC800000}"/>
    <cellStyle name="Migliaia 45 13" xfId="39777" xr:uid="{00000000-0005-0000-0000-0000AD800000}"/>
    <cellStyle name="Migliaia 45 14" xfId="40263" xr:uid="{00000000-0005-0000-0000-0000AE800000}"/>
    <cellStyle name="Migliaia 45 2" xfId="695" xr:uid="{00000000-0005-0000-0000-0000AF800000}"/>
    <cellStyle name="Migliaia 45 2 10" xfId="39778" xr:uid="{00000000-0005-0000-0000-0000B0800000}"/>
    <cellStyle name="Migliaia 45 2 11" xfId="40264" xr:uid="{00000000-0005-0000-0000-0000B1800000}"/>
    <cellStyle name="Migliaia 45 2 2" xfId="3577" xr:uid="{00000000-0005-0000-0000-0000B2800000}"/>
    <cellStyle name="Migliaia 45 2 2 2" xfId="12338" xr:uid="{00000000-0005-0000-0000-0000B3800000}"/>
    <cellStyle name="Migliaia 45 2 2 2 2" xfId="30508" xr:uid="{00000000-0005-0000-0000-0000B4800000}"/>
    <cellStyle name="Migliaia 45 2 2 3" xfId="20616" xr:uid="{00000000-0005-0000-0000-0000B5800000}"/>
    <cellStyle name="Migliaia 45 2 2 3 2" xfId="37933" xr:uid="{00000000-0005-0000-0000-0000B6800000}"/>
    <cellStyle name="Migliaia 45 2 2 4" xfId="23506" xr:uid="{00000000-0005-0000-0000-0000B7800000}"/>
    <cellStyle name="Migliaia 45 2 2 5" xfId="38888" xr:uid="{00000000-0005-0000-0000-0000B8800000}"/>
    <cellStyle name="Migliaia 45 2 2 6" xfId="39422" xr:uid="{00000000-0005-0000-0000-0000B9800000}"/>
    <cellStyle name="Migliaia 45 2 3" xfId="11575" xr:uid="{00000000-0005-0000-0000-0000BA800000}"/>
    <cellStyle name="Migliaia 45 2 4" xfId="12180" xr:uid="{00000000-0005-0000-0000-0000BB800000}"/>
    <cellStyle name="Migliaia 45 2 4 2" xfId="30365" xr:uid="{00000000-0005-0000-0000-0000BC800000}"/>
    <cellStyle name="Migliaia 45 2 5" xfId="19535" xr:uid="{00000000-0005-0000-0000-0000BD800000}"/>
    <cellStyle name="Migliaia 45 2 5 2" xfId="37499" xr:uid="{00000000-0005-0000-0000-0000BE800000}"/>
    <cellStyle name="Migliaia 45 2 6" xfId="3360" xr:uid="{00000000-0005-0000-0000-0000BF800000}"/>
    <cellStyle name="Migliaia 45 2 6 2" xfId="23360" xr:uid="{00000000-0005-0000-0000-0000C0800000}"/>
    <cellStyle name="Migliaia 45 2 7" xfId="21625" xr:uid="{00000000-0005-0000-0000-0000C1800000}"/>
    <cellStyle name="Migliaia 45 2 8" xfId="38454" xr:uid="{00000000-0005-0000-0000-0000C2800000}"/>
    <cellStyle name="Migliaia 45 2 9" xfId="39264" xr:uid="{00000000-0005-0000-0000-0000C3800000}"/>
    <cellStyle name="Migliaia 45 3" xfId="696" xr:uid="{00000000-0005-0000-0000-0000C4800000}"/>
    <cellStyle name="Migliaia 45 3 10" xfId="39779" xr:uid="{00000000-0005-0000-0000-0000C5800000}"/>
    <cellStyle name="Migliaia 45 3 11" xfId="40265" xr:uid="{00000000-0005-0000-0000-0000C6800000}"/>
    <cellStyle name="Migliaia 45 3 2" xfId="697" xr:uid="{00000000-0005-0000-0000-0000C7800000}"/>
    <cellStyle name="Migliaia 45 3 2 10" xfId="40266" xr:uid="{00000000-0005-0000-0000-0000C8800000}"/>
    <cellStyle name="Migliaia 45 3 2 2" xfId="11577" xr:uid="{00000000-0005-0000-0000-0000C9800000}"/>
    <cellStyle name="Migliaia 45 3 2 3" xfId="12182" xr:uid="{00000000-0005-0000-0000-0000CA800000}"/>
    <cellStyle name="Migliaia 45 3 2 3 2" xfId="30367" xr:uid="{00000000-0005-0000-0000-0000CB800000}"/>
    <cellStyle name="Migliaia 45 3 2 4" xfId="19537" xr:uid="{00000000-0005-0000-0000-0000CC800000}"/>
    <cellStyle name="Migliaia 45 3 2 4 2" xfId="37501" xr:uid="{00000000-0005-0000-0000-0000CD800000}"/>
    <cellStyle name="Migliaia 45 3 2 5" xfId="3362" xr:uid="{00000000-0005-0000-0000-0000CE800000}"/>
    <cellStyle name="Migliaia 45 3 2 5 2" xfId="23362" xr:uid="{00000000-0005-0000-0000-0000CF800000}"/>
    <cellStyle name="Migliaia 45 3 2 6" xfId="21627" xr:uid="{00000000-0005-0000-0000-0000D0800000}"/>
    <cellStyle name="Migliaia 45 3 2 7" xfId="38456" xr:uid="{00000000-0005-0000-0000-0000D1800000}"/>
    <cellStyle name="Migliaia 45 3 2 8" xfId="39266" xr:uid="{00000000-0005-0000-0000-0000D2800000}"/>
    <cellStyle name="Migliaia 45 3 2 9" xfId="39780" xr:uid="{00000000-0005-0000-0000-0000D3800000}"/>
    <cellStyle name="Migliaia 45 3 3" xfId="11576" xr:uid="{00000000-0005-0000-0000-0000D4800000}"/>
    <cellStyle name="Migliaia 45 3 3 2" xfId="20618" xr:uid="{00000000-0005-0000-0000-0000D5800000}"/>
    <cellStyle name="Migliaia 45 3 3 2 2" xfId="37935" xr:uid="{00000000-0005-0000-0000-0000D6800000}"/>
    <cellStyle name="Migliaia 45 3 3 2 3" xfId="38890" xr:uid="{00000000-0005-0000-0000-0000D7800000}"/>
    <cellStyle name="Migliaia 45 3 3 3" xfId="19538" xr:uid="{00000000-0005-0000-0000-0000D8800000}"/>
    <cellStyle name="Migliaia 45 3 3 3 2" xfId="37502" xr:uid="{00000000-0005-0000-0000-0000D9800000}"/>
    <cellStyle name="Migliaia 45 3 3 4" xfId="38457" xr:uid="{00000000-0005-0000-0000-0000DA800000}"/>
    <cellStyle name="Migliaia 45 3 4" xfId="12181" xr:uid="{00000000-0005-0000-0000-0000DB800000}"/>
    <cellStyle name="Migliaia 45 3 4 2" xfId="20617" xr:uid="{00000000-0005-0000-0000-0000DC800000}"/>
    <cellStyle name="Migliaia 45 3 4 2 2" xfId="37934" xr:uid="{00000000-0005-0000-0000-0000DD800000}"/>
    <cellStyle name="Migliaia 45 3 4 3" xfId="30366" xr:uid="{00000000-0005-0000-0000-0000DE800000}"/>
    <cellStyle name="Migliaia 45 3 4 4" xfId="38889" xr:uid="{00000000-0005-0000-0000-0000DF800000}"/>
    <cellStyle name="Migliaia 45 3 5" xfId="19536" xr:uid="{00000000-0005-0000-0000-0000E0800000}"/>
    <cellStyle name="Migliaia 45 3 5 2" xfId="37500" xr:uid="{00000000-0005-0000-0000-0000E1800000}"/>
    <cellStyle name="Migliaia 45 3 6" xfId="3361" xr:uid="{00000000-0005-0000-0000-0000E2800000}"/>
    <cellStyle name="Migliaia 45 3 6 2" xfId="23361" xr:uid="{00000000-0005-0000-0000-0000E3800000}"/>
    <cellStyle name="Migliaia 45 3 7" xfId="21626" xr:uid="{00000000-0005-0000-0000-0000E4800000}"/>
    <cellStyle name="Migliaia 45 3 8" xfId="38455" xr:uid="{00000000-0005-0000-0000-0000E5800000}"/>
    <cellStyle name="Migliaia 45 3 9" xfId="39265" xr:uid="{00000000-0005-0000-0000-0000E6800000}"/>
    <cellStyle name="Migliaia 45 4" xfId="698" xr:uid="{00000000-0005-0000-0000-0000E7800000}"/>
    <cellStyle name="Migliaia 45 4 2" xfId="19540" xr:uid="{00000000-0005-0000-0000-0000E8800000}"/>
    <cellStyle name="Migliaia 45 4 2 2" xfId="20620" xr:uid="{00000000-0005-0000-0000-0000E9800000}"/>
    <cellStyle name="Migliaia 45 4 2 2 2" xfId="37937" xr:uid="{00000000-0005-0000-0000-0000EA800000}"/>
    <cellStyle name="Migliaia 45 4 2 2 3" xfId="38892" xr:uid="{00000000-0005-0000-0000-0000EB800000}"/>
    <cellStyle name="Migliaia 45 4 2 3" xfId="37504" xr:uid="{00000000-0005-0000-0000-0000EC800000}"/>
    <cellStyle name="Migliaia 45 4 2 4" xfId="38459" xr:uid="{00000000-0005-0000-0000-0000ED800000}"/>
    <cellStyle name="Migliaia 45 4 3" xfId="20619" xr:uid="{00000000-0005-0000-0000-0000EE800000}"/>
    <cellStyle name="Migliaia 45 4 3 2" xfId="37936" xr:uid="{00000000-0005-0000-0000-0000EF800000}"/>
    <cellStyle name="Migliaia 45 4 3 3" xfId="38891" xr:uid="{00000000-0005-0000-0000-0000F0800000}"/>
    <cellStyle name="Migliaia 45 4 4" xfId="19539" xr:uid="{00000000-0005-0000-0000-0000F1800000}"/>
    <cellStyle name="Migliaia 45 4 4 2" xfId="37503" xr:uid="{00000000-0005-0000-0000-0000F2800000}"/>
    <cellStyle name="Migliaia 45 4 5" xfId="11578" xr:uid="{00000000-0005-0000-0000-0000F3800000}"/>
    <cellStyle name="Migliaia 45 4 6" xfId="21628" xr:uid="{00000000-0005-0000-0000-0000F4800000}"/>
    <cellStyle name="Migliaia 45 4 7" xfId="38458" xr:uid="{00000000-0005-0000-0000-0000F5800000}"/>
    <cellStyle name="Migliaia 45 4 8" xfId="39781" xr:uid="{00000000-0005-0000-0000-0000F6800000}"/>
    <cellStyle name="Migliaia 45 4 9" xfId="40267" xr:uid="{00000000-0005-0000-0000-0000F7800000}"/>
    <cellStyle name="Migliaia 45 5" xfId="699" xr:uid="{00000000-0005-0000-0000-0000F8800000}"/>
    <cellStyle name="Migliaia 45 5 2" xfId="19541" xr:uid="{00000000-0005-0000-0000-0000F9800000}"/>
    <cellStyle name="Migliaia 45 5 2 2" xfId="37505" xr:uid="{00000000-0005-0000-0000-0000FA800000}"/>
    <cellStyle name="Migliaia 45 5 3" xfId="11579" xr:uid="{00000000-0005-0000-0000-0000FB800000}"/>
    <cellStyle name="Migliaia 45 5 4" xfId="21629" xr:uid="{00000000-0005-0000-0000-0000FC800000}"/>
    <cellStyle name="Migliaia 45 5 5" xfId="38460" xr:uid="{00000000-0005-0000-0000-0000FD800000}"/>
    <cellStyle name="Migliaia 45 5 6" xfId="39782" xr:uid="{00000000-0005-0000-0000-0000FE800000}"/>
    <cellStyle name="Migliaia 45 5 7" xfId="40268" xr:uid="{00000000-0005-0000-0000-0000FF800000}"/>
    <cellStyle name="Migliaia 45 6" xfId="700" xr:uid="{00000000-0005-0000-0000-000000810000}"/>
    <cellStyle name="Migliaia 45 6 2" xfId="11574" xr:uid="{00000000-0005-0000-0000-000001810000}"/>
    <cellStyle name="Migliaia 45 6 3" xfId="21630" xr:uid="{00000000-0005-0000-0000-000002810000}"/>
    <cellStyle name="Migliaia 45 6 4" xfId="39783" xr:uid="{00000000-0005-0000-0000-000003810000}"/>
    <cellStyle name="Migliaia 45 6 5" xfId="40269" xr:uid="{00000000-0005-0000-0000-000004810000}"/>
    <cellStyle name="Migliaia 45 7" xfId="12179" xr:uid="{00000000-0005-0000-0000-000005810000}"/>
    <cellStyle name="Migliaia 45 7 2" xfId="30364" xr:uid="{00000000-0005-0000-0000-000006810000}"/>
    <cellStyle name="Migliaia 45 8" xfId="19534" xr:uid="{00000000-0005-0000-0000-000007810000}"/>
    <cellStyle name="Migliaia 45 8 2" xfId="37498" xr:uid="{00000000-0005-0000-0000-000008810000}"/>
    <cellStyle name="Migliaia 45 9" xfId="3359" xr:uid="{00000000-0005-0000-0000-000009810000}"/>
    <cellStyle name="Migliaia 45 9 2" xfId="23359" xr:uid="{00000000-0005-0000-0000-00000A810000}"/>
    <cellStyle name="Migliaia 46" xfId="701" xr:uid="{00000000-0005-0000-0000-00000B810000}"/>
    <cellStyle name="Migliaia 46 10" xfId="21631" xr:uid="{00000000-0005-0000-0000-00000C810000}"/>
    <cellStyle name="Migliaia 46 11" xfId="38461" xr:uid="{00000000-0005-0000-0000-00000D810000}"/>
    <cellStyle name="Migliaia 46 12" xfId="39267" xr:uid="{00000000-0005-0000-0000-00000E810000}"/>
    <cellStyle name="Migliaia 46 13" xfId="39784" xr:uid="{00000000-0005-0000-0000-00000F810000}"/>
    <cellStyle name="Migliaia 46 14" xfId="40270" xr:uid="{00000000-0005-0000-0000-000010810000}"/>
    <cellStyle name="Migliaia 46 2" xfId="702" xr:uid="{00000000-0005-0000-0000-000011810000}"/>
    <cellStyle name="Migliaia 46 2 10" xfId="39785" xr:uid="{00000000-0005-0000-0000-000012810000}"/>
    <cellStyle name="Migliaia 46 2 11" xfId="40271" xr:uid="{00000000-0005-0000-0000-000013810000}"/>
    <cellStyle name="Migliaia 46 2 2" xfId="3578" xr:uid="{00000000-0005-0000-0000-000014810000}"/>
    <cellStyle name="Migliaia 46 2 2 2" xfId="12339" xr:uid="{00000000-0005-0000-0000-000015810000}"/>
    <cellStyle name="Migliaia 46 2 2 2 2" xfId="30509" xr:uid="{00000000-0005-0000-0000-000016810000}"/>
    <cellStyle name="Migliaia 46 2 2 3" xfId="20621" xr:uid="{00000000-0005-0000-0000-000017810000}"/>
    <cellStyle name="Migliaia 46 2 2 3 2" xfId="37938" xr:uid="{00000000-0005-0000-0000-000018810000}"/>
    <cellStyle name="Migliaia 46 2 2 4" xfId="23507" xr:uid="{00000000-0005-0000-0000-000019810000}"/>
    <cellStyle name="Migliaia 46 2 2 5" xfId="38893" xr:uid="{00000000-0005-0000-0000-00001A810000}"/>
    <cellStyle name="Migliaia 46 2 2 6" xfId="39423" xr:uid="{00000000-0005-0000-0000-00001B810000}"/>
    <cellStyle name="Migliaia 46 2 3" xfId="11581" xr:uid="{00000000-0005-0000-0000-00001C810000}"/>
    <cellStyle name="Migliaia 46 2 4" xfId="12184" xr:uid="{00000000-0005-0000-0000-00001D810000}"/>
    <cellStyle name="Migliaia 46 2 4 2" xfId="30369" xr:uid="{00000000-0005-0000-0000-00001E810000}"/>
    <cellStyle name="Migliaia 46 2 5" xfId="19543" xr:uid="{00000000-0005-0000-0000-00001F810000}"/>
    <cellStyle name="Migliaia 46 2 5 2" xfId="37507" xr:uid="{00000000-0005-0000-0000-000020810000}"/>
    <cellStyle name="Migliaia 46 2 6" xfId="3364" xr:uid="{00000000-0005-0000-0000-000021810000}"/>
    <cellStyle name="Migliaia 46 2 6 2" xfId="23364" xr:uid="{00000000-0005-0000-0000-000022810000}"/>
    <cellStyle name="Migliaia 46 2 7" xfId="21632" xr:uid="{00000000-0005-0000-0000-000023810000}"/>
    <cellStyle name="Migliaia 46 2 8" xfId="38462" xr:uid="{00000000-0005-0000-0000-000024810000}"/>
    <cellStyle name="Migliaia 46 2 9" xfId="39268" xr:uid="{00000000-0005-0000-0000-000025810000}"/>
    <cellStyle name="Migliaia 46 3" xfId="703" xr:uid="{00000000-0005-0000-0000-000026810000}"/>
    <cellStyle name="Migliaia 46 3 10" xfId="39786" xr:uid="{00000000-0005-0000-0000-000027810000}"/>
    <cellStyle name="Migliaia 46 3 11" xfId="40272" xr:uid="{00000000-0005-0000-0000-000028810000}"/>
    <cellStyle name="Migliaia 46 3 2" xfId="704" xr:uid="{00000000-0005-0000-0000-000029810000}"/>
    <cellStyle name="Migliaia 46 3 2 10" xfId="40273" xr:uid="{00000000-0005-0000-0000-00002A810000}"/>
    <cellStyle name="Migliaia 46 3 2 2" xfId="11583" xr:uid="{00000000-0005-0000-0000-00002B810000}"/>
    <cellStyle name="Migliaia 46 3 2 3" xfId="12186" xr:uid="{00000000-0005-0000-0000-00002C810000}"/>
    <cellStyle name="Migliaia 46 3 2 3 2" xfId="30371" xr:uid="{00000000-0005-0000-0000-00002D810000}"/>
    <cellStyle name="Migliaia 46 3 2 4" xfId="19545" xr:uid="{00000000-0005-0000-0000-00002E810000}"/>
    <cellStyle name="Migliaia 46 3 2 4 2" xfId="37509" xr:uid="{00000000-0005-0000-0000-00002F810000}"/>
    <cellStyle name="Migliaia 46 3 2 5" xfId="3366" xr:uid="{00000000-0005-0000-0000-000030810000}"/>
    <cellStyle name="Migliaia 46 3 2 5 2" xfId="23366" xr:uid="{00000000-0005-0000-0000-000031810000}"/>
    <cellStyle name="Migliaia 46 3 2 6" xfId="21634" xr:uid="{00000000-0005-0000-0000-000032810000}"/>
    <cellStyle name="Migliaia 46 3 2 7" xfId="38464" xr:uid="{00000000-0005-0000-0000-000033810000}"/>
    <cellStyle name="Migliaia 46 3 2 8" xfId="39270" xr:uid="{00000000-0005-0000-0000-000034810000}"/>
    <cellStyle name="Migliaia 46 3 2 9" xfId="39787" xr:uid="{00000000-0005-0000-0000-000035810000}"/>
    <cellStyle name="Migliaia 46 3 3" xfId="11582" xr:uid="{00000000-0005-0000-0000-000036810000}"/>
    <cellStyle name="Migliaia 46 3 3 2" xfId="20623" xr:uid="{00000000-0005-0000-0000-000037810000}"/>
    <cellStyle name="Migliaia 46 3 3 2 2" xfId="37940" xr:uid="{00000000-0005-0000-0000-000038810000}"/>
    <cellStyle name="Migliaia 46 3 3 2 3" xfId="38895" xr:uid="{00000000-0005-0000-0000-000039810000}"/>
    <cellStyle name="Migliaia 46 3 3 3" xfId="19546" xr:uid="{00000000-0005-0000-0000-00003A810000}"/>
    <cellStyle name="Migliaia 46 3 3 3 2" xfId="37510" xr:uid="{00000000-0005-0000-0000-00003B810000}"/>
    <cellStyle name="Migliaia 46 3 3 4" xfId="38465" xr:uid="{00000000-0005-0000-0000-00003C810000}"/>
    <cellStyle name="Migliaia 46 3 4" xfId="12185" xr:uid="{00000000-0005-0000-0000-00003D810000}"/>
    <cellStyle name="Migliaia 46 3 4 2" xfId="20622" xr:uid="{00000000-0005-0000-0000-00003E810000}"/>
    <cellStyle name="Migliaia 46 3 4 2 2" xfId="37939" xr:uid="{00000000-0005-0000-0000-00003F810000}"/>
    <cellStyle name="Migliaia 46 3 4 3" xfId="30370" xr:uid="{00000000-0005-0000-0000-000040810000}"/>
    <cellStyle name="Migliaia 46 3 4 4" xfId="38894" xr:uid="{00000000-0005-0000-0000-000041810000}"/>
    <cellStyle name="Migliaia 46 3 5" xfId="19544" xr:uid="{00000000-0005-0000-0000-000042810000}"/>
    <cellStyle name="Migliaia 46 3 5 2" xfId="37508" xr:uid="{00000000-0005-0000-0000-000043810000}"/>
    <cellStyle name="Migliaia 46 3 6" xfId="3365" xr:uid="{00000000-0005-0000-0000-000044810000}"/>
    <cellStyle name="Migliaia 46 3 6 2" xfId="23365" xr:uid="{00000000-0005-0000-0000-000045810000}"/>
    <cellStyle name="Migliaia 46 3 7" xfId="21633" xr:uid="{00000000-0005-0000-0000-000046810000}"/>
    <cellStyle name="Migliaia 46 3 8" xfId="38463" xr:uid="{00000000-0005-0000-0000-000047810000}"/>
    <cellStyle name="Migliaia 46 3 9" xfId="39269" xr:uid="{00000000-0005-0000-0000-000048810000}"/>
    <cellStyle name="Migliaia 46 4" xfId="705" xr:uid="{00000000-0005-0000-0000-000049810000}"/>
    <cellStyle name="Migliaia 46 4 2" xfId="19548" xr:uid="{00000000-0005-0000-0000-00004A810000}"/>
    <cellStyle name="Migliaia 46 4 2 2" xfId="20625" xr:uid="{00000000-0005-0000-0000-00004B810000}"/>
    <cellStyle name="Migliaia 46 4 2 2 2" xfId="37942" xr:uid="{00000000-0005-0000-0000-00004C810000}"/>
    <cellStyle name="Migliaia 46 4 2 2 3" xfId="38897" xr:uid="{00000000-0005-0000-0000-00004D810000}"/>
    <cellStyle name="Migliaia 46 4 2 3" xfId="37512" xr:uid="{00000000-0005-0000-0000-00004E810000}"/>
    <cellStyle name="Migliaia 46 4 2 4" xfId="38467" xr:uid="{00000000-0005-0000-0000-00004F810000}"/>
    <cellStyle name="Migliaia 46 4 3" xfId="20624" xr:uid="{00000000-0005-0000-0000-000050810000}"/>
    <cellStyle name="Migliaia 46 4 3 2" xfId="37941" xr:uid="{00000000-0005-0000-0000-000051810000}"/>
    <cellStyle name="Migliaia 46 4 3 3" xfId="38896" xr:uid="{00000000-0005-0000-0000-000052810000}"/>
    <cellStyle name="Migliaia 46 4 4" xfId="19547" xr:uid="{00000000-0005-0000-0000-000053810000}"/>
    <cellStyle name="Migliaia 46 4 4 2" xfId="37511" xr:uid="{00000000-0005-0000-0000-000054810000}"/>
    <cellStyle name="Migliaia 46 4 5" xfId="11584" xr:uid="{00000000-0005-0000-0000-000055810000}"/>
    <cellStyle name="Migliaia 46 4 6" xfId="21635" xr:uid="{00000000-0005-0000-0000-000056810000}"/>
    <cellStyle name="Migliaia 46 4 7" xfId="38466" xr:uid="{00000000-0005-0000-0000-000057810000}"/>
    <cellStyle name="Migliaia 46 4 8" xfId="39788" xr:uid="{00000000-0005-0000-0000-000058810000}"/>
    <cellStyle name="Migliaia 46 4 9" xfId="40274" xr:uid="{00000000-0005-0000-0000-000059810000}"/>
    <cellStyle name="Migliaia 46 5" xfId="706" xr:uid="{00000000-0005-0000-0000-00005A810000}"/>
    <cellStyle name="Migliaia 46 5 2" xfId="19549" xr:uid="{00000000-0005-0000-0000-00005B810000}"/>
    <cellStyle name="Migliaia 46 5 2 2" xfId="37513" xr:uid="{00000000-0005-0000-0000-00005C810000}"/>
    <cellStyle name="Migliaia 46 5 3" xfId="11585" xr:uid="{00000000-0005-0000-0000-00005D810000}"/>
    <cellStyle name="Migliaia 46 5 4" xfId="21636" xr:uid="{00000000-0005-0000-0000-00005E810000}"/>
    <cellStyle name="Migliaia 46 5 5" xfId="38468" xr:uid="{00000000-0005-0000-0000-00005F810000}"/>
    <cellStyle name="Migliaia 46 5 6" xfId="39789" xr:uid="{00000000-0005-0000-0000-000060810000}"/>
    <cellStyle name="Migliaia 46 5 7" xfId="40275" xr:uid="{00000000-0005-0000-0000-000061810000}"/>
    <cellStyle name="Migliaia 46 6" xfId="707" xr:uid="{00000000-0005-0000-0000-000062810000}"/>
    <cellStyle name="Migliaia 46 6 2" xfId="11580" xr:uid="{00000000-0005-0000-0000-000063810000}"/>
    <cellStyle name="Migliaia 46 6 3" xfId="21637" xr:uid="{00000000-0005-0000-0000-000064810000}"/>
    <cellStyle name="Migliaia 46 6 4" xfId="39790" xr:uid="{00000000-0005-0000-0000-000065810000}"/>
    <cellStyle name="Migliaia 46 6 5" xfId="40276" xr:uid="{00000000-0005-0000-0000-000066810000}"/>
    <cellStyle name="Migliaia 46 7" xfId="12183" xr:uid="{00000000-0005-0000-0000-000067810000}"/>
    <cellStyle name="Migliaia 46 7 2" xfId="30368" xr:uid="{00000000-0005-0000-0000-000068810000}"/>
    <cellStyle name="Migliaia 46 8" xfId="19542" xr:uid="{00000000-0005-0000-0000-000069810000}"/>
    <cellStyle name="Migliaia 46 8 2" xfId="37506" xr:uid="{00000000-0005-0000-0000-00006A810000}"/>
    <cellStyle name="Migliaia 46 9" xfId="3363" xr:uid="{00000000-0005-0000-0000-00006B810000}"/>
    <cellStyle name="Migliaia 46 9 2" xfId="23363" xr:uid="{00000000-0005-0000-0000-00006C810000}"/>
    <cellStyle name="Migliaia 47" xfId="708" xr:uid="{00000000-0005-0000-0000-00006D810000}"/>
    <cellStyle name="Migliaia 47 10" xfId="21638" xr:uid="{00000000-0005-0000-0000-00006E810000}"/>
    <cellStyle name="Migliaia 47 11" xfId="38469" xr:uid="{00000000-0005-0000-0000-00006F810000}"/>
    <cellStyle name="Migliaia 47 12" xfId="39271" xr:uid="{00000000-0005-0000-0000-000070810000}"/>
    <cellStyle name="Migliaia 47 13" xfId="39791" xr:uid="{00000000-0005-0000-0000-000071810000}"/>
    <cellStyle name="Migliaia 47 14" xfId="40277" xr:uid="{00000000-0005-0000-0000-000072810000}"/>
    <cellStyle name="Migliaia 47 2" xfId="709" xr:uid="{00000000-0005-0000-0000-000073810000}"/>
    <cellStyle name="Migliaia 47 2 10" xfId="39792" xr:uid="{00000000-0005-0000-0000-000074810000}"/>
    <cellStyle name="Migliaia 47 2 11" xfId="40278" xr:uid="{00000000-0005-0000-0000-000075810000}"/>
    <cellStyle name="Migliaia 47 2 2" xfId="3579" xr:uid="{00000000-0005-0000-0000-000076810000}"/>
    <cellStyle name="Migliaia 47 2 2 2" xfId="12340" xr:uid="{00000000-0005-0000-0000-000077810000}"/>
    <cellStyle name="Migliaia 47 2 2 2 2" xfId="30510" xr:uid="{00000000-0005-0000-0000-000078810000}"/>
    <cellStyle name="Migliaia 47 2 2 3" xfId="20626" xr:uid="{00000000-0005-0000-0000-000079810000}"/>
    <cellStyle name="Migliaia 47 2 2 3 2" xfId="37943" xr:uid="{00000000-0005-0000-0000-00007A810000}"/>
    <cellStyle name="Migliaia 47 2 2 4" xfId="23508" xr:uid="{00000000-0005-0000-0000-00007B810000}"/>
    <cellStyle name="Migliaia 47 2 2 5" xfId="38898" xr:uid="{00000000-0005-0000-0000-00007C810000}"/>
    <cellStyle name="Migliaia 47 2 2 6" xfId="39424" xr:uid="{00000000-0005-0000-0000-00007D810000}"/>
    <cellStyle name="Migliaia 47 2 3" xfId="11587" xr:uid="{00000000-0005-0000-0000-00007E810000}"/>
    <cellStyle name="Migliaia 47 2 4" xfId="12188" xr:uid="{00000000-0005-0000-0000-00007F810000}"/>
    <cellStyle name="Migliaia 47 2 4 2" xfId="30373" xr:uid="{00000000-0005-0000-0000-000080810000}"/>
    <cellStyle name="Migliaia 47 2 5" xfId="19551" xr:uid="{00000000-0005-0000-0000-000081810000}"/>
    <cellStyle name="Migliaia 47 2 5 2" xfId="37515" xr:uid="{00000000-0005-0000-0000-000082810000}"/>
    <cellStyle name="Migliaia 47 2 6" xfId="3368" xr:uid="{00000000-0005-0000-0000-000083810000}"/>
    <cellStyle name="Migliaia 47 2 6 2" xfId="23368" xr:uid="{00000000-0005-0000-0000-000084810000}"/>
    <cellStyle name="Migliaia 47 2 7" xfId="21639" xr:uid="{00000000-0005-0000-0000-000085810000}"/>
    <cellStyle name="Migliaia 47 2 8" xfId="38470" xr:uid="{00000000-0005-0000-0000-000086810000}"/>
    <cellStyle name="Migliaia 47 2 9" xfId="39272" xr:uid="{00000000-0005-0000-0000-000087810000}"/>
    <cellStyle name="Migliaia 47 3" xfId="710" xr:uid="{00000000-0005-0000-0000-000088810000}"/>
    <cellStyle name="Migliaia 47 3 10" xfId="39793" xr:uid="{00000000-0005-0000-0000-000089810000}"/>
    <cellStyle name="Migliaia 47 3 11" xfId="40279" xr:uid="{00000000-0005-0000-0000-00008A810000}"/>
    <cellStyle name="Migliaia 47 3 2" xfId="711" xr:uid="{00000000-0005-0000-0000-00008B810000}"/>
    <cellStyle name="Migliaia 47 3 2 10" xfId="40280" xr:uid="{00000000-0005-0000-0000-00008C810000}"/>
    <cellStyle name="Migliaia 47 3 2 2" xfId="11589" xr:uid="{00000000-0005-0000-0000-00008D810000}"/>
    <cellStyle name="Migliaia 47 3 2 3" xfId="12190" xr:uid="{00000000-0005-0000-0000-00008E810000}"/>
    <cellStyle name="Migliaia 47 3 2 3 2" xfId="30375" xr:uid="{00000000-0005-0000-0000-00008F810000}"/>
    <cellStyle name="Migliaia 47 3 2 4" xfId="19553" xr:uid="{00000000-0005-0000-0000-000090810000}"/>
    <cellStyle name="Migliaia 47 3 2 4 2" xfId="37517" xr:uid="{00000000-0005-0000-0000-000091810000}"/>
    <cellStyle name="Migliaia 47 3 2 5" xfId="3370" xr:uid="{00000000-0005-0000-0000-000092810000}"/>
    <cellStyle name="Migliaia 47 3 2 5 2" xfId="23370" xr:uid="{00000000-0005-0000-0000-000093810000}"/>
    <cellStyle name="Migliaia 47 3 2 6" xfId="21641" xr:uid="{00000000-0005-0000-0000-000094810000}"/>
    <cellStyle name="Migliaia 47 3 2 7" xfId="38472" xr:uid="{00000000-0005-0000-0000-000095810000}"/>
    <cellStyle name="Migliaia 47 3 2 8" xfId="39274" xr:uid="{00000000-0005-0000-0000-000096810000}"/>
    <cellStyle name="Migliaia 47 3 2 9" xfId="39794" xr:uid="{00000000-0005-0000-0000-000097810000}"/>
    <cellStyle name="Migliaia 47 3 3" xfId="11588" xr:uid="{00000000-0005-0000-0000-000098810000}"/>
    <cellStyle name="Migliaia 47 3 3 2" xfId="20628" xr:uid="{00000000-0005-0000-0000-000099810000}"/>
    <cellStyle name="Migliaia 47 3 3 2 2" xfId="37945" xr:uid="{00000000-0005-0000-0000-00009A810000}"/>
    <cellStyle name="Migliaia 47 3 3 2 3" xfId="38900" xr:uid="{00000000-0005-0000-0000-00009B810000}"/>
    <cellStyle name="Migliaia 47 3 3 3" xfId="19554" xr:uid="{00000000-0005-0000-0000-00009C810000}"/>
    <cellStyle name="Migliaia 47 3 3 3 2" xfId="37518" xr:uid="{00000000-0005-0000-0000-00009D810000}"/>
    <cellStyle name="Migliaia 47 3 3 4" xfId="38473" xr:uid="{00000000-0005-0000-0000-00009E810000}"/>
    <cellStyle name="Migliaia 47 3 4" xfId="12189" xr:uid="{00000000-0005-0000-0000-00009F810000}"/>
    <cellStyle name="Migliaia 47 3 4 2" xfId="20627" xr:uid="{00000000-0005-0000-0000-0000A0810000}"/>
    <cellStyle name="Migliaia 47 3 4 2 2" xfId="37944" xr:uid="{00000000-0005-0000-0000-0000A1810000}"/>
    <cellStyle name="Migliaia 47 3 4 3" xfId="30374" xr:uid="{00000000-0005-0000-0000-0000A2810000}"/>
    <cellStyle name="Migliaia 47 3 4 4" xfId="38899" xr:uid="{00000000-0005-0000-0000-0000A3810000}"/>
    <cellStyle name="Migliaia 47 3 5" xfId="19552" xr:uid="{00000000-0005-0000-0000-0000A4810000}"/>
    <cellStyle name="Migliaia 47 3 5 2" xfId="37516" xr:uid="{00000000-0005-0000-0000-0000A5810000}"/>
    <cellStyle name="Migliaia 47 3 6" xfId="3369" xr:uid="{00000000-0005-0000-0000-0000A6810000}"/>
    <cellStyle name="Migliaia 47 3 6 2" xfId="23369" xr:uid="{00000000-0005-0000-0000-0000A7810000}"/>
    <cellStyle name="Migliaia 47 3 7" xfId="21640" xr:uid="{00000000-0005-0000-0000-0000A8810000}"/>
    <cellStyle name="Migliaia 47 3 8" xfId="38471" xr:uid="{00000000-0005-0000-0000-0000A9810000}"/>
    <cellStyle name="Migliaia 47 3 9" xfId="39273" xr:uid="{00000000-0005-0000-0000-0000AA810000}"/>
    <cellStyle name="Migliaia 47 4" xfId="712" xr:uid="{00000000-0005-0000-0000-0000AB810000}"/>
    <cellStyle name="Migliaia 47 4 2" xfId="19556" xr:uid="{00000000-0005-0000-0000-0000AC810000}"/>
    <cellStyle name="Migliaia 47 4 2 2" xfId="20630" xr:uid="{00000000-0005-0000-0000-0000AD810000}"/>
    <cellStyle name="Migliaia 47 4 2 2 2" xfId="37947" xr:uid="{00000000-0005-0000-0000-0000AE810000}"/>
    <cellStyle name="Migliaia 47 4 2 2 3" xfId="38902" xr:uid="{00000000-0005-0000-0000-0000AF810000}"/>
    <cellStyle name="Migliaia 47 4 2 3" xfId="37520" xr:uid="{00000000-0005-0000-0000-0000B0810000}"/>
    <cellStyle name="Migliaia 47 4 2 4" xfId="38475" xr:uid="{00000000-0005-0000-0000-0000B1810000}"/>
    <cellStyle name="Migliaia 47 4 3" xfId="20629" xr:uid="{00000000-0005-0000-0000-0000B2810000}"/>
    <cellStyle name="Migliaia 47 4 3 2" xfId="37946" xr:uid="{00000000-0005-0000-0000-0000B3810000}"/>
    <cellStyle name="Migliaia 47 4 3 3" xfId="38901" xr:uid="{00000000-0005-0000-0000-0000B4810000}"/>
    <cellStyle name="Migliaia 47 4 4" xfId="19555" xr:uid="{00000000-0005-0000-0000-0000B5810000}"/>
    <cellStyle name="Migliaia 47 4 4 2" xfId="37519" xr:uid="{00000000-0005-0000-0000-0000B6810000}"/>
    <cellStyle name="Migliaia 47 4 5" xfId="11590" xr:uid="{00000000-0005-0000-0000-0000B7810000}"/>
    <cellStyle name="Migliaia 47 4 6" xfId="21642" xr:uid="{00000000-0005-0000-0000-0000B8810000}"/>
    <cellStyle name="Migliaia 47 4 7" xfId="38474" xr:uid="{00000000-0005-0000-0000-0000B9810000}"/>
    <cellStyle name="Migliaia 47 4 8" xfId="39795" xr:uid="{00000000-0005-0000-0000-0000BA810000}"/>
    <cellStyle name="Migliaia 47 4 9" xfId="40281" xr:uid="{00000000-0005-0000-0000-0000BB810000}"/>
    <cellStyle name="Migliaia 47 5" xfId="713" xr:uid="{00000000-0005-0000-0000-0000BC810000}"/>
    <cellStyle name="Migliaia 47 5 2" xfId="19557" xr:uid="{00000000-0005-0000-0000-0000BD810000}"/>
    <cellStyle name="Migliaia 47 5 2 2" xfId="37521" xr:uid="{00000000-0005-0000-0000-0000BE810000}"/>
    <cellStyle name="Migliaia 47 5 3" xfId="11591" xr:uid="{00000000-0005-0000-0000-0000BF810000}"/>
    <cellStyle name="Migliaia 47 5 4" xfId="21643" xr:uid="{00000000-0005-0000-0000-0000C0810000}"/>
    <cellStyle name="Migliaia 47 5 5" xfId="38476" xr:uid="{00000000-0005-0000-0000-0000C1810000}"/>
    <cellStyle name="Migliaia 47 5 6" xfId="39796" xr:uid="{00000000-0005-0000-0000-0000C2810000}"/>
    <cellStyle name="Migliaia 47 5 7" xfId="40282" xr:uid="{00000000-0005-0000-0000-0000C3810000}"/>
    <cellStyle name="Migliaia 47 6" xfId="714" xr:uid="{00000000-0005-0000-0000-0000C4810000}"/>
    <cellStyle name="Migliaia 47 6 2" xfId="11586" xr:uid="{00000000-0005-0000-0000-0000C5810000}"/>
    <cellStyle name="Migliaia 47 6 3" xfId="21644" xr:uid="{00000000-0005-0000-0000-0000C6810000}"/>
    <cellStyle name="Migliaia 47 6 4" xfId="39797" xr:uid="{00000000-0005-0000-0000-0000C7810000}"/>
    <cellStyle name="Migliaia 47 6 5" xfId="40283" xr:uid="{00000000-0005-0000-0000-0000C8810000}"/>
    <cellStyle name="Migliaia 47 7" xfId="12187" xr:uid="{00000000-0005-0000-0000-0000C9810000}"/>
    <cellStyle name="Migliaia 47 7 2" xfId="30372" xr:uid="{00000000-0005-0000-0000-0000CA810000}"/>
    <cellStyle name="Migliaia 47 8" xfId="19550" xr:uid="{00000000-0005-0000-0000-0000CB810000}"/>
    <cellStyle name="Migliaia 47 8 2" xfId="37514" xr:uid="{00000000-0005-0000-0000-0000CC810000}"/>
    <cellStyle name="Migliaia 47 9" xfId="3367" xr:uid="{00000000-0005-0000-0000-0000CD810000}"/>
    <cellStyle name="Migliaia 47 9 2" xfId="23367" xr:uid="{00000000-0005-0000-0000-0000CE810000}"/>
    <cellStyle name="Migliaia 48" xfId="715" xr:uid="{00000000-0005-0000-0000-0000CF810000}"/>
    <cellStyle name="Migliaia 48 10" xfId="21645" xr:uid="{00000000-0005-0000-0000-0000D0810000}"/>
    <cellStyle name="Migliaia 48 11" xfId="38477" xr:uid="{00000000-0005-0000-0000-0000D1810000}"/>
    <cellStyle name="Migliaia 48 12" xfId="39275" xr:uid="{00000000-0005-0000-0000-0000D2810000}"/>
    <cellStyle name="Migliaia 48 13" xfId="39798" xr:uid="{00000000-0005-0000-0000-0000D3810000}"/>
    <cellStyle name="Migliaia 48 14" xfId="40284" xr:uid="{00000000-0005-0000-0000-0000D4810000}"/>
    <cellStyle name="Migliaia 48 2" xfId="716" xr:uid="{00000000-0005-0000-0000-0000D5810000}"/>
    <cellStyle name="Migliaia 48 2 10" xfId="39799" xr:uid="{00000000-0005-0000-0000-0000D6810000}"/>
    <cellStyle name="Migliaia 48 2 11" xfId="40285" xr:uid="{00000000-0005-0000-0000-0000D7810000}"/>
    <cellStyle name="Migliaia 48 2 2" xfId="3580" xr:uid="{00000000-0005-0000-0000-0000D8810000}"/>
    <cellStyle name="Migliaia 48 2 2 2" xfId="12341" xr:uid="{00000000-0005-0000-0000-0000D9810000}"/>
    <cellStyle name="Migliaia 48 2 2 2 2" xfId="30511" xr:uid="{00000000-0005-0000-0000-0000DA810000}"/>
    <cellStyle name="Migliaia 48 2 2 3" xfId="20631" xr:uid="{00000000-0005-0000-0000-0000DB810000}"/>
    <cellStyle name="Migliaia 48 2 2 3 2" xfId="37948" xr:uid="{00000000-0005-0000-0000-0000DC810000}"/>
    <cellStyle name="Migliaia 48 2 2 4" xfId="23509" xr:uid="{00000000-0005-0000-0000-0000DD810000}"/>
    <cellStyle name="Migliaia 48 2 2 5" xfId="38903" xr:uid="{00000000-0005-0000-0000-0000DE810000}"/>
    <cellStyle name="Migliaia 48 2 2 6" xfId="39425" xr:uid="{00000000-0005-0000-0000-0000DF810000}"/>
    <cellStyle name="Migliaia 48 2 3" xfId="11593" xr:uid="{00000000-0005-0000-0000-0000E0810000}"/>
    <cellStyle name="Migliaia 48 2 4" xfId="12192" xr:uid="{00000000-0005-0000-0000-0000E1810000}"/>
    <cellStyle name="Migliaia 48 2 4 2" xfId="30377" xr:uid="{00000000-0005-0000-0000-0000E2810000}"/>
    <cellStyle name="Migliaia 48 2 5" xfId="19559" xr:uid="{00000000-0005-0000-0000-0000E3810000}"/>
    <cellStyle name="Migliaia 48 2 5 2" xfId="37523" xr:uid="{00000000-0005-0000-0000-0000E4810000}"/>
    <cellStyle name="Migliaia 48 2 6" xfId="3372" xr:uid="{00000000-0005-0000-0000-0000E5810000}"/>
    <cellStyle name="Migliaia 48 2 6 2" xfId="23372" xr:uid="{00000000-0005-0000-0000-0000E6810000}"/>
    <cellStyle name="Migliaia 48 2 7" xfId="21646" xr:uid="{00000000-0005-0000-0000-0000E7810000}"/>
    <cellStyle name="Migliaia 48 2 8" xfId="38478" xr:uid="{00000000-0005-0000-0000-0000E8810000}"/>
    <cellStyle name="Migliaia 48 2 9" xfId="39276" xr:uid="{00000000-0005-0000-0000-0000E9810000}"/>
    <cellStyle name="Migliaia 48 3" xfId="717" xr:uid="{00000000-0005-0000-0000-0000EA810000}"/>
    <cellStyle name="Migliaia 48 3 10" xfId="39800" xr:uid="{00000000-0005-0000-0000-0000EB810000}"/>
    <cellStyle name="Migliaia 48 3 11" xfId="40286" xr:uid="{00000000-0005-0000-0000-0000EC810000}"/>
    <cellStyle name="Migliaia 48 3 2" xfId="718" xr:uid="{00000000-0005-0000-0000-0000ED810000}"/>
    <cellStyle name="Migliaia 48 3 2 10" xfId="40287" xr:uid="{00000000-0005-0000-0000-0000EE810000}"/>
    <cellStyle name="Migliaia 48 3 2 2" xfId="11595" xr:uid="{00000000-0005-0000-0000-0000EF810000}"/>
    <cellStyle name="Migliaia 48 3 2 3" xfId="12194" xr:uid="{00000000-0005-0000-0000-0000F0810000}"/>
    <cellStyle name="Migliaia 48 3 2 3 2" xfId="30379" xr:uid="{00000000-0005-0000-0000-0000F1810000}"/>
    <cellStyle name="Migliaia 48 3 2 4" xfId="19561" xr:uid="{00000000-0005-0000-0000-0000F2810000}"/>
    <cellStyle name="Migliaia 48 3 2 4 2" xfId="37525" xr:uid="{00000000-0005-0000-0000-0000F3810000}"/>
    <cellStyle name="Migliaia 48 3 2 5" xfId="3374" xr:uid="{00000000-0005-0000-0000-0000F4810000}"/>
    <cellStyle name="Migliaia 48 3 2 5 2" xfId="23374" xr:uid="{00000000-0005-0000-0000-0000F5810000}"/>
    <cellStyle name="Migliaia 48 3 2 6" xfId="21648" xr:uid="{00000000-0005-0000-0000-0000F6810000}"/>
    <cellStyle name="Migliaia 48 3 2 7" xfId="38480" xr:uid="{00000000-0005-0000-0000-0000F7810000}"/>
    <cellStyle name="Migliaia 48 3 2 8" xfId="39278" xr:uid="{00000000-0005-0000-0000-0000F8810000}"/>
    <cellStyle name="Migliaia 48 3 2 9" xfId="39801" xr:uid="{00000000-0005-0000-0000-0000F9810000}"/>
    <cellStyle name="Migliaia 48 3 3" xfId="11594" xr:uid="{00000000-0005-0000-0000-0000FA810000}"/>
    <cellStyle name="Migliaia 48 3 3 2" xfId="20633" xr:uid="{00000000-0005-0000-0000-0000FB810000}"/>
    <cellStyle name="Migliaia 48 3 3 2 2" xfId="37950" xr:uid="{00000000-0005-0000-0000-0000FC810000}"/>
    <cellStyle name="Migliaia 48 3 3 2 3" xfId="38905" xr:uid="{00000000-0005-0000-0000-0000FD810000}"/>
    <cellStyle name="Migliaia 48 3 3 3" xfId="19562" xr:uid="{00000000-0005-0000-0000-0000FE810000}"/>
    <cellStyle name="Migliaia 48 3 3 3 2" xfId="37526" xr:uid="{00000000-0005-0000-0000-0000FF810000}"/>
    <cellStyle name="Migliaia 48 3 3 4" xfId="38481" xr:uid="{00000000-0005-0000-0000-000000820000}"/>
    <cellStyle name="Migliaia 48 3 4" xfId="12193" xr:uid="{00000000-0005-0000-0000-000001820000}"/>
    <cellStyle name="Migliaia 48 3 4 2" xfId="20632" xr:uid="{00000000-0005-0000-0000-000002820000}"/>
    <cellStyle name="Migliaia 48 3 4 2 2" xfId="37949" xr:uid="{00000000-0005-0000-0000-000003820000}"/>
    <cellStyle name="Migliaia 48 3 4 3" xfId="30378" xr:uid="{00000000-0005-0000-0000-000004820000}"/>
    <cellStyle name="Migliaia 48 3 4 4" xfId="38904" xr:uid="{00000000-0005-0000-0000-000005820000}"/>
    <cellStyle name="Migliaia 48 3 5" xfId="19560" xr:uid="{00000000-0005-0000-0000-000006820000}"/>
    <cellStyle name="Migliaia 48 3 5 2" xfId="37524" xr:uid="{00000000-0005-0000-0000-000007820000}"/>
    <cellStyle name="Migliaia 48 3 6" xfId="3373" xr:uid="{00000000-0005-0000-0000-000008820000}"/>
    <cellStyle name="Migliaia 48 3 6 2" xfId="23373" xr:uid="{00000000-0005-0000-0000-000009820000}"/>
    <cellStyle name="Migliaia 48 3 7" xfId="21647" xr:uid="{00000000-0005-0000-0000-00000A820000}"/>
    <cellStyle name="Migliaia 48 3 8" xfId="38479" xr:uid="{00000000-0005-0000-0000-00000B820000}"/>
    <cellStyle name="Migliaia 48 3 9" xfId="39277" xr:uid="{00000000-0005-0000-0000-00000C820000}"/>
    <cellStyle name="Migliaia 48 4" xfId="719" xr:uid="{00000000-0005-0000-0000-00000D820000}"/>
    <cellStyle name="Migliaia 48 4 2" xfId="19564" xr:uid="{00000000-0005-0000-0000-00000E820000}"/>
    <cellStyle name="Migliaia 48 4 2 2" xfId="20635" xr:uid="{00000000-0005-0000-0000-00000F820000}"/>
    <cellStyle name="Migliaia 48 4 2 2 2" xfId="37952" xr:uid="{00000000-0005-0000-0000-000010820000}"/>
    <cellStyle name="Migliaia 48 4 2 2 3" xfId="38907" xr:uid="{00000000-0005-0000-0000-000011820000}"/>
    <cellStyle name="Migliaia 48 4 2 3" xfId="37528" xr:uid="{00000000-0005-0000-0000-000012820000}"/>
    <cellStyle name="Migliaia 48 4 2 4" xfId="38483" xr:uid="{00000000-0005-0000-0000-000013820000}"/>
    <cellStyle name="Migliaia 48 4 3" xfId="20634" xr:uid="{00000000-0005-0000-0000-000014820000}"/>
    <cellStyle name="Migliaia 48 4 3 2" xfId="37951" xr:uid="{00000000-0005-0000-0000-000015820000}"/>
    <cellStyle name="Migliaia 48 4 3 3" xfId="38906" xr:uid="{00000000-0005-0000-0000-000016820000}"/>
    <cellStyle name="Migliaia 48 4 4" xfId="19563" xr:uid="{00000000-0005-0000-0000-000017820000}"/>
    <cellStyle name="Migliaia 48 4 4 2" xfId="37527" xr:uid="{00000000-0005-0000-0000-000018820000}"/>
    <cellStyle name="Migliaia 48 4 5" xfId="11596" xr:uid="{00000000-0005-0000-0000-000019820000}"/>
    <cellStyle name="Migliaia 48 4 6" xfId="21649" xr:uid="{00000000-0005-0000-0000-00001A820000}"/>
    <cellStyle name="Migliaia 48 4 7" xfId="38482" xr:uid="{00000000-0005-0000-0000-00001B820000}"/>
    <cellStyle name="Migliaia 48 4 8" xfId="39802" xr:uid="{00000000-0005-0000-0000-00001C820000}"/>
    <cellStyle name="Migliaia 48 4 9" xfId="40288" xr:uid="{00000000-0005-0000-0000-00001D820000}"/>
    <cellStyle name="Migliaia 48 5" xfId="720" xr:uid="{00000000-0005-0000-0000-00001E820000}"/>
    <cellStyle name="Migliaia 48 5 2" xfId="19565" xr:uid="{00000000-0005-0000-0000-00001F820000}"/>
    <cellStyle name="Migliaia 48 5 2 2" xfId="37529" xr:uid="{00000000-0005-0000-0000-000020820000}"/>
    <cellStyle name="Migliaia 48 5 3" xfId="11597" xr:uid="{00000000-0005-0000-0000-000021820000}"/>
    <cellStyle name="Migliaia 48 5 4" xfId="21650" xr:uid="{00000000-0005-0000-0000-000022820000}"/>
    <cellStyle name="Migliaia 48 5 5" xfId="38484" xr:uid="{00000000-0005-0000-0000-000023820000}"/>
    <cellStyle name="Migliaia 48 5 6" xfId="39803" xr:uid="{00000000-0005-0000-0000-000024820000}"/>
    <cellStyle name="Migliaia 48 5 7" xfId="40289" xr:uid="{00000000-0005-0000-0000-000025820000}"/>
    <cellStyle name="Migliaia 48 6" xfId="721" xr:uid="{00000000-0005-0000-0000-000026820000}"/>
    <cellStyle name="Migliaia 48 6 2" xfId="11592" xr:uid="{00000000-0005-0000-0000-000027820000}"/>
    <cellStyle name="Migliaia 48 6 3" xfId="21651" xr:uid="{00000000-0005-0000-0000-000028820000}"/>
    <cellStyle name="Migliaia 48 6 4" xfId="39804" xr:uid="{00000000-0005-0000-0000-000029820000}"/>
    <cellStyle name="Migliaia 48 6 5" xfId="40290" xr:uid="{00000000-0005-0000-0000-00002A820000}"/>
    <cellStyle name="Migliaia 48 7" xfId="12191" xr:uid="{00000000-0005-0000-0000-00002B820000}"/>
    <cellStyle name="Migliaia 48 7 2" xfId="30376" xr:uid="{00000000-0005-0000-0000-00002C820000}"/>
    <cellStyle name="Migliaia 48 8" xfId="19558" xr:uid="{00000000-0005-0000-0000-00002D820000}"/>
    <cellStyle name="Migliaia 48 8 2" xfId="37522" xr:uid="{00000000-0005-0000-0000-00002E820000}"/>
    <cellStyle name="Migliaia 48 9" xfId="3371" xr:uid="{00000000-0005-0000-0000-00002F820000}"/>
    <cellStyle name="Migliaia 48 9 2" xfId="23371" xr:uid="{00000000-0005-0000-0000-000030820000}"/>
    <cellStyle name="Migliaia 49" xfId="722" xr:uid="{00000000-0005-0000-0000-000031820000}"/>
    <cellStyle name="Migliaia 49 10" xfId="21652" xr:uid="{00000000-0005-0000-0000-000032820000}"/>
    <cellStyle name="Migliaia 49 11" xfId="38485" xr:uid="{00000000-0005-0000-0000-000033820000}"/>
    <cellStyle name="Migliaia 49 12" xfId="39279" xr:uid="{00000000-0005-0000-0000-000034820000}"/>
    <cellStyle name="Migliaia 49 13" xfId="39805" xr:uid="{00000000-0005-0000-0000-000035820000}"/>
    <cellStyle name="Migliaia 49 14" xfId="40291" xr:uid="{00000000-0005-0000-0000-000036820000}"/>
    <cellStyle name="Migliaia 49 2" xfId="723" xr:uid="{00000000-0005-0000-0000-000037820000}"/>
    <cellStyle name="Migliaia 49 2 10" xfId="39806" xr:uid="{00000000-0005-0000-0000-000038820000}"/>
    <cellStyle name="Migliaia 49 2 11" xfId="40292" xr:uid="{00000000-0005-0000-0000-000039820000}"/>
    <cellStyle name="Migliaia 49 2 2" xfId="3581" xr:uid="{00000000-0005-0000-0000-00003A820000}"/>
    <cellStyle name="Migliaia 49 2 2 2" xfId="12342" xr:uid="{00000000-0005-0000-0000-00003B820000}"/>
    <cellStyle name="Migliaia 49 2 2 2 2" xfId="30512" xr:uid="{00000000-0005-0000-0000-00003C820000}"/>
    <cellStyle name="Migliaia 49 2 2 3" xfId="20636" xr:uid="{00000000-0005-0000-0000-00003D820000}"/>
    <cellStyle name="Migliaia 49 2 2 3 2" xfId="37953" xr:uid="{00000000-0005-0000-0000-00003E820000}"/>
    <cellStyle name="Migliaia 49 2 2 4" xfId="23510" xr:uid="{00000000-0005-0000-0000-00003F820000}"/>
    <cellStyle name="Migliaia 49 2 2 5" xfId="38908" xr:uid="{00000000-0005-0000-0000-000040820000}"/>
    <cellStyle name="Migliaia 49 2 2 6" xfId="39426" xr:uid="{00000000-0005-0000-0000-000041820000}"/>
    <cellStyle name="Migliaia 49 2 3" xfId="11599" xr:uid="{00000000-0005-0000-0000-000042820000}"/>
    <cellStyle name="Migliaia 49 2 4" xfId="12196" xr:uid="{00000000-0005-0000-0000-000043820000}"/>
    <cellStyle name="Migliaia 49 2 4 2" xfId="30381" xr:uid="{00000000-0005-0000-0000-000044820000}"/>
    <cellStyle name="Migliaia 49 2 5" xfId="19567" xr:uid="{00000000-0005-0000-0000-000045820000}"/>
    <cellStyle name="Migliaia 49 2 5 2" xfId="37531" xr:uid="{00000000-0005-0000-0000-000046820000}"/>
    <cellStyle name="Migliaia 49 2 6" xfId="3376" xr:uid="{00000000-0005-0000-0000-000047820000}"/>
    <cellStyle name="Migliaia 49 2 6 2" xfId="23376" xr:uid="{00000000-0005-0000-0000-000048820000}"/>
    <cellStyle name="Migliaia 49 2 7" xfId="21653" xr:uid="{00000000-0005-0000-0000-000049820000}"/>
    <cellStyle name="Migliaia 49 2 8" xfId="38486" xr:uid="{00000000-0005-0000-0000-00004A820000}"/>
    <cellStyle name="Migliaia 49 2 9" xfId="39280" xr:uid="{00000000-0005-0000-0000-00004B820000}"/>
    <cellStyle name="Migliaia 49 3" xfId="724" xr:uid="{00000000-0005-0000-0000-00004C820000}"/>
    <cellStyle name="Migliaia 49 3 10" xfId="39807" xr:uid="{00000000-0005-0000-0000-00004D820000}"/>
    <cellStyle name="Migliaia 49 3 11" xfId="40293" xr:uid="{00000000-0005-0000-0000-00004E820000}"/>
    <cellStyle name="Migliaia 49 3 2" xfId="725" xr:uid="{00000000-0005-0000-0000-00004F820000}"/>
    <cellStyle name="Migliaia 49 3 2 10" xfId="40294" xr:uid="{00000000-0005-0000-0000-000050820000}"/>
    <cellStyle name="Migliaia 49 3 2 2" xfId="11601" xr:uid="{00000000-0005-0000-0000-000051820000}"/>
    <cellStyle name="Migliaia 49 3 2 3" xfId="12198" xr:uid="{00000000-0005-0000-0000-000052820000}"/>
    <cellStyle name="Migliaia 49 3 2 3 2" xfId="30383" xr:uid="{00000000-0005-0000-0000-000053820000}"/>
    <cellStyle name="Migliaia 49 3 2 4" xfId="19569" xr:uid="{00000000-0005-0000-0000-000054820000}"/>
    <cellStyle name="Migliaia 49 3 2 4 2" xfId="37533" xr:uid="{00000000-0005-0000-0000-000055820000}"/>
    <cellStyle name="Migliaia 49 3 2 5" xfId="3378" xr:uid="{00000000-0005-0000-0000-000056820000}"/>
    <cellStyle name="Migliaia 49 3 2 5 2" xfId="23378" xr:uid="{00000000-0005-0000-0000-000057820000}"/>
    <cellStyle name="Migliaia 49 3 2 6" xfId="21655" xr:uid="{00000000-0005-0000-0000-000058820000}"/>
    <cellStyle name="Migliaia 49 3 2 7" xfId="38488" xr:uid="{00000000-0005-0000-0000-000059820000}"/>
    <cellStyle name="Migliaia 49 3 2 8" xfId="39282" xr:uid="{00000000-0005-0000-0000-00005A820000}"/>
    <cellStyle name="Migliaia 49 3 2 9" xfId="39808" xr:uid="{00000000-0005-0000-0000-00005B820000}"/>
    <cellStyle name="Migliaia 49 3 3" xfId="11600" xr:uid="{00000000-0005-0000-0000-00005C820000}"/>
    <cellStyle name="Migliaia 49 3 3 2" xfId="20638" xr:uid="{00000000-0005-0000-0000-00005D820000}"/>
    <cellStyle name="Migliaia 49 3 3 2 2" xfId="37955" xr:uid="{00000000-0005-0000-0000-00005E820000}"/>
    <cellStyle name="Migliaia 49 3 3 2 3" xfId="38910" xr:uid="{00000000-0005-0000-0000-00005F820000}"/>
    <cellStyle name="Migliaia 49 3 3 3" xfId="19570" xr:uid="{00000000-0005-0000-0000-000060820000}"/>
    <cellStyle name="Migliaia 49 3 3 3 2" xfId="37534" xr:uid="{00000000-0005-0000-0000-000061820000}"/>
    <cellStyle name="Migliaia 49 3 3 4" xfId="38489" xr:uid="{00000000-0005-0000-0000-000062820000}"/>
    <cellStyle name="Migliaia 49 3 4" xfId="12197" xr:uid="{00000000-0005-0000-0000-000063820000}"/>
    <cellStyle name="Migliaia 49 3 4 2" xfId="20637" xr:uid="{00000000-0005-0000-0000-000064820000}"/>
    <cellStyle name="Migliaia 49 3 4 2 2" xfId="37954" xr:uid="{00000000-0005-0000-0000-000065820000}"/>
    <cellStyle name="Migliaia 49 3 4 3" xfId="30382" xr:uid="{00000000-0005-0000-0000-000066820000}"/>
    <cellStyle name="Migliaia 49 3 4 4" xfId="38909" xr:uid="{00000000-0005-0000-0000-000067820000}"/>
    <cellStyle name="Migliaia 49 3 5" xfId="19568" xr:uid="{00000000-0005-0000-0000-000068820000}"/>
    <cellStyle name="Migliaia 49 3 5 2" xfId="37532" xr:uid="{00000000-0005-0000-0000-000069820000}"/>
    <cellStyle name="Migliaia 49 3 6" xfId="3377" xr:uid="{00000000-0005-0000-0000-00006A820000}"/>
    <cellStyle name="Migliaia 49 3 6 2" xfId="23377" xr:uid="{00000000-0005-0000-0000-00006B820000}"/>
    <cellStyle name="Migliaia 49 3 7" xfId="21654" xr:uid="{00000000-0005-0000-0000-00006C820000}"/>
    <cellStyle name="Migliaia 49 3 8" xfId="38487" xr:uid="{00000000-0005-0000-0000-00006D820000}"/>
    <cellStyle name="Migliaia 49 3 9" xfId="39281" xr:uid="{00000000-0005-0000-0000-00006E820000}"/>
    <cellStyle name="Migliaia 49 4" xfId="726" xr:uid="{00000000-0005-0000-0000-00006F820000}"/>
    <cellStyle name="Migliaia 49 4 2" xfId="19572" xr:uid="{00000000-0005-0000-0000-000070820000}"/>
    <cellStyle name="Migliaia 49 4 2 2" xfId="20640" xr:uid="{00000000-0005-0000-0000-000071820000}"/>
    <cellStyle name="Migliaia 49 4 2 2 2" xfId="37957" xr:uid="{00000000-0005-0000-0000-000072820000}"/>
    <cellStyle name="Migliaia 49 4 2 2 3" xfId="38912" xr:uid="{00000000-0005-0000-0000-000073820000}"/>
    <cellStyle name="Migliaia 49 4 2 3" xfId="37536" xr:uid="{00000000-0005-0000-0000-000074820000}"/>
    <cellStyle name="Migliaia 49 4 2 4" xfId="38491" xr:uid="{00000000-0005-0000-0000-000075820000}"/>
    <cellStyle name="Migliaia 49 4 3" xfId="20639" xr:uid="{00000000-0005-0000-0000-000076820000}"/>
    <cellStyle name="Migliaia 49 4 3 2" xfId="37956" xr:uid="{00000000-0005-0000-0000-000077820000}"/>
    <cellStyle name="Migliaia 49 4 3 3" xfId="38911" xr:uid="{00000000-0005-0000-0000-000078820000}"/>
    <cellStyle name="Migliaia 49 4 4" xfId="19571" xr:uid="{00000000-0005-0000-0000-000079820000}"/>
    <cellStyle name="Migliaia 49 4 4 2" xfId="37535" xr:uid="{00000000-0005-0000-0000-00007A820000}"/>
    <cellStyle name="Migliaia 49 4 5" xfId="11602" xr:uid="{00000000-0005-0000-0000-00007B820000}"/>
    <cellStyle name="Migliaia 49 4 6" xfId="21656" xr:uid="{00000000-0005-0000-0000-00007C820000}"/>
    <cellStyle name="Migliaia 49 4 7" xfId="38490" xr:uid="{00000000-0005-0000-0000-00007D820000}"/>
    <cellStyle name="Migliaia 49 4 8" xfId="39809" xr:uid="{00000000-0005-0000-0000-00007E820000}"/>
    <cellStyle name="Migliaia 49 4 9" xfId="40295" xr:uid="{00000000-0005-0000-0000-00007F820000}"/>
    <cellStyle name="Migliaia 49 5" xfId="727" xr:uid="{00000000-0005-0000-0000-000080820000}"/>
    <cellStyle name="Migliaia 49 5 2" xfId="19573" xr:uid="{00000000-0005-0000-0000-000081820000}"/>
    <cellStyle name="Migliaia 49 5 2 2" xfId="37537" xr:uid="{00000000-0005-0000-0000-000082820000}"/>
    <cellStyle name="Migliaia 49 5 3" xfId="11603" xr:uid="{00000000-0005-0000-0000-000083820000}"/>
    <cellStyle name="Migliaia 49 5 4" xfId="21657" xr:uid="{00000000-0005-0000-0000-000084820000}"/>
    <cellStyle name="Migliaia 49 5 5" xfId="38492" xr:uid="{00000000-0005-0000-0000-000085820000}"/>
    <cellStyle name="Migliaia 49 5 6" xfId="39810" xr:uid="{00000000-0005-0000-0000-000086820000}"/>
    <cellStyle name="Migliaia 49 5 7" xfId="40296" xr:uid="{00000000-0005-0000-0000-000087820000}"/>
    <cellStyle name="Migliaia 49 6" xfId="728" xr:uid="{00000000-0005-0000-0000-000088820000}"/>
    <cellStyle name="Migliaia 49 6 2" xfId="11598" xr:uid="{00000000-0005-0000-0000-000089820000}"/>
    <cellStyle name="Migliaia 49 6 3" xfId="21658" xr:uid="{00000000-0005-0000-0000-00008A820000}"/>
    <cellStyle name="Migliaia 49 6 4" xfId="39811" xr:uid="{00000000-0005-0000-0000-00008B820000}"/>
    <cellStyle name="Migliaia 49 6 5" xfId="40297" xr:uid="{00000000-0005-0000-0000-00008C820000}"/>
    <cellStyle name="Migliaia 49 7" xfId="12195" xr:uid="{00000000-0005-0000-0000-00008D820000}"/>
    <cellStyle name="Migliaia 49 7 2" xfId="30380" xr:uid="{00000000-0005-0000-0000-00008E820000}"/>
    <cellStyle name="Migliaia 49 8" xfId="19566" xr:uid="{00000000-0005-0000-0000-00008F820000}"/>
    <cellStyle name="Migliaia 49 8 2" xfId="37530" xr:uid="{00000000-0005-0000-0000-000090820000}"/>
    <cellStyle name="Migliaia 49 9" xfId="3375" xr:uid="{00000000-0005-0000-0000-000091820000}"/>
    <cellStyle name="Migliaia 49 9 2" xfId="23375" xr:uid="{00000000-0005-0000-0000-000092820000}"/>
    <cellStyle name="Migliaia 5" xfId="729" xr:uid="{00000000-0005-0000-0000-000093820000}"/>
    <cellStyle name="Migliaia 5 10" xfId="21659" xr:uid="{00000000-0005-0000-0000-000094820000}"/>
    <cellStyle name="Migliaia 5 11" xfId="38493" xr:uid="{00000000-0005-0000-0000-000095820000}"/>
    <cellStyle name="Migliaia 5 12" xfId="39283" xr:uid="{00000000-0005-0000-0000-000096820000}"/>
    <cellStyle name="Migliaia 5 13" xfId="39812" xr:uid="{00000000-0005-0000-0000-000097820000}"/>
    <cellStyle name="Migliaia 5 14" xfId="40298" xr:uid="{00000000-0005-0000-0000-000098820000}"/>
    <cellStyle name="Migliaia 5 2" xfId="730" xr:uid="{00000000-0005-0000-0000-000099820000}"/>
    <cellStyle name="Migliaia 5 2 10" xfId="39813" xr:uid="{00000000-0005-0000-0000-00009A820000}"/>
    <cellStyle name="Migliaia 5 2 11" xfId="40299" xr:uid="{00000000-0005-0000-0000-00009B820000}"/>
    <cellStyle name="Migliaia 5 2 2" xfId="3582" xr:uid="{00000000-0005-0000-0000-00009C820000}"/>
    <cellStyle name="Migliaia 5 2 2 2" xfId="12343" xr:uid="{00000000-0005-0000-0000-00009D820000}"/>
    <cellStyle name="Migliaia 5 2 2 2 2" xfId="30513" xr:uid="{00000000-0005-0000-0000-00009E820000}"/>
    <cellStyle name="Migliaia 5 2 2 3" xfId="20641" xr:uid="{00000000-0005-0000-0000-00009F820000}"/>
    <cellStyle name="Migliaia 5 2 2 3 2" xfId="37958" xr:uid="{00000000-0005-0000-0000-0000A0820000}"/>
    <cellStyle name="Migliaia 5 2 2 4" xfId="23511" xr:uid="{00000000-0005-0000-0000-0000A1820000}"/>
    <cellStyle name="Migliaia 5 2 2 5" xfId="38913" xr:uid="{00000000-0005-0000-0000-0000A2820000}"/>
    <cellStyle name="Migliaia 5 2 2 6" xfId="39427" xr:uid="{00000000-0005-0000-0000-0000A3820000}"/>
    <cellStyle name="Migliaia 5 2 3" xfId="11605" xr:uid="{00000000-0005-0000-0000-0000A4820000}"/>
    <cellStyle name="Migliaia 5 2 4" xfId="12200" xr:uid="{00000000-0005-0000-0000-0000A5820000}"/>
    <cellStyle name="Migliaia 5 2 4 2" xfId="30385" xr:uid="{00000000-0005-0000-0000-0000A6820000}"/>
    <cellStyle name="Migliaia 5 2 5" xfId="19575" xr:uid="{00000000-0005-0000-0000-0000A7820000}"/>
    <cellStyle name="Migliaia 5 2 5 2" xfId="37539" xr:uid="{00000000-0005-0000-0000-0000A8820000}"/>
    <cellStyle name="Migliaia 5 2 6" xfId="3380" xr:uid="{00000000-0005-0000-0000-0000A9820000}"/>
    <cellStyle name="Migliaia 5 2 6 2" xfId="23380" xr:uid="{00000000-0005-0000-0000-0000AA820000}"/>
    <cellStyle name="Migliaia 5 2 7" xfId="21660" xr:uid="{00000000-0005-0000-0000-0000AB820000}"/>
    <cellStyle name="Migliaia 5 2 8" xfId="38494" xr:uid="{00000000-0005-0000-0000-0000AC820000}"/>
    <cellStyle name="Migliaia 5 2 9" xfId="39284" xr:uid="{00000000-0005-0000-0000-0000AD820000}"/>
    <cellStyle name="Migliaia 5 3" xfId="731" xr:uid="{00000000-0005-0000-0000-0000AE820000}"/>
    <cellStyle name="Migliaia 5 3 10" xfId="39814" xr:uid="{00000000-0005-0000-0000-0000AF820000}"/>
    <cellStyle name="Migliaia 5 3 11" xfId="40300" xr:uid="{00000000-0005-0000-0000-0000B0820000}"/>
    <cellStyle name="Migliaia 5 3 2" xfId="732" xr:uid="{00000000-0005-0000-0000-0000B1820000}"/>
    <cellStyle name="Migliaia 5 3 2 10" xfId="40301" xr:uid="{00000000-0005-0000-0000-0000B2820000}"/>
    <cellStyle name="Migliaia 5 3 2 2" xfId="11607" xr:uid="{00000000-0005-0000-0000-0000B3820000}"/>
    <cellStyle name="Migliaia 5 3 2 3" xfId="12202" xr:uid="{00000000-0005-0000-0000-0000B4820000}"/>
    <cellStyle name="Migliaia 5 3 2 3 2" xfId="30387" xr:uid="{00000000-0005-0000-0000-0000B5820000}"/>
    <cellStyle name="Migliaia 5 3 2 4" xfId="19577" xr:uid="{00000000-0005-0000-0000-0000B6820000}"/>
    <cellStyle name="Migliaia 5 3 2 4 2" xfId="37541" xr:uid="{00000000-0005-0000-0000-0000B7820000}"/>
    <cellStyle name="Migliaia 5 3 2 5" xfId="3382" xr:uid="{00000000-0005-0000-0000-0000B8820000}"/>
    <cellStyle name="Migliaia 5 3 2 5 2" xfId="23382" xr:uid="{00000000-0005-0000-0000-0000B9820000}"/>
    <cellStyle name="Migliaia 5 3 2 6" xfId="21662" xr:uid="{00000000-0005-0000-0000-0000BA820000}"/>
    <cellStyle name="Migliaia 5 3 2 7" xfId="38496" xr:uid="{00000000-0005-0000-0000-0000BB820000}"/>
    <cellStyle name="Migliaia 5 3 2 8" xfId="39286" xr:uid="{00000000-0005-0000-0000-0000BC820000}"/>
    <cellStyle name="Migliaia 5 3 2 9" xfId="39815" xr:uid="{00000000-0005-0000-0000-0000BD820000}"/>
    <cellStyle name="Migliaia 5 3 3" xfId="11606" xr:uid="{00000000-0005-0000-0000-0000BE820000}"/>
    <cellStyle name="Migliaia 5 3 3 2" xfId="20643" xr:uid="{00000000-0005-0000-0000-0000BF820000}"/>
    <cellStyle name="Migliaia 5 3 3 2 2" xfId="37960" xr:uid="{00000000-0005-0000-0000-0000C0820000}"/>
    <cellStyle name="Migliaia 5 3 3 2 3" xfId="38915" xr:uid="{00000000-0005-0000-0000-0000C1820000}"/>
    <cellStyle name="Migliaia 5 3 3 3" xfId="19578" xr:uid="{00000000-0005-0000-0000-0000C2820000}"/>
    <cellStyle name="Migliaia 5 3 3 3 2" xfId="37542" xr:uid="{00000000-0005-0000-0000-0000C3820000}"/>
    <cellStyle name="Migliaia 5 3 3 4" xfId="38497" xr:uid="{00000000-0005-0000-0000-0000C4820000}"/>
    <cellStyle name="Migliaia 5 3 4" xfId="12201" xr:uid="{00000000-0005-0000-0000-0000C5820000}"/>
    <cellStyle name="Migliaia 5 3 4 2" xfId="20642" xr:uid="{00000000-0005-0000-0000-0000C6820000}"/>
    <cellStyle name="Migliaia 5 3 4 2 2" xfId="37959" xr:uid="{00000000-0005-0000-0000-0000C7820000}"/>
    <cellStyle name="Migliaia 5 3 4 3" xfId="30386" xr:uid="{00000000-0005-0000-0000-0000C8820000}"/>
    <cellStyle name="Migliaia 5 3 4 4" xfId="38914" xr:uid="{00000000-0005-0000-0000-0000C9820000}"/>
    <cellStyle name="Migliaia 5 3 5" xfId="19576" xr:uid="{00000000-0005-0000-0000-0000CA820000}"/>
    <cellStyle name="Migliaia 5 3 5 2" xfId="37540" xr:uid="{00000000-0005-0000-0000-0000CB820000}"/>
    <cellStyle name="Migliaia 5 3 6" xfId="3381" xr:uid="{00000000-0005-0000-0000-0000CC820000}"/>
    <cellStyle name="Migliaia 5 3 6 2" xfId="23381" xr:uid="{00000000-0005-0000-0000-0000CD820000}"/>
    <cellStyle name="Migliaia 5 3 7" xfId="21661" xr:uid="{00000000-0005-0000-0000-0000CE820000}"/>
    <cellStyle name="Migliaia 5 3 8" xfId="38495" xr:uid="{00000000-0005-0000-0000-0000CF820000}"/>
    <cellStyle name="Migliaia 5 3 9" xfId="39285" xr:uid="{00000000-0005-0000-0000-0000D0820000}"/>
    <cellStyle name="Migliaia 5 4" xfId="733" xr:uid="{00000000-0005-0000-0000-0000D1820000}"/>
    <cellStyle name="Migliaia 5 4 2" xfId="19580" xr:uid="{00000000-0005-0000-0000-0000D2820000}"/>
    <cellStyle name="Migliaia 5 4 2 2" xfId="20645" xr:uid="{00000000-0005-0000-0000-0000D3820000}"/>
    <cellStyle name="Migliaia 5 4 2 2 2" xfId="37962" xr:uid="{00000000-0005-0000-0000-0000D4820000}"/>
    <cellStyle name="Migliaia 5 4 2 2 3" xfId="38917" xr:uid="{00000000-0005-0000-0000-0000D5820000}"/>
    <cellStyle name="Migliaia 5 4 2 3" xfId="37544" xr:uid="{00000000-0005-0000-0000-0000D6820000}"/>
    <cellStyle name="Migliaia 5 4 2 4" xfId="38499" xr:uid="{00000000-0005-0000-0000-0000D7820000}"/>
    <cellStyle name="Migliaia 5 4 3" xfId="20644" xr:uid="{00000000-0005-0000-0000-0000D8820000}"/>
    <cellStyle name="Migliaia 5 4 3 2" xfId="37961" xr:uid="{00000000-0005-0000-0000-0000D9820000}"/>
    <cellStyle name="Migliaia 5 4 3 3" xfId="38916" xr:uid="{00000000-0005-0000-0000-0000DA820000}"/>
    <cellStyle name="Migliaia 5 4 4" xfId="19579" xr:uid="{00000000-0005-0000-0000-0000DB820000}"/>
    <cellStyle name="Migliaia 5 4 4 2" xfId="37543" xr:uid="{00000000-0005-0000-0000-0000DC820000}"/>
    <cellStyle name="Migliaia 5 4 5" xfId="11608" xr:uid="{00000000-0005-0000-0000-0000DD820000}"/>
    <cellStyle name="Migliaia 5 4 6" xfId="21663" xr:uid="{00000000-0005-0000-0000-0000DE820000}"/>
    <cellStyle name="Migliaia 5 4 7" xfId="38498" xr:uid="{00000000-0005-0000-0000-0000DF820000}"/>
    <cellStyle name="Migliaia 5 4 8" xfId="39816" xr:uid="{00000000-0005-0000-0000-0000E0820000}"/>
    <cellStyle name="Migliaia 5 4 9" xfId="40302" xr:uid="{00000000-0005-0000-0000-0000E1820000}"/>
    <cellStyle name="Migliaia 5 5" xfId="734" xr:uid="{00000000-0005-0000-0000-0000E2820000}"/>
    <cellStyle name="Migliaia 5 5 2" xfId="19581" xr:uid="{00000000-0005-0000-0000-0000E3820000}"/>
    <cellStyle name="Migliaia 5 5 2 2" xfId="37545" xr:uid="{00000000-0005-0000-0000-0000E4820000}"/>
    <cellStyle name="Migliaia 5 5 3" xfId="11609" xr:uid="{00000000-0005-0000-0000-0000E5820000}"/>
    <cellStyle name="Migliaia 5 5 4" xfId="21664" xr:uid="{00000000-0005-0000-0000-0000E6820000}"/>
    <cellStyle name="Migliaia 5 5 5" xfId="38500" xr:uid="{00000000-0005-0000-0000-0000E7820000}"/>
    <cellStyle name="Migliaia 5 5 6" xfId="39817" xr:uid="{00000000-0005-0000-0000-0000E8820000}"/>
    <cellStyle name="Migliaia 5 5 7" xfId="40303" xr:uid="{00000000-0005-0000-0000-0000E9820000}"/>
    <cellStyle name="Migliaia 5 6" xfId="735" xr:uid="{00000000-0005-0000-0000-0000EA820000}"/>
    <cellStyle name="Migliaia 5 6 2" xfId="11604" xr:uid="{00000000-0005-0000-0000-0000EB820000}"/>
    <cellStyle name="Migliaia 5 6 3" xfId="21665" xr:uid="{00000000-0005-0000-0000-0000EC820000}"/>
    <cellStyle name="Migliaia 5 6 4" xfId="39818" xr:uid="{00000000-0005-0000-0000-0000ED820000}"/>
    <cellStyle name="Migliaia 5 6 5" xfId="40304" xr:uid="{00000000-0005-0000-0000-0000EE820000}"/>
    <cellStyle name="Migliaia 5 7" xfId="12199" xr:uid="{00000000-0005-0000-0000-0000EF820000}"/>
    <cellStyle name="Migliaia 5 7 2" xfId="30384" xr:uid="{00000000-0005-0000-0000-0000F0820000}"/>
    <cellStyle name="Migliaia 5 8" xfId="19574" xr:uid="{00000000-0005-0000-0000-0000F1820000}"/>
    <cellStyle name="Migliaia 5 8 2" xfId="37538" xr:uid="{00000000-0005-0000-0000-0000F2820000}"/>
    <cellStyle name="Migliaia 5 9" xfId="3379" xr:uid="{00000000-0005-0000-0000-0000F3820000}"/>
    <cellStyle name="Migliaia 5 9 2" xfId="23379" xr:uid="{00000000-0005-0000-0000-0000F4820000}"/>
    <cellStyle name="Migliaia 50" xfId="736" xr:uid="{00000000-0005-0000-0000-0000F5820000}"/>
    <cellStyle name="Migliaia 50 10" xfId="21666" xr:uid="{00000000-0005-0000-0000-0000F6820000}"/>
    <cellStyle name="Migliaia 50 11" xfId="38501" xr:uid="{00000000-0005-0000-0000-0000F7820000}"/>
    <cellStyle name="Migliaia 50 12" xfId="39287" xr:uid="{00000000-0005-0000-0000-0000F8820000}"/>
    <cellStyle name="Migliaia 50 13" xfId="39819" xr:uid="{00000000-0005-0000-0000-0000F9820000}"/>
    <cellStyle name="Migliaia 50 14" xfId="40305" xr:uid="{00000000-0005-0000-0000-0000FA820000}"/>
    <cellStyle name="Migliaia 50 2" xfId="737" xr:uid="{00000000-0005-0000-0000-0000FB820000}"/>
    <cellStyle name="Migliaia 50 2 10" xfId="39820" xr:uid="{00000000-0005-0000-0000-0000FC820000}"/>
    <cellStyle name="Migliaia 50 2 11" xfId="40306" xr:uid="{00000000-0005-0000-0000-0000FD820000}"/>
    <cellStyle name="Migliaia 50 2 2" xfId="3583" xr:uid="{00000000-0005-0000-0000-0000FE820000}"/>
    <cellStyle name="Migliaia 50 2 2 2" xfId="12344" xr:uid="{00000000-0005-0000-0000-0000FF820000}"/>
    <cellStyle name="Migliaia 50 2 2 2 2" xfId="30514" xr:uid="{00000000-0005-0000-0000-000000830000}"/>
    <cellStyle name="Migliaia 50 2 2 3" xfId="20646" xr:uid="{00000000-0005-0000-0000-000001830000}"/>
    <cellStyle name="Migliaia 50 2 2 3 2" xfId="37963" xr:uid="{00000000-0005-0000-0000-000002830000}"/>
    <cellStyle name="Migliaia 50 2 2 4" xfId="23512" xr:uid="{00000000-0005-0000-0000-000003830000}"/>
    <cellStyle name="Migliaia 50 2 2 5" xfId="38918" xr:uid="{00000000-0005-0000-0000-000004830000}"/>
    <cellStyle name="Migliaia 50 2 2 6" xfId="39428" xr:uid="{00000000-0005-0000-0000-000005830000}"/>
    <cellStyle name="Migliaia 50 2 3" xfId="11611" xr:uid="{00000000-0005-0000-0000-000006830000}"/>
    <cellStyle name="Migliaia 50 2 4" xfId="12204" xr:uid="{00000000-0005-0000-0000-000007830000}"/>
    <cellStyle name="Migliaia 50 2 4 2" xfId="30389" xr:uid="{00000000-0005-0000-0000-000008830000}"/>
    <cellStyle name="Migliaia 50 2 5" xfId="19583" xr:uid="{00000000-0005-0000-0000-000009830000}"/>
    <cellStyle name="Migliaia 50 2 5 2" xfId="37547" xr:uid="{00000000-0005-0000-0000-00000A830000}"/>
    <cellStyle name="Migliaia 50 2 6" xfId="3384" xr:uid="{00000000-0005-0000-0000-00000B830000}"/>
    <cellStyle name="Migliaia 50 2 6 2" xfId="23384" xr:uid="{00000000-0005-0000-0000-00000C830000}"/>
    <cellStyle name="Migliaia 50 2 7" xfId="21667" xr:uid="{00000000-0005-0000-0000-00000D830000}"/>
    <cellStyle name="Migliaia 50 2 8" xfId="38502" xr:uid="{00000000-0005-0000-0000-00000E830000}"/>
    <cellStyle name="Migliaia 50 2 9" xfId="39288" xr:uid="{00000000-0005-0000-0000-00000F830000}"/>
    <cellStyle name="Migliaia 50 3" xfId="738" xr:uid="{00000000-0005-0000-0000-000010830000}"/>
    <cellStyle name="Migliaia 50 3 10" xfId="39821" xr:uid="{00000000-0005-0000-0000-000011830000}"/>
    <cellStyle name="Migliaia 50 3 11" xfId="40307" xr:uid="{00000000-0005-0000-0000-000012830000}"/>
    <cellStyle name="Migliaia 50 3 2" xfId="739" xr:uid="{00000000-0005-0000-0000-000013830000}"/>
    <cellStyle name="Migliaia 50 3 2 10" xfId="40308" xr:uid="{00000000-0005-0000-0000-000014830000}"/>
    <cellStyle name="Migliaia 50 3 2 2" xfId="11613" xr:uid="{00000000-0005-0000-0000-000015830000}"/>
    <cellStyle name="Migliaia 50 3 2 3" xfId="12206" xr:uid="{00000000-0005-0000-0000-000016830000}"/>
    <cellStyle name="Migliaia 50 3 2 3 2" xfId="30391" xr:uid="{00000000-0005-0000-0000-000017830000}"/>
    <cellStyle name="Migliaia 50 3 2 4" xfId="19585" xr:uid="{00000000-0005-0000-0000-000018830000}"/>
    <cellStyle name="Migliaia 50 3 2 4 2" xfId="37549" xr:uid="{00000000-0005-0000-0000-000019830000}"/>
    <cellStyle name="Migliaia 50 3 2 5" xfId="3386" xr:uid="{00000000-0005-0000-0000-00001A830000}"/>
    <cellStyle name="Migliaia 50 3 2 5 2" xfId="23386" xr:uid="{00000000-0005-0000-0000-00001B830000}"/>
    <cellStyle name="Migliaia 50 3 2 6" xfId="21669" xr:uid="{00000000-0005-0000-0000-00001C830000}"/>
    <cellStyle name="Migliaia 50 3 2 7" xfId="38504" xr:uid="{00000000-0005-0000-0000-00001D830000}"/>
    <cellStyle name="Migliaia 50 3 2 8" xfId="39290" xr:uid="{00000000-0005-0000-0000-00001E830000}"/>
    <cellStyle name="Migliaia 50 3 2 9" xfId="39822" xr:uid="{00000000-0005-0000-0000-00001F830000}"/>
    <cellStyle name="Migliaia 50 3 3" xfId="11612" xr:uid="{00000000-0005-0000-0000-000020830000}"/>
    <cellStyle name="Migliaia 50 3 3 2" xfId="20648" xr:uid="{00000000-0005-0000-0000-000021830000}"/>
    <cellStyle name="Migliaia 50 3 3 2 2" xfId="37965" xr:uid="{00000000-0005-0000-0000-000022830000}"/>
    <cellStyle name="Migliaia 50 3 3 2 3" xfId="38920" xr:uid="{00000000-0005-0000-0000-000023830000}"/>
    <cellStyle name="Migliaia 50 3 3 3" xfId="19586" xr:uid="{00000000-0005-0000-0000-000024830000}"/>
    <cellStyle name="Migliaia 50 3 3 3 2" xfId="37550" xr:uid="{00000000-0005-0000-0000-000025830000}"/>
    <cellStyle name="Migliaia 50 3 3 4" xfId="38505" xr:uid="{00000000-0005-0000-0000-000026830000}"/>
    <cellStyle name="Migliaia 50 3 4" xfId="12205" xr:uid="{00000000-0005-0000-0000-000027830000}"/>
    <cellStyle name="Migliaia 50 3 4 2" xfId="20647" xr:uid="{00000000-0005-0000-0000-000028830000}"/>
    <cellStyle name="Migliaia 50 3 4 2 2" xfId="37964" xr:uid="{00000000-0005-0000-0000-000029830000}"/>
    <cellStyle name="Migliaia 50 3 4 3" xfId="30390" xr:uid="{00000000-0005-0000-0000-00002A830000}"/>
    <cellStyle name="Migliaia 50 3 4 4" xfId="38919" xr:uid="{00000000-0005-0000-0000-00002B830000}"/>
    <cellStyle name="Migliaia 50 3 5" xfId="19584" xr:uid="{00000000-0005-0000-0000-00002C830000}"/>
    <cellStyle name="Migliaia 50 3 5 2" xfId="37548" xr:uid="{00000000-0005-0000-0000-00002D830000}"/>
    <cellStyle name="Migliaia 50 3 6" xfId="3385" xr:uid="{00000000-0005-0000-0000-00002E830000}"/>
    <cellStyle name="Migliaia 50 3 6 2" xfId="23385" xr:uid="{00000000-0005-0000-0000-00002F830000}"/>
    <cellStyle name="Migliaia 50 3 7" xfId="21668" xr:uid="{00000000-0005-0000-0000-000030830000}"/>
    <cellStyle name="Migliaia 50 3 8" xfId="38503" xr:uid="{00000000-0005-0000-0000-000031830000}"/>
    <cellStyle name="Migliaia 50 3 9" xfId="39289" xr:uid="{00000000-0005-0000-0000-000032830000}"/>
    <cellStyle name="Migliaia 50 4" xfId="740" xr:uid="{00000000-0005-0000-0000-000033830000}"/>
    <cellStyle name="Migliaia 50 4 2" xfId="19588" xr:uid="{00000000-0005-0000-0000-000034830000}"/>
    <cellStyle name="Migliaia 50 4 2 2" xfId="20650" xr:uid="{00000000-0005-0000-0000-000035830000}"/>
    <cellStyle name="Migliaia 50 4 2 2 2" xfId="37967" xr:uid="{00000000-0005-0000-0000-000036830000}"/>
    <cellStyle name="Migliaia 50 4 2 2 3" xfId="38922" xr:uid="{00000000-0005-0000-0000-000037830000}"/>
    <cellStyle name="Migliaia 50 4 2 3" xfId="37552" xr:uid="{00000000-0005-0000-0000-000038830000}"/>
    <cellStyle name="Migliaia 50 4 2 4" xfId="38507" xr:uid="{00000000-0005-0000-0000-000039830000}"/>
    <cellStyle name="Migliaia 50 4 3" xfId="20649" xr:uid="{00000000-0005-0000-0000-00003A830000}"/>
    <cellStyle name="Migliaia 50 4 3 2" xfId="37966" xr:uid="{00000000-0005-0000-0000-00003B830000}"/>
    <cellStyle name="Migliaia 50 4 3 3" xfId="38921" xr:uid="{00000000-0005-0000-0000-00003C830000}"/>
    <cellStyle name="Migliaia 50 4 4" xfId="19587" xr:uid="{00000000-0005-0000-0000-00003D830000}"/>
    <cellStyle name="Migliaia 50 4 4 2" xfId="37551" xr:uid="{00000000-0005-0000-0000-00003E830000}"/>
    <cellStyle name="Migliaia 50 4 5" xfId="11614" xr:uid="{00000000-0005-0000-0000-00003F830000}"/>
    <cellStyle name="Migliaia 50 4 6" xfId="21670" xr:uid="{00000000-0005-0000-0000-000040830000}"/>
    <cellStyle name="Migliaia 50 4 7" xfId="38506" xr:uid="{00000000-0005-0000-0000-000041830000}"/>
    <cellStyle name="Migliaia 50 4 8" xfId="39823" xr:uid="{00000000-0005-0000-0000-000042830000}"/>
    <cellStyle name="Migliaia 50 4 9" xfId="40309" xr:uid="{00000000-0005-0000-0000-000043830000}"/>
    <cellStyle name="Migliaia 50 5" xfId="741" xr:uid="{00000000-0005-0000-0000-000044830000}"/>
    <cellStyle name="Migliaia 50 5 2" xfId="19589" xr:uid="{00000000-0005-0000-0000-000045830000}"/>
    <cellStyle name="Migliaia 50 5 2 2" xfId="37553" xr:uid="{00000000-0005-0000-0000-000046830000}"/>
    <cellStyle name="Migliaia 50 5 3" xfId="11615" xr:uid="{00000000-0005-0000-0000-000047830000}"/>
    <cellStyle name="Migliaia 50 5 4" xfId="21671" xr:uid="{00000000-0005-0000-0000-000048830000}"/>
    <cellStyle name="Migliaia 50 5 5" xfId="38508" xr:uid="{00000000-0005-0000-0000-000049830000}"/>
    <cellStyle name="Migliaia 50 5 6" xfId="39824" xr:uid="{00000000-0005-0000-0000-00004A830000}"/>
    <cellStyle name="Migliaia 50 5 7" xfId="40310" xr:uid="{00000000-0005-0000-0000-00004B830000}"/>
    <cellStyle name="Migliaia 50 6" xfId="742" xr:uid="{00000000-0005-0000-0000-00004C830000}"/>
    <cellStyle name="Migliaia 50 6 2" xfId="11610" xr:uid="{00000000-0005-0000-0000-00004D830000}"/>
    <cellStyle name="Migliaia 50 6 3" xfId="21672" xr:uid="{00000000-0005-0000-0000-00004E830000}"/>
    <cellStyle name="Migliaia 50 6 4" xfId="39825" xr:uid="{00000000-0005-0000-0000-00004F830000}"/>
    <cellStyle name="Migliaia 50 6 5" xfId="40311" xr:uid="{00000000-0005-0000-0000-000050830000}"/>
    <cellStyle name="Migliaia 50 7" xfId="12203" xr:uid="{00000000-0005-0000-0000-000051830000}"/>
    <cellStyle name="Migliaia 50 7 2" xfId="30388" xr:uid="{00000000-0005-0000-0000-000052830000}"/>
    <cellStyle name="Migliaia 50 8" xfId="19582" xr:uid="{00000000-0005-0000-0000-000053830000}"/>
    <cellStyle name="Migliaia 50 8 2" xfId="37546" xr:uid="{00000000-0005-0000-0000-000054830000}"/>
    <cellStyle name="Migliaia 50 9" xfId="3383" xr:uid="{00000000-0005-0000-0000-000055830000}"/>
    <cellStyle name="Migliaia 50 9 2" xfId="23383" xr:uid="{00000000-0005-0000-0000-000056830000}"/>
    <cellStyle name="Migliaia 51" xfId="743" xr:uid="{00000000-0005-0000-0000-000057830000}"/>
    <cellStyle name="Migliaia 51 10" xfId="21673" xr:uid="{00000000-0005-0000-0000-000058830000}"/>
    <cellStyle name="Migliaia 51 11" xfId="38509" xr:uid="{00000000-0005-0000-0000-000059830000}"/>
    <cellStyle name="Migliaia 51 12" xfId="39291" xr:uid="{00000000-0005-0000-0000-00005A830000}"/>
    <cellStyle name="Migliaia 51 13" xfId="39826" xr:uid="{00000000-0005-0000-0000-00005B830000}"/>
    <cellStyle name="Migliaia 51 14" xfId="40312" xr:uid="{00000000-0005-0000-0000-00005C830000}"/>
    <cellStyle name="Migliaia 51 2" xfId="744" xr:uid="{00000000-0005-0000-0000-00005D830000}"/>
    <cellStyle name="Migliaia 51 2 10" xfId="39827" xr:uid="{00000000-0005-0000-0000-00005E830000}"/>
    <cellStyle name="Migliaia 51 2 11" xfId="40313" xr:uid="{00000000-0005-0000-0000-00005F830000}"/>
    <cellStyle name="Migliaia 51 2 2" xfId="3584" xr:uid="{00000000-0005-0000-0000-000060830000}"/>
    <cellStyle name="Migliaia 51 2 2 2" xfId="12345" xr:uid="{00000000-0005-0000-0000-000061830000}"/>
    <cellStyle name="Migliaia 51 2 2 2 2" xfId="30515" xr:uid="{00000000-0005-0000-0000-000062830000}"/>
    <cellStyle name="Migliaia 51 2 2 3" xfId="20651" xr:uid="{00000000-0005-0000-0000-000063830000}"/>
    <cellStyle name="Migliaia 51 2 2 3 2" xfId="37968" xr:uid="{00000000-0005-0000-0000-000064830000}"/>
    <cellStyle name="Migliaia 51 2 2 4" xfId="23513" xr:uid="{00000000-0005-0000-0000-000065830000}"/>
    <cellStyle name="Migliaia 51 2 2 5" xfId="38923" xr:uid="{00000000-0005-0000-0000-000066830000}"/>
    <cellStyle name="Migliaia 51 2 2 6" xfId="39429" xr:uid="{00000000-0005-0000-0000-000067830000}"/>
    <cellStyle name="Migliaia 51 2 3" xfId="11617" xr:uid="{00000000-0005-0000-0000-000068830000}"/>
    <cellStyle name="Migliaia 51 2 4" xfId="12208" xr:uid="{00000000-0005-0000-0000-000069830000}"/>
    <cellStyle name="Migliaia 51 2 4 2" xfId="30393" xr:uid="{00000000-0005-0000-0000-00006A830000}"/>
    <cellStyle name="Migliaia 51 2 5" xfId="19591" xr:uid="{00000000-0005-0000-0000-00006B830000}"/>
    <cellStyle name="Migliaia 51 2 5 2" xfId="37555" xr:uid="{00000000-0005-0000-0000-00006C830000}"/>
    <cellStyle name="Migliaia 51 2 6" xfId="3388" xr:uid="{00000000-0005-0000-0000-00006D830000}"/>
    <cellStyle name="Migliaia 51 2 6 2" xfId="23388" xr:uid="{00000000-0005-0000-0000-00006E830000}"/>
    <cellStyle name="Migliaia 51 2 7" xfId="21674" xr:uid="{00000000-0005-0000-0000-00006F830000}"/>
    <cellStyle name="Migliaia 51 2 8" xfId="38510" xr:uid="{00000000-0005-0000-0000-000070830000}"/>
    <cellStyle name="Migliaia 51 2 9" xfId="39292" xr:uid="{00000000-0005-0000-0000-000071830000}"/>
    <cellStyle name="Migliaia 51 3" xfId="745" xr:uid="{00000000-0005-0000-0000-000072830000}"/>
    <cellStyle name="Migliaia 51 3 10" xfId="39828" xr:uid="{00000000-0005-0000-0000-000073830000}"/>
    <cellStyle name="Migliaia 51 3 11" xfId="40314" xr:uid="{00000000-0005-0000-0000-000074830000}"/>
    <cellStyle name="Migliaia 51 3 2" xfId="746" xr:uid="{00000000-0005-0000-0000-000075830000}"/>
    <cellStyle name="Migliaia 51 3 2 10" xfId="40315" xr:uid="{00000000-0005-0000-0000-000076830000}"/>
    <cellStyle name="Migliaia 51 3 2 2" xfId="11619" xr:uid="{00000000-0005-0000-0000-000077830000}"/>
    <cellStyle name="Migliaia 51 3 2 3" xfId="12210" xr:uid="{00000000-0005-0000-0000-000078830000}"/>
    <cellStyle name="Migliaia 51 3 2 3 2" xfId="30395" xr:uid="{00000000-0005-0000-0000-000079830000}"/>
    <cellStyle name="Migliaia 51 3 2 4" xfId="19593" xr:uid="{00000000-0005-0000-0000-00007A830000}"/>
    <cellStyle name="Migliaia 51 3 2 4 2" xfId="37557" xr:uid="{00000000-0005-0000-0000-00007B830000}"/>
    <cellStyle name="Migliaia 51 3 2 5" xfId="3390" xr:uid="{00000000-0005-0000-0000-00007C830000}"/>
    <cellStyle name="Migliaia 51 3 2 5 2" xfId="23390" xr:uid="{00000000-0005-0000-0000-00007D830000}"/>
    <cellStyle name="Migliaia 51 3 2 6" xfId="21676" xr:uid="{00000000-0005-0000-0000-00007E830000}"/>
    <cellStyle name="Migliaia 51 3 2 7" xfId="38512" xr:uid="{00000000-0005-0000-0000-00007F830000}"/>
    <cellStyle name="Migliaia 51 3 2 8" xfId="39294" xr:uid="{00000000-0005-0000-0000-000080830000}"/>
    <cellStyle name="Migliaia 51 3 2 9" xfId="39829" xr:uid="{00000000-0005-0000-0000-000081830000}"/>
    <cellStyle name="Migliaia 51 3 3" xfId="11618" xr:uid="{00000000-0005-0000-0000-000082830000}"/>
    <cellStyle name="Migliaia 51 3 3 2" xfId="20653" xr:uid="{00000000-0005-0000-0000-000083830000}"/>
    <cellStyle name="Migliaia 51 3 3 2 2" xfId="37970" xr:uid="{00000000-0005-0000-0000-000084830000}"/>
    <cellStyle name="Migliaia 51 3 3 2 3" xfId="38925" xr:uid="{00000000-0005-0000-0000-000085830000}"/>
    <cellStyle name="Migliaia 51 3 3 3" xfId="19594" xr:uid="{00000000-0005-0000-0000-000086830000}"/>
    <cellStyle name="Migliaia 51 3 3 3 2" xfId="37558" xr:uid="{00000000-0005-0000-0000-000087830000}"/>
    <cellStyle name="Migliaia 51 3 3 4" xfId="38513" xr:uid="{00000000-0005-0000-0000-000088830000}"/>
    <cellStyle name="Migliaia 51 3 4" xfId="12209" xr:uid="{00000000-0005-0000-0000-000089830000}"/>
    <cellStyle name="Migliaia 51 3 4 2" xfId="20652" xr:uid="{00000000-0005-0000-0000-00008A830000}"/>
    <cellStyle name="Migliaia 51 3 4 2 2" xfId="37969" xr:uid="{00000000-0005-0000-0000-00008B830000}"/>
    <cellStyle name="Migliaia 51 3 4 3" xfId="30394" xr:uid="{00000000-0005-0000-0000-00008C830000}"/>
    <cellStyle name="Migliaia 51 3 4 4" xfId="38924" xr:uid="{00000000-0005-0000-0000-00008D830000}"/>
    <cellStyle name="Migliaia 51 3 5" xfId="19592" xr:uid="{00000000-0005-0000-0000-00008E830000}"/>
    <cellStyle name="Migliaia 51 3 5 2" xfId="37556" xr:uid="{00000000-0005-0000-0000-00008F830000}"/>
    <cellStyle name="Migliaia 51 3 6" xfId="3389" xr:uid="{00000000-0005-0000-0000-000090830000}"/>
    <cellStyle name="Migliaia 51 3 6 2" xfId="23389" xr:uid="{00000000-0005-0000-0000-000091830000}"/>
    <cellStyle name="Migliaia 51 3 7" xfId="21675" xr:uid="{00000000-0005-0000-0000-000092830000}"/>
    <cellStyle name="Migliaia 51 3 8" xfId="38511" xr:uid="{00000000-0005-0000-0000-000093830000}"/>
    <cellStyle name="Migliaia 51 3 9" xfId="39293" xr:uid="{00000000-0005-0000-0000-000094830000}"/>
    <cellStyle name="Migliaia 51 4" xfId="747" xr:uid="{00000000-0005-0000-0000-000095830000}"/>
    <cellStyle name="Migliaia 51 4 2" xfId="19596" xr:uid="{00000000-0005-0000-0000-000096830000}"/>
    <cellStyle name="Migliaia 51 4 2 2" xfId="20655" xr:uid="{00000000-0005-0000-0000-000097830000}"/>
    <cellStyle name="Migliaia 51 4 2 2 2" xfId="37972" xr:uid="{00000000-0005-0000-0000-000098830000}"/>
    <cellStyle name="Migliaia 51 4 2 2 3" xfId="38927" xr:uid="{00000000-0005-0000-0000-000099830000}"/>
    <cellStyle name="Migliaia 51 4 2 3" xfId="37560" xr:uid="{00000000-0005-0000-0000-00009A830000}"/>
    <cellStyle name="Migliaia 51 4 2 4" xfId="38515" xr:uid="{00000000-0005-0000-0000-00009B830000}"/>
    <cellStyle name="Migliaia 51 4 3" xfId="20654" xr:uid="{00000000-0005-0000-0000-00009C830000}"/>
    <cellStyle name="Migliaia 51 4 3 2" xfId="37971" xr:uid="{00000000-0005-0000-0000-00009D830000}"/>
    <cellStyle name="Migliaia 51 4 3 3" xfId="38926" xr:uid="{00000000-0005-0000-0000-00009E830000}"/>
    <cellStyle name="Migliaia 51 4 4" xfId="19595" xr:uid="{00000000-0005-0000-0000-00009F830000}"/>
    <cellStyle name="Migliaia 51 4 4 2" xfId="37559" xr:uid="{00000000-0005-0000-0000-0000A0830000}"/>
    <cellStyle name="Migliaia 51 4 5" xfId="11620" xr:uid="{00000000-0005-0000-0000-0000A1830000}"/>
    <cellStyle name="Migliaia 51 4 6" xfId="21677" xr:uid="{00000000-0005-0000-0000-0000A2830000}"/>
    <cellStyle name="Migliaia 51 4 7" xfId="38514" xr:uid="{00000000-0005-0000-0000-0000A3830000}"/>
    <cellStyle name="Migliaia 51 4 8" xfId="39830" xr:uid="{00000000-0005-0000-0000-0000A4830000}"/>
    <cellStyle name="Migliaia 51 4 9" xfId="40316" xr:uid="{00000000-0005-0000-0000-0000A5830000}"/>
    <cellStyle name="Migliaia 51 5" xfId="748" xr:uid="{00000000-0005-0000-0000-0000A6830000}"/>
    <cellStyle name="Migliaia 51 5 2" xfId="19597" xr:uid="{00000000-0005-0000-0000-0000A7830000}"/>
    <cellStyle name="Migliaia 51 5 2 2" xfId="37561" xr:uid="{00000000-0005-0000-0000-0000A8830000}"/>
    <cellStyle name="Migliaia 51 5 3" xfId="11621" xr:uid="{00000000-0005-0000-0000-0000A9830000}"/>
    <cellStyle name="Migliaia 51 5 4" xfId="21678" xr:uid="{00000000-0005-0000-0000-0000AA830000}"/>
    <cellStyle name="Migliaia 51 5 5" xfId="38516" xr:uid="{00000000-0005-0000-0000-0000AB830000}"/>
    <cellStyle name="Migliaia 51 5 6" xfId="39831" xr:uid="{00000000-0005-0000-0000-0000AC830000}"/>
    <cellStyle name="Migliaia 51 5 7" xfId="40317" xr:uid="{00000000-0005-0000-0000-0000AD830000}"/>
    <cellStyle name="Migliaia 51 6" xfId="749" xr:uid="{00000000-0005-0000-0000-0000AE830000}"/>
    <cellStyle name="Migliaia 51 6 2" xfId="11616" xr:uid="{00000000-0005-0000-0000-0000AF830000}"/>
    <cellStyle name="Migliaia 51 6 3" xfId="21679" xr:uid="{00000000-0005-0000-0000-0000B0830000}"/>
    <cellStyle name="Migliaia 51 6 4" xfId="39832" xr:uid="{00000000-0005-0000-0000-0000B1830000}"/>
    <cellStyle name="Migliaia 51 6 5" xfId="40318" xr:uid="{00000000-0005-0000-0000-0000B2830000}"/>
    <cellStyle name="Migliaia 51 7" xfId="12207" xr:uid="{00000000-0005-0000-0000-0000B3830000}"/>
    <cellStyle name="Migliaia 51 7 2" xfId="30392" xr:uid="{00000000-0005-0000-0000-0000B4830000}"/>
    <cellStyle name="Migliaia 51 8" xfId="19590" xr:uid="{00000000-0005-0000-0000-0000B5830000}"/>
    <cellStyle name="Migliaia 51 8 2" xfId="37554" xr:uid="{00000000-0005-0000-0000-0000B6830000}"/>
    <cellStyle name="Migliaia 51 9" xfId="3387" xr:uid="{00000000-0005-0000-0000-0000B7830000}"/>
    <cellStyle name="Migliaia 51 9 2" xfId="23387" xr:uid="{00000000-0005-0000-0000-0000B8830000}"/>
    <cellStyle name="Migliaia 52" xfId="750" xr:uid="{00000000-0005-0000-0000-0000B9830000}"/>
    <cellStyle name="Migliaia 52 10" xfId="21680" xr:uid="{00000000-0005-0000-0000-0000BA830000}"/>
    <cellStyle name="Migliaia 52 11" xfId="38517" xr:uid="{00000000-0005-0000-0000-0000BB830000}"/>
    <cellStyle name="Migliaia 52 12" xfId="39295" xr:uid="{00000000-0005-0000-0000-0000BC830000}"/>
    <cellStyle name="Migliaia 52 13" xfId="39833" xr:uid="{00000000-0005-0000-0000-0000BD830000}"/>
    <cellStyle name="Migliaia 52 14" xfId="40319" xr:uid="{00000000-0005-0000-0000-0000BE830000}"/>
    <cellStyle name="Migliaia 52 2" xfId="751" xr:uid="{00000000-0005-0000-0000-0000BF830000}"/>
    <cellStyle name="Migliaia 52 2 10" xfId="39834" xr:uid="{00000000-0005-0000-0000-0000C0830000}"/>
    <cellStyle name="Migliaia 52 2 11" xfId="40320" xr:uid="{00000000-0005-0000-0000-0000C1830000}"/>
    <cellStyle name="Migliaia 52 2 2" xfId="3585" xr:uid="{00000000-0005-0000-0000-0000C2830000}"/>
    <cellStyle name="Migliaia 52 2 2 2" xfId="12346" xr:uid="{00000000-0005-0000-0000-0000C3830000}"/>
    <cellStyle name="Migliaia 52 2 2 2 2" xfId="30516" xr:uid="{00000000-0005-0000-0000-0000C4830000}"/>
    <cellStyle name="Migliaia 52 2 2 3" xfId="20656" xr:uid="{00000000-0005-0000-0000-0000C5830000}"/>
    <cellStyle name="Migliaia 52 2 2 3 2" xfId="37973" xr:uid="{00000000-0005-0000-0000-0000C6830000}"/>
    <cellStyle name="Migliaia 52 2 2 4" xfId="23514" xr:uid="{00000000-0005-0000-0000-0000C7830000}"/>
    <cellStyle name="Migliaia 52 2 2 5" xfId="38928" xr:uid="{00000000-0005-0000-0000-0000C8830000}"/>
    <cellStyle name="Migliaia 52 2 2 6" xfId="39430" xr:uid="{00000000-0005-0000-0000-0000C9830000}"/>
    <cellStyle name="Migliaia 52 2 3" xfId="11623" xr:uid="{00000000-0005-0000-0000-0000CA830000}"/>
    <cellStyle name="Migliaia 52 2 4" xfId="12212" xr:uid="{00000000-0005-0000-0000-0000CB830000}"/>
    <cellStyle name="Migliaia 52 2 4 2" xfId="30397" xr:uid="{00000000-0005-0000-0000-0000CC830000}"/>
    <cellStyle name="Migliaia 52 2 5" xfId="19599" xr:uid="{00000000-0005-0000-0000-0000CD830000}"/>
    <cellStyle name="Migliaia 52 2 5 2" xfId="37563" xr:uid="{00000000-0005-0000-0000-0000CE830000}"/>
    <cellStyle name="Migliaia 52 2 6" xfId="3392" xr:uid="{00000000-0005-0000-0000-0000CF830000}"/>
    <cellStyle name="Migliaia 52 2 6 2" xfId="23392" xr:uid="{00000000-0005-0000-0000-0000D0830000}"/>
    <cellStyle name="Migliaia 52 2 7" xfId="21681" xr:uid="{00000000-0005-0000-0000-0000D1830000}"/>
    <cellStyle name="Migliaia 52 2 8" xfId="38518" xr:uid="{00000000-0005-0000-0000-0000D2830000}"/>
    <cellStyle name="Migliaia 52 2 9" xfId="39296" xr:uid="{00000000-0005-0000-0000-0000D3830000}"/>
    <cellStyle name="Migliaia 52 3" xfId="752" xr:uid="{00000000-0005-0000-0000-0000D4830000}"/>
    <cellStyle name="Migliaia 52 3 10" xfId="39835" xr:uid="{00000000-0005-0000-0000-0000D5830000}"/>
    <cellStyle name="Migliaia 52 3 11" xfId="40321" xr:uid="{00000000-0005-0000-0000-0000D6830000}"/>
    <cellStyle name="Migliaia 52 3 2" xfId="753" xr:uid="{00000000-0005-0000-0000-0000D7830000}"/>
    <cellStyle name="Migliaia 52 3 2 10" xfId="40322" xr:uid="{00000000-0005-0000-0000-0000D8830000}"/>
    <cellStyle name="Migliaia 52 3 2 2" xfId="11625" xr:uid="{00000000-0005-0000-0000-0000D9830000}"/>
    <cellStyle name="Migliaia 52 3 2 3" xfId="12214" xr:uid="{00000000-0005-0000-0000-0000DA830000}"/>
    <cellStyle name="Migliaia 52 3 2 3 2" xfId="30399" xr:uid="{00000000-0005-0000-0000-0000DB830000}"/>
    <cellStyle name="Migliaia 52 3 2 4" xfId="19601" xr:uid="{00000000-0005-0000-0000-0000DC830000}"/>
    <cellStyle name="Migliaia 52 3 2 4 2" xfId="37565" xr:uid="{00000000-0005-0000-0000-0000DD830000}"/>
    <cellStyle name="Migliaia 52 3 2 5" xfId="3394" xr:uid="{00000000-0005-0000-0000-0000DE830000}"/>
    <cellStyle name="Migliaia 52 3 2 5 2" xfId="23394" xr:uid="{00000000-0005-0000-0000-0000DF830000}"/>
    <cellStyle name="Migliaia 52 3 2 6" xfId="21683" xr:uid="{00000000-0005-0000-0000-0000E0830000}"/>
    <cellStyle name="Migliaia 52 3 2 7" xfId="38520" xr:uid="{00000000-0005-0000-0000-0000E1830000}"/>
    <cellStyle name="Migliaia 52 3 2 8" xfId="39298" xr:uid="{00000000-0005-0000-0000-0000E2830000}"/>
    <cellStyle name="Migliaia 52 3 2 9" xfId="39836" xr:uid="{00000000-0005-0000-0000-0000E3830000}"/>
    <cellStyle name="Migliaia 52 3 3" xfId="11624" xr:uid="{00000000-0005-0000-0000-0000E4830000}"/>
    <cellStyle name="Migliaia 52 3 3 2" xfId="20658" xr:uid="{00000000-0005-0000-0000-0000E5830000}"/>
    <cellStyle name="Migliaia 52 3 3 2 2" xfId="37975" xr:uid="{00000000-0005-0000-0000-0000E6830000}"/>
    <cellStyle name="Migliaia 52 3 3 2 3" xfId="38930" xr:uid="{00000000-0005-0000-0000-0000E7830000}"/>
    <cellStyle name="Migliaia 52 3 3 3" xfId="19602" xr:uid="{00000000-0005-0000-0000-0000E8830000}"/>
    <cellStyle name="Migliaia 52 3 3 3 2" xfId="37566" xr:uid="{00000000-0005-0000-0000-0000E9830000}"/>
    <cellStyle name="Migliaia 52 3 3 4" xfId="38521" xr:uid="{00000000-0005-0000-0000-0000EA830000}"/>
    <cellStyle name="Migliaia 52 3 4" xfId="12213" xr:uid="{00000000-0005-0000-0000-0000EB830000}"/>
    <cellStyle name="Migliaia 52 3 4 2" xfId="20657" xr:uid="{00000000-0005-0000-0000-0000EC830000}"/>
    <cellStyle name="Migliaia 52 3 4 2 2" xfId="37974" xr:uid="{00000000-0005-0000-0000-0000ED830000}"/>
    <cellStyle name="Migliaia 52 3 4 3" xfId="30398" xr:uid="{00000000-0005-0000-0000-0000EE830000}"/>
    <cellStyle name="Migliaia 52 3 4 4" xfId="38929" xr:uid="{00000000-0005-0000-0000-0000EF830000}"/>
    <cellStyle name="Migliaia 52 3 5" xfId="19600" xr:uid="{00000000-0005-0000-0000-0000F0830000}"/>
    <cellStyle name="Migliaia 52 3 5 2" xfId="37564" xr:uid="{00000000-0005-0000-0000-0000F1830000}"/>
    <cellStyle name="Migliaia 52 3 6" xfId="3393" xr:uid="{00000000-0005-0000-0000-0000F2830000}"/>
    <cellStyle name="Migliaia 52 3 6 2" xfId="23393" xr:uid="{00000000-0005-0000-0000-0000F3830000}"/>
    <cellStyle name="Migliaia 52 3 7" xfId="21682" xr:uid="{00000000-0005-0000-0000-0000F4830000}"/>
    <cellStyle name="Migliaia 52 3 8" xfId="38519" xr:uid="{00000000-0005-0000-0000-0000F5830000}"/>
    <cellStyle name="Migliaia 52 3 9" xfId="39297" xr:uid="{00000000-0005-0000-0000-0000F6830000}"/>
    <cellStyle name="Migliaia 52 4" xfId="754" xr:uid="{00000000-0005-0000-0000-0000F7830000}"/>
    <cellStyle name="Migliaia 52 4 2" xfId="19604" xr:uid="{00000000-0005-0000-0000-0000F8830000}"/>
    <cellStyle name="Migliaia 52 4 2 2" xfId="20660" xr:uid="{00000000-0005-0000-0000-0000F9830000}"/>
    <cellStyle name="Migliaia 52 4 2 2 2" xfId="37977" xr:uid="{00000000-0005-0000-0000-0000FA830000}"/>
    <cellStyle name="Migliaia 52 4 2 2 3" xfId="38932" xr:uid="{00000000-0005-0000-0000-0000FB830000}"/>
    <cellStyle name="Migliaia 52 4 2 3" xfId="37568" xr:uid="{00000000-0005-0000-0000-0000FC830000}"/>
    <cellStyle name="Migliaia 52 4 2 4" xfId="38523" xr:uid="{00000000-0005-0000-0000-0000FD830000}"/>
    <cellStyle name="Migliaia 52 4 3" xfId="20659" xr:uid="{00000000-0005-0000-0000-0000FE830000}"/>
    <cellStyle name="Migliaia 52 4 3 2" xfId="37976" xr:uid="{00000000-0005-0000-0000-0000FF830000}"/>
    <cellStyle name="Migliaia 52 4 3 3" xfId="38931" xr:uid="{00000000-0005-0000-0000-000000840000}"/>
    <cellStyle name="Migliaia 52 4 4" xfId="19603" xr:uid="{00000000-0005-0000-0000-000001840000}"/>
    <cellStyle name="Migliaia 52 4 4 2" xfId="37567" xr:uid="{00000000-0005-0000-0000-000002840000}"/>
    <cellStyle name="Migliaia 52 4 5" xfId="11626" xr:uid="{00000000-0005-0000-0000-000003840000}"/>
    <cellStyle name="Migliaia 52 4 6" xfId="21684" xr:uid="{00000000-0005-0000-0000-000004840000}"/>
    <cellStyle name="Migliaia 52 4 7" xfId="38522" xr:uid="{00000000-0005-0000-0000-000005840000}"/>
    <cellStyle name="Migliaia 52 4 8" xfId="39837" xr:uid="{00000000-0005-0000-0000-000006840000}"/>
    <cellStyle name="Migliaia 52 4 9" xfId="40323" xr:uid="{00000000-0005-0000-0000-000007840000}"/>
    <cellStyle name="Migliaia 52 5" xfId="755" xr:uid="{00000000-0005-0000-0000-000008840000}"/>
    <cellStyle name="Migliaia 52 5 2" xfId="19605" xr:uid="{00000000-0005-0000-0000-000009840000}"/>
    <cellStyle name="Migliaia 52 5 2 2" xfId="37569" xr:uid="{00000000-0005-0000-0000-00000A840000}"/>
    <cellStyle name="Migliaia 52 5 3" xfId="11627" xr:uid="{00000000-0005-0000-0000-00000B840000}"/>
    <cellStyle name="Migliaia 52 5 4" xfId="21685" xr:uid="{00000000-0005-0000-0000-00000C840000}"/>
    <cellStyle name="Migliaia 52 5 5" xfId="38524" xr:uid="{00000000-0005-0000-0000-00000D840000}"/>
    <cellStyle name="Migliaia 52 5 6" xfId="39838" xr:uid="{00000000-0005-0000-0000-00000E840000}"/>
    <cellStyle name="Migliaia 52 5 7" xfId="40324" xr:uid="{00000000-0005-0000-0000-00000F840000}"/>
    <cellStyle name="Migliaia 52 6" xfId="756" xr:uid="{00000000-0005-0000-0000-000010840000}"/>
    <cellStyle name="Migliaia 52 6 2" xfId="11622" xr:uid="{00000000-0005-0000-0000-000011840000}"/>
    <cellStyle name="Migliaia 52 6 3" xfId="21686" xr:uid="{00000000-0005-0000-0000-000012840000}"/>
    <cellStyle name="Migliaia 52 6 4" xfId="39839" xr:uid="{00000000-0005-0000-0000-000013840000}"/>
    <cellStyle name="Migliaia 52 6 5" xfId="40325" xr:uid="{00000000-0005-0000-0000-000014840000}"/>
    <cellStyle name="Migliaia 52 7" xfId="12211" xr:uid="{00000000-0005-0000-0000-000015840000}"/>
    <cellStyle name="Migliaia 52 7 2" xfId="30396" xr:uid="{00000000-0005-0000-0000-000016840000}"/>
    <cellStyle name="Migliaia 52 8" xfId="19598" xr:uid="{00000000-0005-0000-0000-000017840000}"/>
    <cellStyle name="Migliaia 52 8 2" xfId="37562" xr:uid="{00000000-0005-0000-0000-000018840000}"/>
    <cellStyle name="Migliaia 52 9" xfId="3391" xr:uid="{00000000-0005-0000-0000-000019840000}"/>
    <cellStyle name="Migliaia 52 9 2" xfId="23391" xr:uid="{00000000-0005-0000-0000-00001A840000}"/>
    <cellStyle name="Migliaia 53" xfId="757" xr:uid="{00000000-0005-0000-0000-00001B840000}"/>
    <cellStyle name="Migliaia 53 10" xfId="21687" xr:uid="{00000000-0005-0000-0000-00001C840000}"/>
    <cellStyle name="Migliaia 53 11" xfId="38525" xr:uid="{00000000-0005-0000-0000-00001D840000}"/>
    <cellStyle name="Migliaia 53 12" xfId="39299" xr:uid="{00000000-0005-0000-0000-00001E840000}"/>
    <cellStyle name="Migliaia 53 13" xfId="39840" xr:uid="{00000000-0005-0000-0000-00001F840000}"/>
    <cellStyle name="Migliaia 53 14" xfId="40326" xr:uid="{00000000-0005-0000-0000-000020840000}"/>
    <cellStyle name="Migliaia 53 2" xfId="758" xr:uid="{00000000-0005-0000-0000-000021840000}"/>
    <cellStyle name="Migliaia 53 2 10" xfId="39841" xr:uid="{00000000-0005-0000-0000-000022840000}"/>
    <cellStyle name="Migliaia 53 2 11" xfId="40327" xr:uid="{00000000-0005-0000-0000-000023840000}"/>
    <cellStyle name="Migliaia 53 2 2" xfId="3586" xr:uid="{00000000-0005-0000-0000-000024840000}"/>
    <cellStyle name="Migliaia 53 2 2 2" xfId="12347" xr:uid="{00000000-0005-0000-0000-000025840000}"/>
    <cellStyle name="Migliaia 53 2 2 2 2" xfId="30517" xr:uid="{00000000-0005-0000-0000-000026840000}"/>
    <cellStyle name="Migliaia 53 2 2 3" xfId="20661" xr:uid="{00000000-0005-0000-0000-000027840000}"/>
    <cellStyle name="Migliaia 53 2 2 3 2" xfId="37978" xr:uid="{00000000-0005-0000-0000-000028840000}"/>
    <cellStyle name="Migliaia 53 2 2 4" xfId="23515" xr:uid="{00000000-0005-0000-0000-000029840000}"/>
    <cellStyle name="Migliaia 53 2 2 5" xfId="38933" xr:uid="{00000000-0005-0000-0000-00002A840000}"/>
    <cellStyle name="Migliaia 53 2 2 6" xfId="39431" xr:uid="{00000000-0005-0000-0000-00002B840000}"/>
    <cellStyle name="Migliaia 53 2 3" xfId="11629" xr:uid="{00000000-0005-0000-0000-00002C840000}"/>
    <cellStyle name="Migliaia 53 2 4" xfId="12216" xr:uid="{00000000-0005-0000-0000-00002D840000}"/>
    <cellStyle name="Migliaia 53 2 4 2" xfId="30401" xr:uid="{00000000-0005-0000-0000-00002E840000}"/>
    <cellStyle name="Migliaia 53 2 5" xfId="19607" xr:uid="{00000000-0005-0000-0000-00002F840000}"/>
    <cellStyle name="Migliaia 53 2 5 2" xfId="37571" xr:uid="{00000000-0005-0000-0000-000030840000}"/>
    <cellStyle name="Migliaia 53 2 6" xfId="3396" xr:uid="{00000000-0005-0000-0000-000031840000}"/>
    <cellStyle name="Migliaia 53 2 6 2" xfId="23396" xr:uid="{00000000-0005-0000-0000-000032840000}"/>
    <cellStyle name="Migliaia 53 2 7" xfId="21688" xr:uid="{00000000-0005-0000-0000-000033840000}"/>
    <cellStyle name="Migliaia 53 2 8" xfId="38526" xr:uid="{00000000-0005-0000-0000-000034840000}"/>
    <cellStyle name="Migliaia 53 2 9" xfId="39300" xr:uid="{00000000-0005-0000-0000-000035840000}"/>
    <cellStyle name="Migliaia 53 3" xfId="759" xr:uid="{00000000-0005-0000-0000-000036840000}"/>
    <cellStyle name="Migliaia 53 3 10" xfId="39842" xr:uid="{00000000-0005-0000-0000-000037840000}"/>
    <cellStyle name="Migliaia 53 3 11" xfId="40328" xr:uid="{00000000-0005-0000-0000-000038840000}"/>
    <cellStyle name="Migliaia 53 3 2" xfId="760" xr:uid="{00000000-0005-0000-0000-000039840000}"/>
    <cellStyle name="Migliaia 53 3 2 10" xfId="40329" xr:uid="{00000000-0005-0000-0000-00003A840000}"/>
    <cellStyle name="Migliaia 53 3 2 2" xfId="11631" xr:uid="{00000000-0005-0000-0000-00003B840000}"/>
    <cellStyle name="Migliaia 53 3 2 3" xfId="12218" xr:uid="{00000000-0005-0000-0000-00003C840000}"/>
    <cellStyle name="Migliaia 53 3 2 3 2" xfId="30403" xr:uid="{00000000-0005-0000-0000-00003D840000}"/>
    <cellStyle name="Migliaia 53 3 2 4" xfId="19609" xr:uid="{00000000-0005-0000-0000-00003E840000}"/>
    <cellStyle name="Migliaia 53 3 2 4 2" xfId="37573" xr:uid="{00000000-0005-0000-0000-00003F840000}"/>
    <cellStyle name="Migliaia 53 3 2 5" xfId="3398" xr:uid="{00000000-0005-0000-0000-000040840000}"/>
    <cellStyle name="Migliaia 53 3 2 5 2" xfId="23398" xr:uid="{00000000-0005-0000-0000-000041840000}"/>
    <cellStyle name="Migliaia 53 3 2 6" xfId="21690" xr:uid="{00000000-0005-0000-0000-000042840000}"/>
    <cellStyle name="Migliaia 53 3 2 7" xfId="38528" xr:uid="{00000000-0005-0000-0000-000043840000}"/>
    <cellStyle name="Migliaia 53 3 2 8" xfId="39302" xr:uid="{00000000-0005-0000-0000-000044840000}"/>
    <cellStyle name="Migliaia 53 3 2 9" xfId="39843" xr:uid="{00000000-0005-0000-0000-000045840000}"/>
    <cellStyle name="Migliaia 53 3 3" xfId="11630" xr:uid="{00000000-0005-0000-0000-000046840000}"/>
    <cellStyle name="Migliaia 53 3 3 2" xfId="20663" xr:uid="{00000000-0005-0000-0000-000047840000}"/>
    <cellStyle name="Migliaia 53 3 3 2 2" xfId="37980" xr:uid="{00000000-0005-0000-0000-000048840000}"/>
    <cellStyle name="Migliaia 53 3 3 2 3" xfId="38935" xr:uid="{00000000-0005-0000-0000-000049840000}"/>
    <cellStyle name="Migliaia 53 3 3 3" xfId="19610" xr:uid="{00000000-0005-0000-0000-00004A840000}"/>
    <cellStyle name="Migliaia 53 3 3 3 2" xfId="37574" xr:uid="{00000000-0005-0000-0000-00004B840000}"/>
    <cellStyle name="Migliaia 53 3 3 4" xfId="38529" xr:uid="{00000000-0005-0000-0000-00004C840000}"/>
    <cellStyle name="Migliaia 53 3 4" xfId="12217" xr:uid="{00000000-0005-0000-0000-00004D840000}"/>
    <cellStyle name="Migliaia 53 3 4 2" xfId="20662" xr:uid="{00000000-0005-0000-0000-00004E840000}"/>
    <cellStyle name="Migliaia 53 3 4 2 2" xfId="37979" xr:uid="{00000000-0005-0000-0000-00004F840000}"/>
    <cellStyle name="Migliaia 53 3 4 3" xfId="30402" xr:uid="{00000000-0005-0000-0000-000050840000}"/>
    <cellStyle name="Migliaia 53 3 4 4" xfId="38934" xr:uid="{00000000-0005-0000-0000-000051840000}"/>
    <cellStyle name="Migliaia 53 3 5" xfId="19608" xr:uid="{00000000-0005-0000-0000-000052840000}"/>
    <cellStyle name="Migliaia 53 3 5 2" xfId="37572" xr:uid="{00000000-0005-0000-0000-000053840000}"/>
    <cellStyle name="Migliaia 53 3 6" xfId="3397" xr:uid="{00000000-0005-0000-0000-000054840000}"/>
    <cellStyle name="Migliaia 53 3 6 2" xfId="23397" xr:uid="{00000000-0005-0000-0000-000055840000}"/>
    <cellStyle name="Migliaia 53 3 7" xfId="21689" xr:uid="{00000000-0005-0000-0000-000056840000}"/>
    <cellStyle name="Migliaia 53 3 8" xfId="38527" xr:uid="{00000000-0005-0000-0000-000057840000}"/>
    <cellStyle name="Migliaia 53 3 9" xfId="39301" xr:uid="{00000000-0005-0000-0000-000058840000}"/>
    <cellStyle name="Migliaia 53 4" xfId="761" xr:uid="{00000000-0005-0000-0000-000059840000}"/>
    <cellStyle name="Migliaia 53 4 2" xfId="19612" xr:uid="{00000000-0005-0000-0000-00005A840000}"/>
    <cellStyle name="Migliaia 53 4 2 2" xfId="20665" xr:uid="{00000000-0005-0000-0000-00005B840000}"/>
    <cellStyle name="Migliaia 53 4 2 2 2" xfId="37982" xr:uid="{00000000-0005-0000-0000-00005C840000}"/>
    <cellStyle name="Migliaia 53 4 2 2 3" xfId="38937" xr:uid="{00000000-0005-0000-0000-00005D840000}"/>
    <cellStyle name="Migliaia 53 4 2 3" xfId="37576" xr:uid="{00000000-0005-0000-0000-00005E840000}"/>
    <cellStyle name="Migliaia 53 4 2 4" xfId="38531" xr:uid="{00000000-0005-0000-0000-00005F840000}"/>
    <cellStyle name="Migliaia 53 4 3" xfId="20664" xr:uid="{00000000-0005-0000-0000-000060840000}"/>
    <cellStyle name="Migliaia 53 4 3 2" xfId="37981" xr:uid="{00000000-0005-0000-0000-000061840000}"/>
    <cellStyle name="Migliaia 53 4 3 3" xfId="38936" xr:uid="{00000000-0005-0000-0000-000062840000}"/>
    <cellStyle name="Migliaia 53 4 4" xfId="19611" xr:uid="{00000000-0005-0000-0000-000063840000}"/>
    <cellStyle name="Migliaia 53 4 4 2" xfId="37575" xr:uid="{00000000-0005-0000-0000-000064840000}"/>
    <cellStyle name="Migliaia 53 4 5" xfId="11632" xr:uid="{00000000-0005-0000-0000-000065840000}"/>
    <cellStyle name="Migliaia 53 4 6" xfId="21691" xr:uid="{00000000-0005-0000-0000-000066840000}"/>
    <cellStyle name="Migliaia 53 4 7" xfId="38530" xr:uid="{00000000-0005-0000-0000-000067840000}"/>
    <cellStyle name="Migliaia 53 4 8" xfId="39844" xr:uid="{00000000-0005-0000-0000-000068840000}"/>
    <cellStyle name="Migliaia 53 4 9" xfId="40330" xr:uid="{00000000-0005-0000-0000-000069840000}"/>
    <cellStyle name="Migliaia 53 5" xfId="762" xr:uid="{00000000-0005-0000-0000-00006A840000}"/>
    <cellStyle name="Migliaia 53 5 2" xfId="19613" xr:uid="{00000000-0005-0000-0000-00006B840000}"/>
    <cellStyle name="Migliaia 53 5 2 2" xfId="37577" xr:uid="{00000000-0005-0000-0000-00006C840000}"/>
    <cellStyle name="Migliaia 53 5 3" xfId="11633" xr:uid="{00000000-0005-0000-0000-00006D840000}"/>
    <cellStyle name="Migliaia 53 5 4" xfId="21692" xr:uid="{00000000-0005-0000-0000-00006E840000}"/>
    <cellStyle name="Migliaia 53 5 5" xfId="38532" xr:uid="{00000000-0005-0000-0000-00006F840000}"/>
    <cellStyle name="Migliaia 53 5 6" xfId="39845" xr:uid="{00000000-0005-0000-0000-000070840000}"/>
    <cellStyle name="Migliaia 53 5 7" xfId="40331" xr:uid="{00000000-0005-0000-0000-000071840000}"/>
    <cellStyle name="Migliaia 53 6" xfId="763" xr:uid="{00000000-0005-0000-0000-000072840000}"/>
    <cellStyle name="Migliaia 53 6 2" xfId="11628" xr:uid="{00000000-0005-0000-0000-000073840000}"/>
    <cellStyle name="Migliaia 53 6 3" xfId="21693" xr:uid="{00000000-0005-0000-0000-000074840000}"/>
    <cellStyle name="Migliaia 53 6 4" xfId="39846" xr:uid="{00000000-0005-0000-0000-000075840000}"/>
    <cellStyle name="Migliaia 53 6 5" xfId="40332" xr:uid="{00000000-0005-0000-0000-000076840000}"/>
    <cellStyle name="Migliaia 53 7" xfId="12215" xr:uid="{00000000-0005-0000-0000-000077840000}"/>
    <cellStyle name="Migliaia 53 7 2" xfId="30400" xr:uid="{00000000-0005-0000-0000-000078840000}"/>
    <cellStyle name="Migliaia 53 8" xfId="19606" xr:uid="{00000000-0005-0000-0000-000079840000}"/>
    <cellStyle name="Migliaia 53 8 2" xfId="37570" xr:uid="{00000000-0005-0000-0000-00007A840000}"/>
    <cellStyle name="Migliaia 53 9" xfId="3395" xr:uid="{00000000-0005-0000-0000-00007B840000}"/>
    <cellStyle name="Migliaia 53 9 2" xfId="23395" xr:uid="{00000000-0005-0000-0000-00007C840000}"/>
    <cellStyle name="Migliaia 54" xfId="764" xr:uid="{00000000-0005-0000-0000-00007D840000}"/>
    <cellStyle name="Migliaia 54 10" xfId="21694" xr:uid="{00000000-0005-0000-0000-00007E840000}"/>
    <cellStyle name="Migliaia 54 11" xfId="38533" xr:uid="{00000000-0005-0000-0000-00007F840000}"/>
    <cellStyle name="Migliaia 54 12" xfId="39303" xr:uid="{00000000-0005-0000-0000-000080840000}"/>
    <cellStyle name="Migliaia 54 13" xfId="39847" xr:uid="{00000000-0005-0000-0000-000081840000}"/>
    <cellStyle name="Migliaia 54 14" xfId="40333" xr:uid="{00000000-0005-0000-0000-000082840000}"/>
    <cellStyle name="Migliaia 54 2" xfId="765" xr:uid="{00000000-0005-0000-0000-000083840000}"/>
    <cellStyle name="Migliaia 54 2 10" xfId="39848" xr:uid="{00000000-0005-0000-0000-000084840000}"/>
    <cellStyle name="Migliaia 54 2 11" xfId="40334" xr:uid="{00000000-0005-0000-0000-000085840000}"/>
    <cellStyle name="Migliaia 54 2 2" xfId="3587" xr:uid="{00000000-0005-0000-0000-000086840000}"/>
    <cellStyle name="Migliaia 54 2 2 2" xfId="12348" xr:uid="{00000000-0005-0000-0000-000087840000}"/>
    <cellStyle name="Migliaia 54 2 2 2 2" xfId="30518" xr:uid="{00000000-0005-0000-0000-000088840000}"/>
    <cellStyle name="Migliaia 54 2 2 3" xfId="20666" xr:uid="{00000000-0005-0000-0000-000089840000}"/>
    <cellStyle name="Migliaia 54 2 2 3 2" xfId="37983" xr:uid="{00000000-0005-0000-0000-00008A840000}"/>
    <cellStyle name="Migliaia 54 2 2 4" xfId="23516" xr:uid="{00000000-0005-0000-0000-00008B840000}"/>
    <cellStyle name="Migliaia 54 2 2 5" xfId="38938" xr:uid="{00000000-0005-0000-0000-00008C840000}"/>
    <cellStyle name="Migliaia 54 2 2 6" xfId="39432" xr:uid="{00000000-0005-0000-0000-00008D840000}"/>
    <cellStyle name="Migliaia 54 2 3" xfId="11635" xr:uid="{00000000-0005-0000-0000-00008E840000}"/>
    <cellStyle name="Migliaia 54 2 4" xfId="12220" xr:uid="{00000000-0005-0000-0000-00008F840000}"/>
    <cellStyle name="Migliaia 54 2 4 2" xfId="30405" xr:uid="{00000000-0005-0000-0000-000090840000}"/>
    <cellStyle name="Migliaia 54 2 5" xfId="19615" xr:uid="{00000000-0005-0000-0000-000091840000}"/>
    <cellStyle name="Migliaia 54 2 5 2" xfId="37579" xr:uid="{00000000-0005-0000-0000-000092840000}"/>
    <cellStyle name="Migliaia 54 2 6" xfId="3400" xr:uid="{00000000-0005-0000-0000-000093840000}"/>
    <cellStyle name="Migliaia 54 2 6 2" xfId="23400" xr:uid="{00000000-0005-0000-0000-000094840000}"/>
    <cellStyle name="Migliaia 54 2 7" xfId="21695" xr:uid="{00000000-0005-0000-0000-000095840000}"/>
    <cellStyle name="Migliaia 54 2 8" xfId="38534" xr:uid="{00000000-0005-0000-0000-000096840000}"/>
    <cellStyle name="Migliaia 54 2 9" xfId="39304" xr:uid="{00000000-0005-0000-0000-000097840000}"/>
    <cellStyle name="Migliaia 54 3" xfId="766" xr:uid="{00000000-0005-0000-0000-000098840000}"/>
    <cellStyle name="Migliaia 54 3 10" xfId="39849" xr:uid="{00000000-0005-0000-0000-000099840000}"/>
    <cellStyle name="Migliaia 54 3 11" xfId="40335" xr:uid="{00000000-0005-0000-0000-00009A840000}"/>
    <cellStyle name="Migliaia 54 3 2" xfId="767" xr:uid="{00000000-0005-0000-0000-00009B840000}"/>
    <cellStyle name="Migliaia 54 3 2 10" xfId="40336" xr:uid="{00000000-0005-0000-0000-00009C840000}"/>
    <cellStyle name="Migliaia 54 3 2 2" xfId="11637" xr:uid="{00000000-0005-0000-0000-00009D840000}"/>
    <cellStyle name="Migliaia 54 3 2 3" xfId="12222" xr:uid="{00000000-0005-0000-0000-00009E840000}"/>
    <cellStyle name="Migliaia 54 3 2 3 2" xfId="30407" xr:uid="{00000000-0005-0000-0000-00009F840000}"/>
    <cellStyle name="Migliaia 54 3 2 4" xfId="19617" xr:uid="{00000000-0005-0000-0000-0000A0840000}"/>
    <cellStyle name="Migliaia 54 3 2 4 2" xfId="37581" xr:uid="{00000000-0005-0000-0000-0000A1840000}"/>
    <cellStyle name="Migliaia 54 3 2 5" xfId="3402" xr:uid="{00000000-0005-0000-0000-0000A2840000}"/>
    <cellStyle name="Migliaia 54 3 2 5 2" xfId="23402" xr:uid="{00000000-0005-0000-0000-0000A3840000}"/>
    <cellStyle name="Migliaia 54 3 2 6" xfId="21697" xr:uid="{00000000-0005-0000-0000-0000A4840000}"/>
    <cellStyle name="Migliaia 54 3 2 7" xfId="38536" xr:uid="{00000000-0005-0000-0000-0000A5840000}"/>
    <cellStyle name="Migliaia 54 3 2 8" xfId="39306" xr:uid="{00000000-0005-0000-0000-0000A6840000}"/>
    <cellStyle name="Migliaia 54 3 2 9" xfId="39850" xr:uid="{00000000-0005-0000-0000-0000A7840000}"/>
    <cellStyle name="Migliaia 54 3 3" xfId="11636" xr:uid="{00000000-0005-0000-0000-0000A8840000}"/>
    <cellStyle name="Migliaia 54 3 3 2" xfId="20668" xr:uid="{00000000-0005-0000-0000-0000A9840000}"/>
    <cellStyle name="Migliaia 54 3 3 2 2" xfId="37985" xr:uid="{00000000-0005-0000-0000-0000AA840000}"/>
    <cellStyle name="Migliaia 54 3 3 2 3" xfId="38940" xr:uid="{00000000-0005-0000-0000-0000AB840000}"/>
    <cellStyle name="Migliaia 54 3 3 3" xfId="19618" xr:uid="{00000000-0005-0000-0000-0000AC840000}"/>
    <cellStyle name="Migliaia 54 3 3 3 2" xfId="37582" xr:uid="{00000000-0005-0000-0000-0000AD840000}"/>
    <cellStyle name="Migliaia 54 3 3 4" xfId="38537" xr:uid="{00000000-0005-0000-0000-0000AE840000}"/>
    <cellStyle name="Migliaia 54 3 4" xfId="12221" xr:uid="{00000000-0005-0000-0000-0000AF840000}"/>
    <cellStyle name="Migliaia 54 3 4 2" xfId="20667" xr:uid="{00000000-0005-0000-0000-0000B0840000}"/>
    <cellStyle name="Migliaia 54 3 4 2 2" xfId="37984" xr:uid="{00000000-0005-0000-0000-0000B1840000}"/>
    <cellStyle name="Migliaia 54 3 4 3" xfId="30406" xr:uid="{00000000-0005-0000-0000-0000B2840000}"/>
    <cellStyle name="Migliaia 54 3 4 4" xfId="38939" xr:uid="{00000000-0005-0000-0000-0000B3840000}"/>
    <cellStyle name="Migliaia 54 3 5" xfId="19616" xr:uid="{00000000-0005-0000-0000-0000B4840000}"/>
    <cellStyle name="Migliaia 54 3 5 2" xfId="37580" xr:uid="{00000000-0005-0000-0000-0000B5840000}"/>
    <cellStyle name="Migliaia 54 3 6" xfId="3401" xr:uid="{00000000-0005-0000-0000-0000B6840000}"/>
    <cellStyle name="Migliaia 54 3 6 2" xfId="23401" xr:uid="{00000000-0005-0000-0000-0000B7840000}"/>
    <cellStyle name="Migliaia 54 3 7" xfId="21696" xr:uid="{00000000-0005-0000-0000-0000B8840000}"/>
    <cellStyle name="Migliaia 54 3 8" xfId="38535" xr:uid="{00000000-0005-0000-0000-0000B9840000}"/>
    <cellStyle name="Migliaia 54 3 9" xfId="39305" xr:uid="{00000000-0005-0000-0000-0000BA840000}"/>
    <cellStyle name="Migliaia 54 4" xfId="768" xr:uid="{00000000-0005-0000-0000-0000BB840000}"/>
    <cellStyle name="Migliaia 54 4 2" xfId="19620" xr:uid="{00000000-0005-0000-0000-0000BC840000}"/>
    <cellStyle name="Migliaia 54 4 2 2" xfId="20670" xr:uid="{00000000-0005-0000-0000-0000BD840000}"/>
    <cellStyle name="Migliaia 54 4 2 2 2" xfId="37987" xr:uid="{00000000-0005-0000-0000-0000BE840000}"/>
    <cellStyle name="Migliaia 54 4 2 2 3" xfId="38942" xr:uid="{00000000-0005-0000-0000-0000BF840000}"/>
    <cellStyle name="Migliaia 54 4 2 3" xfId="37584" xr:uid="{00000000-0005-0000-0000-0000C0840000}"/>
    <cellStyle name="Migliaia 54 4 2 4" xfId="38539" xr:uid="{00000000-0005-0000-0000-0000C1840000}"/>
    <cellStyle name="Migliaia 54 4 3" xfId="20669" xr:uid="{00000000-0005-0000-0000-0000C2840000}"/>
    <cellStyle name="Migliaia 54 4 3 2" xfId="37986" xr:uid="{00000000-0005-0000-0000-0000C3840000}"/>
    <cellStyle name="Migliaia 54 4 3 3" xfId="38941" xr:uid="{00000000-0005-0000-0000-0000C4840000}"/>
    <cellStyle name="Migliaia 54 4 4" xfId="19619" xr:uid="{00000000-0005-0000-0000-0000C5840000}"/>
    <cellStyle name="Migliaia 54 4 4 2" xfId="37583" xr:uid="{00000000-0005-0000-0000-0000C6840000}"/>
    <cellStyle name="Migliaia 54 4 5" xfId="11638" xr:uid="{00000000-0005-0000-0000-0000C7840000}"/>
    <cellStyle name="Migliaia 54 4 6" xfId="21698" xr:uid="{00000000-0005-0000-0000-0000C8840000}"/>
    <cellStyle name="Migliaia 54 4 7" xfId="38538" xr:uid="{00000000-0005-0000-0000-0000C9840000}"/>
    <cellStyle name="Migliaia 54 4 8" xfId="39851" xr:uid="{00000000-0005-0000-0000-0000CA840000}"/>
    <cellStyle name="Migliaia 54 4 9" xfId="40337" xr:uid="{00000000-0005-0000-0000-0000CB840000}"/>
    <cellStyle name="Migliaia 54 5" xfId="769" xr:uid="{00000000-0005-0000-0000-0000CC840000}"/>
    <cellStyle name="Migliaia 54 5 2" xfId="19621" xr:uid="{00000000-0005-0000-0000-0000CD840000}"/>
    <cellStyle name="Migliaia 54 5 2 2" xfId="37585" xr:uid="{00000000-0005-0000-0000-0000CE840000}"/>
    <cellStyle name="Migliaia 54 5 3" xfId="11639" xr:uid="{00000000-0005-0000-0000-0000CF840000}"/>
    <cellStyle name="Migliaia 54 5 4" xfId="21699" xr:uid="{00000000-0005-0000-0000-0000D0840000}"/>
    <cellStyle name="Migliaia 54 5 5" xfId="38540" xr:uid="{00000000-0005-0000-0000-0000D1840000}"/>
    <cellStyle name="Migliaia 54 5 6" xfId="39852" xr:uid="{00000000-0005-0000-0000-0000D2840000}"/>
    <cellStyle name="Migliaia 54 5 7" xfId="40338" xr:uid="{00000000-0005-0000-0000-0000D3840000}"/>
    <cellStyle name="Migliaia 54 6" xfId="770" xr:uid="{00000000-0005-0000-0000-0000D4840000}"/>
    <cellStyle name="Migliaia 54 6 2" xfId="11634" xr:uid="{00000000-0005-0000-0000-0000D5840000}"/>
    <cellStyle name="Migliaia 54 6 3" xfId="21700" xr:uid="{00000000-0005-0000-0000-0000D6840000}"/>
    <cellStyle name="Migliaia 54 6 4" xfId="39853" xr:uid="{00000000-0005-0000-0000-0000D7840000}"/>
    <cellStyle name="Migliaia 54 6 5" xfId="40339" xr:uid="{00000000-0005-0000-0000-0000D8840000}"/>
    <cellStyle name="Migliaia 54 7" xfId="12219" xr:uid="{00000000-0005-0000-0000-0000D9840000}"/>
    <cellStyle name="Migliaia 54 7 2" xfId="30404" xr:uid="{00000000-0005-0000-0000-0000DA840000}"/>
    <cellStyle name="Migliaia 54 8" xfId="19614" xr:uid="{00000000-0005-0000-0000-0000DB840000}"/>
    <cellStyle name="Migliaia 54 8 2" xfId="37578" xr:uid="{00000000-0005-0000-0000-0000DC840000}"/>
    <cellStyle name="Migliaia 54 9" xfId="3399" xr:uid="{00000000-0005-0000-0000-0000DD840000}"/>
    <cellStyle name="Migliaia 54 9 2" xfId="23399" xr:uid="{00000000-0005-0000-0000-0000DE840000}"/>
    <cellStyle name="Migliaia 55" xfId="771" xr:uid="{00000000-0005-0000-0000-0000DF840000}"/>
    <cellStyle name="Migliaia 55 10" xfId="21701" xr:uid="{00000000-0005-0000-0000-0000E0840000}"/>
    <cellStyle name="Migliaia 55 11" xfId="38541" xr:uid="{00000000-0005-0000-0000-0000E1840000}"/>
    <cellStyle name="Migliaia 55 12" xfId="39307" xr:uid="{00000000-0005-0000-0000-0000E2840000}"/>
    <cellStyle name="Migliaia 55 13" xfId="39854" xr:uid="{00000000-0005-0000-0000-0000E3840000}"/>
    <cellStyle name="Migliaia 55 14" xfId="40340" xr:uid="{00000000-0005-0000-0000-0000E4840000}"/>
    <cellStyle name="Migliaia 55 2" xfId="772" xr:uid="{00000000-0005-0000-0000-0000E5840000}"/>
    <cellStyle name="Migliaia 55 2 10" xfId="39855" xr:uid="{00000000-0005-0000-0000-0000E6840000}"/>
    <cellStyle name="Migliaia 55 2 11" xfId="40341" xr:uid="{00000000-0005-0000-0000-0000E7840000}"/>
    <cellStyle name="Migliaia 55 2 2" xfId="3588" xr:uid="{00000000-0005-0000-0000-0000E8840000}"/>
    <cellStyle name="Migliaia 55 2 2 2" xfId="12349" xr:uid="{00000000-0005-0000-0000-0000E9840000}"/>
    <cellStyle name="Migliaia 55 2 2 2 2" xfId="30519" xr:uid="{00000000-0005-0000-0000-0000EA840000}"/>
    <cellStyle name="Migliaia 55 2 2 3" xfId="20671" xr:uid="{00000000-0005-0000-0000-0000EB840000}"/>
    <cellStyle name="Migliaia 55 2 2 3 2" xfId="37988" xr:uid="{00000000-0005-0000-0000-0000EC840000}"/>
    <cellStyle name="Migliaia 55 2 2 4" xfId="23517" xr:uid="{00000000-0005-0000-0000-0000ED840000}"/>
    <cellStyle name="Migliaia 55 2 2 5" xfId="38943" xr:uid="{00000000-0005-0000-0000-0000EE840000}"/>
    <cellStyle name="Migliaia 55 2 2 6" xfId="39433" xr:uid="{00000000-0005-0000-0000-0000EF840000}"/>
    <cellStyle name="Migliaia 55 2 3" xfId="11641" xr:uid="{00000000-0005-0000-0000-0000F0840000}"/>
    <cellStyle name="Migliaia 55 2 4" xfId="12224" xr:uid="{00000000-0005-0000-0000-0000F1840000}"/>
    <cellStyle name="Migliaia 55 2 4 2" xfId="30409" xr:uid="{00000000-0005-0000-0000-0000F2840000}"/>
    <cellStyle name="Migliaia 55 2 5" xfId="19623" xr:uid="{00000000-0005-0000-0000-0000F3840000}"/>
    <cellStyle name="Migliaia 55 2 5 2" xfId="37587" xr:uid="{00000000-0005-0000-0000-0000F4840000}"/>
    <cellStyle name="Migliaia 55 2 6" xfId="3404" xr:uid="{00000000-0005-0000-0000-0000F5840000}"/>
    <cellStyle name="Migliaia 55 2 6 2" xfId="23404" xr:uid="{00000000-0005-0000-0000-0000F6840000}"/>
    <cellStyle name="Migliaia 55 2 7" xfId="21702" xr:uid="{00000000-0005-0000-0000-0000F7840000}"/>
    <cellStyle name="Migliaia 55 2 8" xfId="38542" xr:uid="{00000000-0005-0000-0000-0000F8840000}"/>
    <cellStyle name="Migliaia 55 2 9" xfId="39308" xr:uid="{00000000-0005-0000-0000-0000F9840000}"/>
    <cellStyle name="Migliaia 55 3" xfId="773" xr:uid="{00000000-0005-0000-0000-0000FA840000}"/>
    <cellStyle name="Migliaia 55 3 10" xfId="39856" xr:uid="{00000000-0005-0000-0000-0000FB840000}"/>
    <cellStyle name="Migliaia 55 3 11" xfId="40342" xr:uid="{00000000-0005-0000-0000-0000FC840000}"/>
    <cellStyle name="Migliaia 55 3 2" xfId="774" xr:uid="{00000000-0005-0000-0000-0000FD840000}"/>
    <cellStyle name="Migliaia 55 3 2 10" xfId="40343" xr:uid="{00000000-0005-0000-0000-0000FE840000}"/>
    <cellStyle name="Migliaia 55 3 2 2" xfId="11643" xr:uid="{00000000-0005-0000-0000-0000FF840000}"/>
    <cellStyle name="Migliaia 55 3 2 3" xfId="12226" xr:uid="{00000000-0005-0000-0000-000000850000}"/>
    <cellStyle name="Migliaia 55 3 2 3 2" xfId="30411" xr:uid="{00000000-0005-0000-0000-000001850000}"/>
    <cellStyle name="Migliaia 55 3 2 4" xfId="19625" xr:uid="{00000000-0005-0000-0000-000002850000}"/>
    <cellStyle name="Migliaia 55 3 2 4 2" xfId="37589" xr:uid="{00000000-0005-0000-0000-000003850000}"/>
    <cellStyle name="Migliaia 55 3 2 5" xfId="3406" xr:uid="{00000000-0005-0000-0000-000004850000}"/>
    <cellStyle name="Migliaia 55 3 2 5 2" xfId="23406" xr:uid="{00000000-0005-0000-0000-000005850000}"/>
    <cellStyle name="Migliaia 55 3 2 6" xfId="21704" xr:uid="{00000000-0005-0000-0000-000006850000}"/>
    <cellStyle name="Migliaia 55 3 2 7" xfId="38544" xr:uid="{00000000-0005-0000-0000-000007850000}"/>
    <cellStyle name="Migliaia 55 3 2 8" xfId="39310" xr:uid="{00000000-0005-0000-0000-000008850000}"/>
    <cellStyle name="Migliaia 55 3 2 9" xfId="39857" xr:uid="{00000000-0005-0000-0000-000009850000}"/>
    <cellStyle name="Migliaia 55 3 3" xfId="11642" xr:uid="{00000000-0005-0000-0000-00000A850000}"/>
    <cellStyle name="Migliaia 55 3 3 2" xfId="20673" xr:uid="{00000000-0005-0000-0000-00000B850000}"/>
    <cellStyle name="Migliaia 55 3 3 2 2" xfId="37990" xr:uid="{00000000-0005-0000-0000-00000C850000}"/>
    <cellStyle name="Migliaia 55 3 3 2 3" xfId="38945" xr:uid="{00000000-0005-0000-0000-00000D850000}"/>
    <cellStyle name="Migliaia 55 3 3 3" xfId="19626" xr:uid="{00000000-0005-0000-0000-00000E850000}"/>
    <cellStyle name="Migliaia 55 3 3 3 2" xfId="37590" xr:uid="{00000000-0005-0000-0000-00000F850000}"/>
    <cellStyle name="Migliaia 55 3 3 4" xfId="38545" xr:uid="{00000000-0005-0000-0000-000010850000}"/>
    <cellStyle name="Migliaia 55 3 4" xfId="12225" xr:uid="{00000000-0005-0000-0000-000011850000}"/>
    <cellStyle name="Migliaia 55 3 4 2" xfId="20672" xr:uid="{00000000-0005-0000-0000-000012850000}"/>
    <cellStyle name="Migliaia 55 3 4 2 2" xfId="37989" xr:uid="{00000000-0005-0000-0000-000013850000}"/>
    <cellStyle name="Migliaia 55 3 4 3" xfId="30410" xr:uid="{00000000-0005-0000-0000-000014850000}"/>
    <cellStyle name="Migliaia 55 3 4 4" xfId="38944" xr:uid="{00000000-0005-0000-0000-000015850000}"/>
    <cellStyle name="Migliaia 55 3 5" xfId="19624" xr:uid="{00000000-0005-0000-0000-000016850000}"/>
    <cellStyle name="Migliaia 55 3 5 2" xfId="37588" xr:uid="{00000000-0005-0000-0000-000017850000}"/>
    <cellStyle name="Migliaia 55 3 6" xfId="3405" xr:uid="{00000000-0005-0000-0000-000018850000}"/>
    <cellStyle name="Migliaia 55 3 6 2" xfId="23405" xr:uid="{00000000-0005-0000-0000-000019850000}"/>
    <cellStyle name="Migliaia 55 3 7" xfId="21703" xr:uid="{00000000-0005-0000-0000-00001A850000}"/>
    <cellStyle name="Migliaia 55 3 8" xfId="38543" xr:uid="{00000000-0005-0000-0000-00001B850000}"/>
    <cellStyle name="Migliaia 55 3 9" xfId="39309" xr:uid="{00000000-0005-0000-0000-00001C850000}"/>
    <cellStyle name="Migliaia 55 4" xfId="775" xr:uid="{00000000-0005-0000-0000-00001D850000}"/>
    <cellStyle name="Migliaia 55 4 2" xfId="19628" xr:uid="{00000000-0005-0000-0000-00001E850000}"/>
    <cellStyle name="Migliaia 55 4 2 2" xfId="20675" xr:uid="{00000000-0005-0000-0000-00001F850000}"/>
    <cellStyle name="Migliaia 55 4 2 2 2" xfId="37992" xr:uid="{00000000-0005-0000-0000-000020850000}"/>
    <cellStyle name="Migliaia 55 4 2 2 3" xfId="38947" xr:uid="{00000000-0005-0000-0000-000021850000}"/>
    <cellStyle name="Migliaia 55 4 2 3" xfId="37592" xr:uid="{00000000-0005-0000-0000-000022850000}"/>
    <cellStyle name="Migliaia 55 4 2 4" xfId="38547" xr:uid="{00000000-0005-0000-0000-000023850000}"/>
    <cellStyle name="Migliaia 55 4 3" xfId="20674" xr:uid="{00000000-0005-0000-0000-000024850000}"/>
    <cellStyle name="Migliaia 55 4 3 2" xfId="37991" xr:uid="{00000000-0005-0000-0000-000025850000}"/>
    <cellStyle name="Migliaia 55 4 3 3" xfId="38946" xr:uid="{00000000-0005-0000-0000-000026850000}"/>
    <cellStyle name="Migliaia 55 4 4" xfId="19627" xr:uid="{00000000-0005-0000-0000-000027850000}"/>
    <cellStyle name="Migliaia 55 4 4 2" xfId="37591" xr:uid="{00000000-0005-0000-0000-000028850000}"/>
    <cellStyle name="Migliaia 55 4 5" xfId="11644" xr:uid="{00000000-0005-0000-0000-000029850000}"/>
    <cellStyle name="Migliaia 55 4 6" xfId="21705" xr:uid="{00000000-0005-0000-0000-00002A850000}"/>
    <cellStyle name="Migliaia 55 4 7" xfId="38546" xr:uid="{00000000-0005-0000-0000-00002B850000}"/>
    <cellStyle name="Migliaia 55 4 8" xfId="39858" xr:uid="{00000000-0005-0000-0000-00002C850000}"/>
    <cellStyle name="Migliaia 55 4 9" xfId="40344" xr:uid="{00000000-0005-0000-0000-00002D850000}"/>
    <cellStyle name="Migliaia 55 5" xfId="776" xr:uid="{00000000-0005-0000-0000-00002E850000}"/>
    <cellStyle name="Migliaia 55 5 2" xfId="19629" xr:uid="{00000000-0005-0000-0000-00002F850000}"/>
    <cellStyle name="Migliaia 55 5 2 2" xfId="37593" xr:uid="{00000000-0005-0000-0000-000030850000}"/>
    <cellStyle name="Migliaia 55 5 3" xfId="11645" xr:uid="{00000000-0005-0000-0000-000031850000}"/>
    <cellStyle name="Migliaia 55 5 4" xfId="21706" xr:uid="{00000000-0005-0000-0000-000032850000}"/>
    <cellStyle name="Migliaia 55 5 5" xfId="38548" xr:uid="{00000000-0005-0000-0000-000033850000}"/>
    <cellStyle name="Migliaia 55 5 6" xfId="39859" xr:uid="{00000000-0005-0000-0000-000034850000}"/>
    <cellStyle name="Migliaia 55 5 7" xfId="40345" xr:uid="{00000000-0005-0000-0000-000035850000}"/>
    <cellStyle name="Migliaia 55 6" xfId="777" xr:uid="{00000000-0005-0000-0000-000036850000}"/>
    <cellStyle name="Migliaia 55 6 2" xfId="11640" xr:uid="{00000000-0005-0000-0000-000037850000}"/>
    <cellStyle name="Migliaia 55 6 3" xfId="21707" xr:uid="{00000000-0005-0000-0000-000038850000}"/>
    <cellStyle name="Migliaia 55 6 4" xfId="39860" xr:uid="{00000000-0005-0000-0000-000039850000}"/>
    <cellStyle name="Migliaia 55 6 5" xfId="40346" xr:uid="{00000000-0005-0000-0000-00003A850000}"/>
    <cellStyle name="Migliaia 55 7" xfId="12223" xr:uid="{00000000-0005-0000-0000-00003B850000}"/>
    <cellStyle name="Migliaia 55 7 2" xfId="30408" xr:uid="{00000000-0005-0000-0000-00003C850000}"/>
    <cellStyle name="Migliaia 55 8" xfId="19622" xr:uid="{00000000-0005-0000-0000-00003D850000}"/>
    <cellStyle name="Migliaia 55 8 2" xfId="37586" xr:uid="{00000000-0005-0000-0000-00003E850000}"/>
    <cellStyle name="Migliaia 55 9" xfId="3403" xr:uid="{00000000-0005-0000-0000-00003F850000}"/>
    <cellStyle name="Migliaia 55 9 2" xfId="23403" xr:uid="{00000000-0005-0000-0000-000040850000}"/>
    <cellStyle name="Migliaia 56" xfId="778" xr:uid="{00000000-0005-0000-0000-000041850000}"/>
    <cellStyle name="Migliaia 56 10" xfId="21708" xr:uid="{00000000-0005-0000-0000-000042850000}"/>
    <cellStyle name="Migliaia 56 11" xfId="38549" xr:uid="{00000000-0005-0000-0000-000043850000}"/>
    <cellStyle name="Migliaia 56 12" xfId="39311" xr:uid="{00000000-0005-0000-0000-000044850000}"/>
    <cellStyle name="Migliaia 56 13" xfId="39861" xr:uid="{00000000-0005-0000-0000-000045850000}"/>
    <cellStyle name="Migliaia 56 14" xfId="40347" xr:uid="{00000000-0005-0000-0000-000046850000}"/>
    <cellStyle name="Migliaia 56 2" xfId="779" xr:uid="{00000000-0005-0000-0000-000047850000}"/>
    <cellStyle name="Migliaia 56 2 10" xfId="39862" xr:uid="{00000000-0005-0000-0000-000048850000}"/>
    <cellStyle name="Migliaia 56 2 11" xfId="40348" xr:uid="{00000000-0005-0000-0000-000049850000}"/>
    <cellStyle name="Migliaia 56 2 2" xfId="3589" xr:uid="{00000000-0005-0000-0000-00004A850000}"/>
    <cellStyle name="Migliaia 56 2 2 2" xfId="12350" xr:uid="{00000000-0005-0000-0000-00004B850000}"/>
    <cellStyle name="Migliaia 56 2 2 2 2" xfId="30520" xr:uid="{00000000-0005-0000-0000-00004C850000}"/>
    <cellStyle name="Migliaia 56 2 2 3" xfId="20676" xr:uid="{00000000-0005-0000-0000-00004D850000}"/>
    <cellStyle name="Migliaia 56 2 2 3 2" xfId="37993" xr:uid="{00000000-0005-0000-0000-00004E850000}"/>
    <cellStyle name="Migliaia 56 2 2 4" xfId="23518" xr:uid="{00000000-0005-0000-0000-00004F850000}"/>
    <cellStyle name="Migliaia 56 2 2 5" xfId="38948" xr:uid="{00000000-0005-0000-0000-000050850000}"/>
    <cellStyle name="Migliaia 56 2 2 6" xfId="39434" xr:uid="{00000000-0005-0000-0000-000051850000}"/>
    <cellStyle name="Migliaia 56 2 3" xfId="11647" xr:uid="{00000000-0005-0000-0000-000052850000}"/>
    <cellStyle name="Migliaia 56 2 4" xfId="12228" xr:uid="{00000000-0005-0000-0000-000053850000}"/>
    <cellStyle name="Migliaia 56 2 4 2" xfId="30413" xr:uid="{00000000-0005-0000-0000-000054850000}"/>
    <cellStyle name="Migliaia 56 2 5" xfId="19631" xr:uid="{00000000-0005-0000-0000-000055850000}"/>
    <cellStyle name="Migliaia 56 2 5 2" xfId="37595" xr:uid="{00000000-0005-0000-0000-000056850000}"/>
    <cellStyle name="Migliaia 56 2 6" xfId="3408" xr:uid="{00000000-0005-0000-0000-000057850000}"/>
    <cellStyle name="Migliaia 56 2 6 2" xfId="23408" xr:uid="{00000000-0005-0000-0000-000058850000}"/>
    <cellStyle name="Migliaia 56 2 7" xfId="21709" xr:uid="{00000000-0005-0000-0000-000059850000}"/>
    <cellStyle name="Migliaia 56 2 8" xfId="38550" xr:uid="{00000000-0005-0000-0000-00005A850000}"/>
    <cellStyle name="Migliaia 56 2 9" xfId="39312" xr:uid="{00000000-0005-0000-0000-00005B850000}"/>
    <cellStyle name="Migliaia 56 3" xfId="780" xr:uid="{00000000-0005-0000-0000-00005C850000}"/>
    <cellStyle name="Migliaia 56 3 10" xfId="39863" xr:uid="{00000000-0005-0000-0000-00005D850000}"/>
    <cellStyle name="Migliaia 56 3 11" xfId="40349" xr:uid="{00000000-0005-0000-0000-00005E850000}"/>
    <cellStyle name="Migliaia 56 3 2" xfId="781" xr:uid="{00000000-0005-0000-0000-00005F850000}"/>
    <cellStyle name="Migliaia 56 3 2 10" xfId="40350" xr:uid="{00000000-0005-0000-0000-000060850000}"/>
    <cellStyle name="Migliaia 56 3 2 2" xfId="11649" xr:uid="{00000000-0005-0000-0000-000061850000}"/>
    <cellStyle name="Migliaia 56 3 2 3" xfId="12230" xr:uid="{00000000-0005-0000-0000-000062850000}"/>
    <cellStyle name="Migliaia 56 3 2 3 2" xfId="30415" xr:uid="{00000000-0005-0000-0000-000063850000}"/>
    <cellStyle name="Migliaia 56 3 2 4" xfId="19633" xr:uid="{00000000-0005-0000-0000-000064850000}"/>
    <cellStyle name="Migliaia 56 3 2 4 2" xfId="37597" xr:uid="{00000000-0005-0000-0000-000065850000}"/>
    <cellStyle name="Migliaia 56 3 2 5" xfId="3410" xr:uid="{00000000-0005-0000-0000-000066850000}"/>
    <cellStyle name="Migliaia 56 3 2 5 2" xfId="23410" xr:uid="{00000000-0005-0000-0000-000067850000}"/>
    <cellStyle name="Migliaia 56 3 2 6" xfId="21711" xr:uid="{00000000-0005-0000-0000-000068850000}"/>
    <cellStyle name="Migliaia 56 3 2 7" xfId="38552" xr:uid="{00000000-0005-0000-0000-000069850000}"/>
    <cellStyle name="Migliaia 56 3 2 8" xfId="39314" xr:uid="{00000000-0005-0000-0000-00006A850000}"/>
    <cellStyle name="Migliaia 56 3 2 9" xfId="39864" xr:uid="{00000000-0005-0000-0000-00006B850000}"/>
    <cellStyle name="Migliaia 56 3 3" xfId="11648" xr:uid="{00000000-0005-0000-0000-00006C850000}"/>
    <cellStyle name="Migliaia 56 3 3 2" xfId="20678" xr:uid="{00000000-0005-0000-0000-00006D850000}"/>
    <cellStyle name="Migliaia 56 3 3 2 2" xfId="37995" xr:uid="{00000000-0005-0000-0000-00006E850000}"/>
    <cellStyle name="Migliaia 56 3 3 2 3" xfId="38950" xr:uid="{00000000-0005-0000-0000-00006F850000}"/>
    <cellStyle name="Migliaia 56 3 3 3" xfId="19634" xr:uid="{00000000-0005-0000-0000-000070850000}"/>
    <cellStyle name="Migliaia 56 3 3 3 2" xfId="37598" xr:uid="{00000000-0005-0000-0000-000071850000}"/>
    <cellStyle name="Migliaia 56 3 3 4" xfId="38553" xr:uid="{00000000-0005-0000-0000-000072850000}"/>
    <cellStyle name="Migliaia 56 3 4" xfId="12229" xr:uid="{00000000-0005-0000-0000-000073850000}"/>
    <cellStyle name="Migliaia 56 3 4 2" xfId="20677" xr:uid="{00000000-0005-0000-0000-000074850000}"/>
    <cellStyle name="Migliaia 56 3 4 2 2" xfId="37994" xr:uid="{00000000-0005-0000-0000-000075850000}"/>
    <cellStyle name="Migliaia 56 3 4 3" xfId="30414" xr:uid="{00000000-0005-0000-0000-000076850000}"/>
    <cellStyle name="Migliaia 56 3 4 4" xfId="38949" xr:uid="{00000000-0005-0000-0000-000077850000}"/>
    <cellStyle name="Migliaia 56 3 5" xfId="19632" xr:uid="{00000000-0005-0000-0000-000078850000}"/>
    <cellStyle name="Migliaia 56 3 5 2" xfId="37596" xr:uid="{00000000-0005-0000-0000-000079850000}"/>
    <cellStyle name="Migliaia 56 3 6" xfId="3409" xr:uid="{00000000-0005-0000-0000-00007A850000}"/>
    <cellStyle name="Migliaia 56 3 6 2" xfId="23409" xr:uid="{00000000-0005-0000-0000-00007B850000}"/>
    <cellStyle name="Migliaia 56 3 7" xfId="21710" xr:uid="{00000000-0005-0000-0000-00007C850000}"/>
    <cellStyle name="Migliaia 56 3 8" xfId="38551" xr:uid="{00000000-0005-0000-0000-00007D850000}"/>
    <cellStyle name="Migliaia 56 3 9" xfId="39313" xr:uid="{00000000-0005-0000-0000-00007E850000}"/>
    <cellStyle name="Migliaia 56 4" xfId="782" xr:uid="{00000000-0005-0000-0000-00007F850000}"/>
    <cellStyle name="Migliaia 56 4 2" xfId="19636" xr:uid="{00000000-0005-0000-0000-000080850000}"/>
    <cellStyle name="Migliaia 56 4 2 2" xfId="20680" xr:uid="{00000000-0005-0000-0000-000081850000}"/>
    <cellStyle name="Migliaia 56 4 2 2 2" xfId="37997" xr:uid="{00000000-0005-0000-0000-000082850000}"/>
    <cellStyle name="Migliaia 56 4 2 2 3" xfId="38952" xr:uid="{00000000-0005-0000-0000-000083850000}"/>
    <cellStyle name="Migliaia 56 4 2 3" xfId="37600" xr:uid="{00000000-0005-0000-0000-000084850000}"/>
    <cellStyle name="Migliaia 56 4 2 4" xfId="38555" xr:uid="{00000000-0005-0000-0000-000085850000}"/>
    <cellStyle name="Migliaia 56 4 3" xfId="20679" xr:uid="{00000000-0005-0000-0000-000086850000}"/>
    <cellStyle name="Migliaia 56 4 3 2" xfId="37996" xr:uid="{00000000-0005-0000-0000-000087850000}"/>
    <cellStyle name="Migliaia 56 4 3 3" xfId="38951" xr:uid="{00000000-0005-0000-0000-000088850000}"/>
    <cellStyle name="Migliaia 56 4 4" xfId="19635" xr:uid="{00000000-0005-0000-0000-000089850000}"/>
    <cellStyle name="Migliaia 56 4 4 2" xfId="37599" xr:uid="{00000000-0005-0000-0000-00008A850000}"/>
    <cellStyle name="Migliaia 56 4 5" xfId="11650" xr:uid="{00000000-0005-0000-0000-00008B850000}"/>
    <cellStyle name="Migliaia 56 4 6" xfId="21712" xr:uid="{00000000-0005-0000-0000-00008C850000}"/>
    <cellStyle name="Migliaia 56 4 7" xfId="38554" xr:uid="{00000000-0005-0000-0000-00008D850000}"/>
    <cellStyle name="Migliaia 56 4 8" xfId="39865" xr:uid="{00000000-0005-0000-0000-00008E850000}"/>
    <cellStyle name="Migliaia 56 4 9" xfId="40351" xr:uid="{00000000-0005-0000-0000-00008F850000}"/>
    <cellStyle name="Migliaia 56 5" xfId="783" xr:uid="{00000000-0005-0000-0000-000090850000}"/>
    <cellStyle name="Migliaia 56 5 2" xfId="19637" xr:uid="{00000000-0005-0000-0000-000091850000}"/>
    <cellStyle name="Migliaia 56 5 2 2" xfId="37601" xr:uid="{00000000-0005-0000-0000-000092850000}"/>
    <cellStyle name="Migliaia 56 5 3" xfId="11651" xr:uid="{00000000-0005-0000-0000-000093850000}"/>
    <cellStyle name="Migliaia 56 5 4" xfId="21713" xr:uid="{00000000-0005-0000-0000-000094850000}"/>
    <cellStyle name="Migliaia 56 5 5" xfId="38556" xr:uid="{00000000-0005-0000-0000-000095850000}"/>
    <cellStyle name="Migliaia 56 5 6" xfId="39866" xr:uid="{00000000-0005-0000-0000-000096850000}"/>
    <cellStyle name="Migliaia 56 5 7" xfId="40352" xr:uid="{00000000-0005-0000-0000-000097850000}"/>
    <cellStyle name="Migliaia 56 6" xfId="784" xr:uid="{00000000-0005-0000-0000-000098850000}"/>
    <cellStyle name="Migliaia 56 6 2" xfId="11646" xr:uid="{00000000-0005-0000-0000-000099850000}"/>
    <cellStyle name="Migliaia 56 6 3" xfId="21714" xr:uid="{00000000-0005-0000-0000-00009A850000}"/>
    <cellStyle name="Migliaia 56 6 4" xfId="39867" xr:uid="{00000000-0005-0000-0000-00009B850000}"/>
    <cellStyle name="Migliaia 56 6 5" xfId="40353" xr:uid="{00000000-0005-0000-0000-00009C850000}"/>
    <cellStyle name="Migliaia 56 7" xfId="12227" xr:uid="{00000000-0005-0000-0000-00009D850000}"/>
    <cellStyle name="Migliaia 56 7 2" xfId="30412" xr:uid="{00000000-0005-0000-0000-00009E850000}"/>
    <cellStyle name="Migliaia 56 8" xfId="19630" xr:uid="{00000000-0005-0000-0000-00009F850000}"/>
    <cellStyle name="Migliaia 56 8 2" xfId="37594" xr:uid="{00000000-0005-0000-0000-0000A0850000}"/>
    <cellStyle name="Migliaia 56 9" xfId="3407" xr:uid="{00000000-0005-0000-0000-0000A1850000}"/>
    <cellStyle name="Migliaia 56 9 2" xfId="23407" xr:uid="{00000000-0005-0000-0000-0000A2850000}"/>
    <cellStyle name="Migliaia 57" xfId="785" xr:uid="{00000000-0005-0000-0000-0000A3850000}"/>
    <cellStyle name="Migliaia 57 10" xfId="21715" xr:uid="{00000000-0005-0000-0000-0000A4850000}"/>
    <cellStyle name="Migliaia 57 11" xfId="38557" xr:uid="{00000000-0005-0000-0000-0000A5850000}"/>
    <cellStyle name="Migliaia 57 12" xfId="39315" xr:uid="{00000000-0005-0000-0000-0000A6850000}"/>
    <cellStyle name="Migliaia 57 13" xfId="39868" xr:uid="{00000000-0005-0000-0000-0000A7850000}"/>
    <cellStyle name="Migliaia 57 14" xfId="40354" xr:uid="{00000000-0005-0000-0000-0000A8850000}"/>
    <cellStyle name="Migliaia 57 2" xfId="786" xr:uid="{00000000-0005-0000-0000-0000A9850000}"/>
    <cellStyle name="Migliaia 57 2 10" xfId="39869" xr:uid="{00000000-0005-0000-0000-0000AA850000}"/>
    <cellStyle name="Migliaia 57 2 11" xfId="40355" xr:uid="{00000000-0005-0000-0000-0000AB850000}"/>
    <cellStyle name="Migliaia 57 2 2" xfId="3590" xr:uid="{00000000-0005-0000-0000-0000AC850000}"/>
    <cellStyle name="Migliaia 57 2 2 2" xfId="12351" xr:uid="{00000000-0005-0000-0000-0000AD850000}"/>
    <cellStyle name="Migliaia 57 2 2 2 2" xfId="30521" xr:uid="{00000000-0005-0000-0000-0000AE850000}"/>
    <cellStyle name="Migliaia 57 2 2 3" xfId="20681" xr:uid="{00000000-0005-0000-0000-0000AF850000}"/>
    <cellStyle name="Migliaia 57 2 2 3 2" xfId="37998" xr:uid="{00000000-0005-0000-0000-0000B0850000}"/>
    <cellStyle name="Migliaia 57 2 2 4" xfId="23519" xr:uid="{00000000-0005-0000-0000-0000B1850000}"/>
    <cellStyle name="Migliaia 57 2 2 5" xfId="38953" xr:uid="{00000000-0005-0000-0000-0000B2850000}"/>
    <cellStyle name="Migliaia 57 2 2 6" xfId="39435" xr:uid="{00000000-0005-0000-0000-0000B3850000}"/>
    <cellStyle name="Migliaia 57 2 3" xfId="11653" xr:uid="{00000000-0005-0000-0000-0000B4850000}"/>
    <cellStyle name="Migliaia 57 2 4" xfId="12232" xr:uid="{00000000-0005-0000-0000-0000B5850000}"/>
    <cellStyle name="Migliaia 57 2 4 2" xfId="30417" xr:uid="{00000000-0005-0000-0000-0000B6850000}"/>
    <cellStyle name="Migliaia 57 2 5" xfId="19639" xr:uid="{00000000-0005-0000-0000-0000B7850000}"/>
    <cellStyle name="Migliaia 57 2 5 2" xfId="37603" xr:uid="{00000000-0005-0000-0000-0000B8850000}"/>
    <cellStyle name="Migliaia 57 2 6" xfId="3412" xr:uid="{00000000-0005-0000-0000-0000B9850000}"/>
    <cellStyle name="Migliaia 57 2 6 2" xfId="23412" xr:uid="{00000000-0005-0000-0000-0000BA850000}"/>
    <cellStyle name="Migliaia 57 2 7" xfId="21716" xr:uid="{00000000-0005-0000-0000-0000BB850000}"/>
    <cellStyle name="Migliaia 57 2 8" xfId="38558" xr:uid="{00000000-0005-0000-0000-0000BC850000}"/>
    <cellStyle name="Migliaia 57 2 9" xfId="39316" xr:uid="{00000000-0005-0000-0000-0000BD850000}"/>
    <cellStyle name="Migliaia 57 3" xfId="787" xr:uid="{00000000-0005-0000-0000-0000BE850000}"/>
    <cellStyle name="Migliaia 57 3 10" xfId="39870" xr:uid="{00000000-0005-0000-0000-0000BF850000}"/>
    <cellStyle name="Migliaia 57 3 11" xfId="40356" xr:uid="{00000000-0005-0000-0000-0000C0850000}"/>
    <cellStyle name="Migliaia 57 3 2" xfId="788" xr:uid="{00000000-0005-0000-0000-0000C1850000}"/>
    <cellStyle name="Migliaia 57 3 2 10" xfId="40357" xr:uid="{00000000-0005-0000-0000-0000C2850000}"/>
    <cellStyle name="Migliaia 57 3 2 2" xfId="11655" xr:uid="{00000000-0005-0000-0000-0000C3850000}"/>
    <cellStyle name="Migliaia 57 3 2 3" xfId="12234" xr:uid="{00000000-0005-0000-0000-0000C4850000}"/>
    <cellStyle name="Migliaia 57 3 2 3 2" xfId="30419" xr:uid="{00000000-0005-0000-0000-0000C5850000}"/>
    <cellStyle name="Migliaia 57 3 2 4" xfId="19641" xr:uid="{00000000-0005-0000-0000-0000C6850000}"/>
    <cellStyle name="Migliaia 57 3 2 4 2" xfId="37605" xr:uid="{00000000-0005-0000-0000-0000C7850000}"/>
    <cellStyle name="Migliaia 57 3 2 5" xfId="3414" xr:uid="{00000000-0005-0000-0000-0000C8850000}"/>
    <cellStyle name="Migliaia 57 3 2 5 2" xfId="23414" xr:uid="{00000000-0005-0000-0000-0000C9850000}"/>
    <cellStyle name="Migliaia 57 3 2 6" xfId="21718" xr:uid="{00000000-0005-0000-0000-0000CA850000}"/>
    <cellStyle name="Migliaia 57 3 2 7" xfId="38560" xr:uid="{00000000-0005-0000-0000-0000CB850000}"/>
    <cellStyle name="Migliaia 57 3 2 8" xfId="39318" xr:uid="{00000000-0005-0000-0000-0000CC850000}"/>
    <cellStyle name="Migliaia 57 3 2 9" xfId="39871" xr:uid="{00000000-0005-0000-0000-0000CD850000}"/>
    <cellStyle name="Migliaia 57 3 3" xfId="11654" xr:uid="{00000000-0005-0000-0000-0000CE850000}"/>
    <cellStyle name="Migliaia 57 3 3 2" xfId="20683" xr:uid="{00000000-0005-0000-0000-0000CF850000}"/>
    <cellStyle name="Migliaia 57 3 3 2 2" xfId="38000" xr:uid="{00000000-0005-0000-0000-0000D0850000}"/>
    <cellStyle name="Migliaia 57 3 3 2 3" xfId="38955" xr:uid="{00000000-0005-0000-0000-0000D1850000}"/>
    <cellStyle name="Migliaia 57 3 3 3" xfId="19642" xr:uid="{00000000-0005-0000-0000-0000D2850000}"/>
    <cellStyle name="Migliaia 57 3 3 3 2" xfId="37606" xr:uid="{00000000-0005-0000-0000-0000D3850000}"/>
    <cellStyle name="Migliaia 57 3 3 4" xfId="38561" xr:uid="{00000000-0005-0000-0000-0000D4850000}"/>
    <cellStyle name="Migliaia 57 3 4" xfId="12233" xr:uid="{00000000-0005-0000-0000-0000D5850000}"/>
    <cellStyle name="Migliaia 57 3 4 2" xfId="20682" xr:uid="{00000000-0005-0000-0000-0000D6850000}"/>
    <cellStyle name="Migliaia 57 3 4 2 2" xfId="37999" xr:uid="{00000000-0005-0000-0000-0000D7850000}"/>
    <cellStyle name="Migliaia 57 3 4 3" xfId="30418" xr:uid="{00000000-0005-0000-0000-0000D8850000}"/>
    <cellStyle name="Migliaia 57 3 4 4" xfId="38954" xr:uid="{00000000-0005-0000-0000-0000D9850000}"/>
    <cellStyle name="Migliaia 57 3 5" xfId="19640" xr:uid="{00000000-0005-0000-0000-0000DA850000}"/>
    <cellStyle name="Migliaia 57 3 5 2" xfId="37604" xr:uid="{00000000-0005-0000-0000-0000DB850000}"/>
    <cellStyle name="Migliaia 57 3 6" xfId="3413" xr:uid="{00000000-0005-0000-0000-0000DC850000}"/>
    <cellStyle name="Migliaia 57 3 6 2" xfId="23413" xr:uid="{00000000-0005-0000-0000-0000DD850000}"/>
    <cellStyle name="Migliaia 57 3 7" xfId="21717" xr:uid="{00000000-0005-0000-0000-0000DE850000}"/>
    <cellStyle name="Migliaia 57 3 8" xfId="38559" xr:uid="{00000000-0005-0000-0000-0000DF850000}"/>
    <cellStyle name="Migliaia 57 3 9" xfId="39317" xr:uid="{00000000-0005-0000-0000-0000E0850000}"/>
    <cellStyle name="Migliaia 57 4" xfId="789" xr:uid="{00000000-0005-0000-0000-0000E1850000}"/>
    <cellStyle name="Migliaia 57 4 2" xfId="19644" xr:uid="{00000000-0005-0000-0000-0000E2850000}"/>
    <cellStyle name="Migliaia 57 4 2 2" xfId="20685" xr:uid="{00000000-0005-0000-0000-0000E3850000}"/>
    <cellStyle name="Migliaia 57 4 2 2 2" xfId="38002" xr:uid="{00000000-0005-0000-0000-0000E4850000}"/>
    <cellStyle name="Migliaia 57 4 2 2 3" xfId="38957" xr:uid="{00000000-0005-0000-0000-0000E5850000}"/>
    <cellStyle name="Migliaia 57 4 2 3" xfId="37608" xr:uid="{00000000-0005-0000-0000-0000E6850000}"/>
    <cellStyle name="Migliaia 57 4 2 4" xfId="38563" xr:uid="{00000000-0005-0000-0000-0000E7850000}"/>
    <cellStyle name="Migliaia 57 4 3" xfId="20684" xr:uid="{00000000-0005-0000-0000-0000E8850000}"/>
    <cellStyle name="Migliaia 57 4 3 2" xfId="38001" xr:uid="{00000000-0005-0000-0000-0000E9850000}"/>
    <cellStyle name="Migliaia 57 4 3 3" xfId="38956" xr:uid="{00000000-0005-0000-0000-0000EA850000}"/>
    <cellStyle name="Migliaia 57 4 4" xfId="19643" xr:uid="{00000000-0005-0000-0000-0000EB850000}"/>
    <cellStyle name="Migliaia 57 4 4 2" xfId="37607" xr:uid="{00000000-0005-0000-0000-0000EC850000}"/>
    <cellStyle name="Migliaia 57 4 5" xfId="11656" xr:uid="{00000000-0005-0000-0000-0000ED850000}"/>
    <cellStyle name="Migliaia 57 4 6" xfId="21719" xr:uid="{00000000-0005-0000-0000-0000EE850000}"/>
    <cellStyle name="Migliaia 57 4 7" xfId="38562" xr:uid="{00000000-0005-0000-0000-0000EF850000}"/>
    <cellStyle name="Migliaia 57 4 8" xfId="39872" xr:uid="{00000000-0005-0000-0000-0000F0850000}"/>
    <cellStyle name="Migliaia 57 4 9" xfId="40358" xr:uid="{00000000-0005-0000-0000-0000F1850000}"/>
    <cellStyle name="Migliaia 57 5" xfId="790" xr:uid="{00000000-0005-0000-0000-0000F2850000}"/>
    <cellStyle name="Migliaia 57 5 2" xfId="19645" xr:uid="{00000000-0005-0000-0000-0000F3850000}"/>
    <cellStyle name="Migliaia 57 5 2 2" xfId="37609" xr:uid="{00000000-0005-0000-0000-0000F4850000}"/>
    <cellStyle name="Migliaia 57 5 3" xfId="11657" xr:uid="{00000000-0005-0000-0000-0000F5850000}"/>
    <cellStyle name="Migliaia 57 5 4" xfId="21720" xr:uid="{00000000-0005-0000-0000-0000F6850000}"/>
    <cellStyle name="Migliaia 57 5 5" xfId="38564" xr:uid="{00000000-0005-0000-0000-0000F7850000}"/>
    <cellStyle name="Migliaia 57 5 6" xfId="39873" xr:uid="{00000000-0005-0000-0000-0000F8850000}"/>
    <cellStyle name="Migliaia 57 5 7" xfId="40359" xr:uid="{00000000-0005-0000-0000-0000F9850000}"/>
    <cellStyle name="Migliaia 57 6" xfId="791" xr:uid="{00000000-0005-0000-0000-0000FA850000}"/>
    <cellStyle name="Migliaia 57 6 2" xfId="11652" xr:uid="{00000000-0005-0000-0000-0000FB850000}"/>
    <cellStyle name="Migliaia 57 6 3" xfId="21721" xr:uid="{00000000-0005-0000-0000-0000FC850000}"/>
    <cellStyle name="Migliaia 57 6 4" xfId="39874" xr:uid="{00000000-0005-0000-0000-0000FD850000}"/>
    <cellStyle name="Migliaia 57 6 5" xfId="40360" xr:uid="{00000000-0005-0000-0000-0000FE850000}"/>
    <cellStyle name="Migliaia 57 7" xfId="12231" xr:uid="{00000000-0005-0000-0000-0000FF850000}"/>
    <cellStyle name="Migliaia 57 7 2" xfId="30416" xr:uid="{00000000-0005-0000-0000-000000860000}"/>
    <cellStyle name="Migliaia 57 8" xfId="19638" xr:uid="{00000000-0005-0000-0000-000001860000}"/>
    <cellStyle name="Migliaia 57 8 2" xfId="37602" xr:uid="{00000000-0005-0000-0000-000002860000}"/>
    <cellStyle name="Migliaia 57 9" xfId="3411" xr:uid="{00000000-0005-0000-0000-000003860000}"/>
    <cellStyle name="Migliaia 57 9 2" xfId="23411" xr:uid="{00000000-0005-0000-0000-000004860000}"/>
    <cellStyle name="Migliaia 58" xfId="792" xr:uid="{00000000-0005-0000-0000-000005860000}"/>
    <cellStyle name="Migliaia 58 10" xfId="21722" xr:uid="{00000000-0005-0000-0000-000006860000}"/>
    <cellStyle name="Migliaia 58 11" xfId="38565" xr:uid="{00000000-0005-0000-0000-000007860000}"/>
    <cellStyle name="Migliaia 58 12" xfId="39319" xr:uid="{00000000-0005-0000-0000-000008860000}"/>
    <cellStyle name="Migliaia 58 13" xfId="39875" xr:uid="{00000000-0005-0000-0000-000009860000}"/>
    <cellStyle name="Migliaia 58 14" xfId="40361" xr:uid="{00000000-0005-0000-0000-00000A860000}"/>
    <cellStyle name="Migliaia 58 2" xfId="793" xr:uid="{00000000-0005-0000-0000-00000B860000}"/>
    <cellStyle name="Migliaia 58 2 10" xfId="39876" xr:uid="{00000000-0005-0000-0000-00000C860000}"/>
    <cellStyle name="Migliaia 58 2 11" xfId="40362" xr:uid="{00000000-0005-0000-0000-00000D860000}"/>
    <cellStyle name="Migliaia 58 2 2" xfId="3591" xr:uid="{00000000-0005-0000-0000-00000E860000}"/>
    <cellStyle name="Migliaia 58 2 2 2" xfId="12352" xr:uid="{00000000-0005-0000-0000-00000F860000}"/>
    <cellStyle name="Migliaia 58 2 2 2 2" xfId="30522" xr:uid="{00000000-0005-0000-0000-000010860000}"/>
    <cellStyle name="Migliaia 58 2 2 3" xfId="20686" xr:uid="{00000000-0005-0000-0000-000011860000}"/>
    <cellStyle name="Migliaia 58 2 2 3 2" xfId="38003" xr:uid="{00000000-0005-0000-0000-000012860000}"/>
    <cellStyle name="Migliaia 58 2 2 4" xfId="23520" xr:uid="{00000000-0005-0000-0000-000013860000}"/>
    <cellStyle name="Migliaia 58 2 2 5" xfId="38958" xr:uid="{00000000-0005-0000-0000-000014860000}"/>
    <cellStyle name="Migliaia 58 2 2 6" xfId="39436" xr:uid="{00000000-0005-0000-0000-000015860000}"/>
    <cellStyle name="Migliaia 58 2 3" xfId="11659" xr:uid="{00000000-0005-0000-0000-000016860000}"/>
    <cellStyle name="Migliaia 58 2 4" xfId="12236" xr:uid="{00000000-0005-0000-0000-000017860000}"/>
    <cellStyle name="Migliaia 58 2 4 2" xfId="30421" xr:uid="{00000000-0005-0000-0000-000018860000}"/>
    <cellStyle name="Migliaia 58 2 5" xfId="19647" xr:uid="{00000000-0005-0000-0000-000019860000}"/>
    <cellStyle name="Migliaia 58 2 5 2" xfId="37611" xr:uid="{00000000-0005-0000-0000-00001A860000}"/>
    <cellStyle name="Migliaia 58 2 6" xfId="3416" xr:uid="{00000000-0005-0000-0000-00001B860000}"/>
    <cellStyle name="Migliaia 58 2 6 2" xfId="23416" xr:uid="{00000000-0005-0000-0000-00001C860000}"/>
    <cellStyle name="Migliaia 58 2 7" xfId="21723" xr:uid="{00000000-0005-0000-0000-00001D860000}"/>
    <cellStyle name="Migliaia 58 2 8" xfId="38566" xr:uid="{00000000-0005-0000-0000-00001E860000}"/>
    <cellStyle name="Migliaia 58 2 9" xfId="39320" xr:uid="{00000000-0005-0000-0000-00001F860000}"/>
    <cellStyle name="Migliaia 58 3" xfId="794" xr:uid="{00000000-0005-0000-0000-000020860000}"/>
    <cellStyle name="Migliaia 58 3 10" xfId="39877" xr:uid="{00000000-0005-0000-0000-000021860000}"/>
    <cellStyle name="Migliaia 58 3 11" xfId="40363" xr:uid="{00000000-0005-0000-0000-000022860000}"/>
    <cellStyle name="Migliaia 58 3 2" xfId="795" xr:uid="{00000000-0005-0000-0000-000023860000}"/>
    <cellStyle name="Migliaia 58 3 2 10" xfId="40364" xr:uid="{00000000-0005-0000-0000-000024860000}"/>
    <cellStyle name="Migliaia 58 3 2 2" xfId="11661" xr:uid="{00000000-0005-0000-0000-000025860000}"/>
    <cellStyle name="Migliaia 58 3 2 3" xfId="12238" xr:uid="{00000000-0005-0000-0000-000026860000}"/>
    <cellStyle name="Migliaia 58 3 2 3 2" xfId="30423" xr:uid="{00000000-0005-0000-0000-000027860000}"/>
    <cellStyle name="Migliaia 58 3 2 4" xfId="19649" xr:uid="{00000000-0005-0000-0000-000028860000}"/>
    <cellStyle name="Migliaia 58 3 2 4 2" xfId="37613" xr:uid="{00000000-0005-0000-0000-000029860000}"/>
    <cellStyle name="Migliaia 58 3 2 5" xfId="3418" xr:uid="{00000000-0005-0000-0000-00002A860000}"/>
    <cellStyle name="Migliaia 58 3 2 5 2" xfId="23418" xr:uid="{00000000-0005-0000-0000-00002B860000}"/>
    <cellStyle name="Migliaia 58 3 2 6" xfId="21725" xr:uid="{00000000-0005-0000-0000-00002C860000}"/>
    <cellStyle name="Migliaia 58 3 2 7" xfId="38568" xr:uid="{00000000-0005-0000-0000-00002D860000}"/>
    <cellStyle name="Migliaia 58 3 2 8" xfId="39322" xr:uid="{00000000-0005-0000-0000-00002E860000}"/>
    <cellStyle name="Migliaia 58 3 2 9" xfId="39878" xr:uid="{00000000-0005-0000-0000-00002F860000}"/>
    <cellStyle name="Migliaia 58 3 3" xfId="11660" xr:uid="{00000000-0005-0000-0000-000030860000}"/>
    <cellStyle name="Migliaia 58 3 3 2" xfId="20688" xr:uid="{00000000-0005-0000-0000-000031860000}"/>
    <cellStyle name="Migliaia 58 3 3 2 2" xfId="38005" xr:uid="{00000000-0005-0000-0000-000032860000}"/>
    <cellStyle name="Migliaia 58 3 3 2 3" xfId="38960" xr:uid="{00000000-0005-0000-0000-000033860000}"/>
    <cellStyle name="Migliaia 58 3 3 3" xfId="19650" xr:uid="{00000000-0005-0000-0000-000034860000}"/>
    <cellStyle name="Migliaia 58 3 3 3 2" xfId="37614" xr:uid="{00000000-0005-0000-0000-000035860000}"/>
    <cellStyle name="Migliaia 58 3 3 4" xfId="38569" xr:uid="{00000000-0005-0000-0000-000036860000}"/>
    <cellStyle name="Migliaia 58 3 4" xfId="12237" xr:uid="{00000000-0005-0000-0000-000037860000}"/>
    <cellStyle name="Migliaia 58 3 4 2" xfId="20687" xr:uid="{00000000-0005-0000-0000-000038860000}"/>
    <cellStyle name="Migliaia 58 3 4 2 2" xfId="38004" xr:uid="{00000000-0005-0000-0000-000039860000}"/>
    <cellStyle name="Migliaia 58 3 4 3" xfId="30422" xr:uid="{00000000-0005-0000-0000-00003A860000}"/>
    <cellStyle name="Migliaia 58 3 4 4" xfId="38959" xr:uid="{00000000-0005-0000-0000-00003B860000}"/>
    <cellStyle name="Migliaia 58 3 5" xfId="19648" xr:uid="{00000000-0005-0000-0000-00003C860000}"/>
    <cellStyle name="Migliaia 58 3 5 2" xfId="37612" xr:uid="{00000000-0005-0000-0000-00003D860000}"/>
    <cellStyle name="Migliaia 58 3 6" xfId="3417" xr:uid="{00000000-0005-0000-0000-00003E860000}"/>
    <cellStyle name="Migliaia 58 3 6 2" xfId="23417" xr:uid="{00000000-0005-0000-0000-00003F860000}"/>
    <cellStyle name="Migliaia 58 3 7" xfId="21724" xr:uid="{00000000-0005-0000-0000-000040860000}"/>
    <cellStyle name="Migliaia 58 3 8" xfId="38567" xr:uid="{00000000-0005-0000-0000-000041860000}"/>
    <cellStyle name="Migliaia 58 3 9" xfId="39321" xr:uid="{00000000-0005-0000-0000-000042860000}"/>
    <cellStyle name="Migliaia 58 4" xfId="796" xr:uid="{00000000-0005-0000-0000-000043860000}"/>
    <cellStyle name="Migliaia 58 4 2" xfId="19652" xr:uid="{00000000-0005-0000-0000-000044860000}"/>
    <cellStyle name="Migliaia 58 4 2 2" xfId="20690" xr:uid="{00000000-0005-0000-0000-000045860000}"/>
    <cellStyle name="Migliaia 58 4 2 2 2" xfId="38007" xr:uid="{00000000-0005-0000-0000-000046860000}"/>
    <cellStyle name="Migliaia 58 4 2 2 3" xfId="38962" xr:uid="{00000000-0005-0000-0000-000047860000}"/>
    <cellStyle name="Migliaia 58 4 2 3" xfId="37616" xr:uid="{00000000-0005-0000-0000-000048860000}"/>
    <cellStyle name="Migliaia 58 4 2 4" xfId="38571" xr:uid="{00000000-0005-0000-0000-000049860000}"/>
    <cellStyle name="Migliaia 58 4 3" xfId="20689" xr:uid="{00000000-0005-0000-0000-00004A860000}"/>
    <cellStyle name="Migliaia 58 4 3 2" xfId="38006" xr:uid="{00000000-0005-0000-0000-00004B860000}"/>
    <cellStyle name="Migliaia 58 4 3 3" xfId="38961" xr:uid="{00000000-0005-0000-0000-00004C860000}"/>
    <cellStyle name="Migliaia 58 4 4" xfId="19651" xr:uid="{00000000-0005-0000-0000-00004D860000}"/>
    <cellStyle name="Migliaia 58 4 4 2" xfId="37615" xr:uid="{00000000-0005-0000-0000-00004E860000}"/>
    <cellStyle name="Migliaia 58 4 5" xfId="11662" xr:uid="{00000000-0005-0000-0000-00004F860000}"/>
    <cellStyle name="Migliaia 58 4 6" xfId="21726" xr:uid="{00000000-0005-0000-0000-000050860000}"/>
    <cellStyle name="Migliaia 58 4 7" xfId="38570" xr:uid="{00000000-0005-0000-0000-000051860000}"/>
    <cellStyle name="Migliaia 58 4 8" xfId="39879" xr:uid="{00000000-0005-0000-0000-000052860000}"/>
    <cellStyle name="Migliaia 58 4 9" xfId="40365" xr:uid="{00000000-0005-0000-0000-000053860000}"/>
    <cellStyle name="Migliaia 58 5" xfId="797" xr:uid="{00000000-0005-0000-0000-000054860000}"/>
    <cellStyle name="Migliaia 58 5 2" xfId="19653" xr:uid="{00000000-0005-0000-0000-000055860000}"/>
    <cellStyle name="Migliaia 58 5 2 2" xfId="37617" xr:uid="{00000000-0005-0000-0000-000056860000}"/>
    <cellStyle name="Migliaia 58 5 3" xfId="11663" xr:uid="{00000000-0005-0000-0000-000057860000}"/>
    <cellStyle name="Migliaia 58 5 4" xfId="21727" xr:uid="{00000000-0005-0000-0000-000058860000}"/>
    <cellStyle name="Migliaia 58 5 5" xfId="38572" xr:uid="{00000000-0005-0000-0000-000059860000}"/>
    <cellStyle name="Migliaia 58 5 6" xfId="39880" xr:uid="{00000000-0005-0000-0000-00005A860000}"/>
    <cellStyle name="Migliaia 58 5 7" xfId="40366" xr:uid="{00000000-0005-0000-0000-00005B860000}"/>
    <cellStyle name="Migliaia 58 6" xfId="798" xr:uid="{00000000-0005-0000-0000-00005C860000}"/>
    <cellStyle name="Migliaia 58 6 2" xfId="11658" xr:uid="{00000000-0005-0000-0000-00005D860000}"/>
    <cellStyle name="Migliaia 58 6 3" xfId="21728" xr:uid="{00000000-0005-0000-0000-00005E860000}"/>
    <cellStyle name="Migliaia 58 6 4" xfId="39881" xr:uid="{00000000-0005-0000-0000-00005F860000}"/>
    <cellStyle name="Migliaia 58 6 5" xfId="40367" xr:uid="{00000000-0005-0000-0000-000060860000}"/>
    <cellStyle name="Migliaia 58 7" xfId="12235" xr:uid="{00000000-0005-0000-0000-000061860000}"/>
    <cellStyle name="Migliaia 58 7 2" xfId="30420" xr:uid="{00000000-0005-0000-0000-000062860000}"/>
    <cellStyle name="Migliaia 58 8" xfId="19646" xr:uid="{00000000-0005-0000-0000-000063860000}"/>
    <cellStyle name="Migliaia 58 8 2" xfId="37610" xr:uid="{00000000-0005-0000-0000-000064860000}"/>
    <cellStyle name="Migliaia 58 9" xfId="3415" xr:uid="{00000000-0005-0000-0000-000065860000}"/>
    <cellStyle name="Migliaia 58 9 2" xfId="23415" xr:uid="{00000000-0005-0000-0000-000066860000}"/>
    <cellStyle name="Migliaia 59" xfId="799" xr:uid="{00000000-0005-0000-0000-000067860000}"/>
    <cellStyle name="Migliaia 59 10" xfId="21729" xr:uid="{00000000-0005-0000-0000-000068860000}"/>
    <cellStyle name="Migliaia 59 11" xfId="38573" xr:uid="{00000000-0005-0000-0000-000069860000}"/>
    <cellStyle name="Migliaia 59 12" xfId="39323" xr:uid="{00000000-0005-0000-0000-00006A860000}"/>
    <cellStyle name="Migliaia 59 13" xfId="39882" xr:uid="{00000000-0005-0000-0000-00006B860000}"/>
    <cellStyle name="Migliaia 59 14" xfId="40368" xr:uid="{00000000-0005-0000-0000-00006C860000}"/>
    <cellStyle name="Migliaia 59 2" xfId="800" xr:uid="{00000000-0005-0000-0000-00006D860000}"/>
    <cellStyle name="Migliaia 59 2 10" xfId="39883" xr:uid="{00000000-0005-0000-0000-00006E860000}"/>
    <cellStyle name="Migliaia 59 2 11" xfId="40369" xr:uid="{00000000-0005-0000-0000-00006F860000}"/>
    <cellStyle name="Migliaia 59 2 2" xfId="3592" xr:uid="{00000000-0005-0000-0000-000070860000}"/>
    <cellStyle name="Migliaia 59 2 2 2" xfId="12353" xr:uid="{00000000-0005-0000-0000-000071860000}"/>
    <cellStyle name="Migliaia 59 2 2 2 2" xfId="30523" xr:uid="{00000000-0005-0000-0000-000072860000}"/>
    <cellStyle name="Migliaia 59 2 2 3" xfId="20691" xr:uid="{00000000-0005-0000-0000-000073860000}"/>
    <cellStyle name="Migliaia 59 2 2 3 2" xfId="38008" xr:uid="{00000000-0005-0000-0000-000074860000}"/>
    <cellStyle name="Migliaia 59 2 2 4" xfId="23521" xr:uid="{00000000-0005-0000-0000-000075860000}"/>
    <cellStyle name="Migliaia 59 2 2 5" xfId="38963" xr:uid="{00000000-0005-0000-0000-000076860000}"/>
    <cellStyle name="Migliaia 59 2 2 6" xfId="39437" xr:uid="{00000000-0005-0000-0000-000077860000}"/>
    <cellStyle name="Migliaia 59 2 3" xfId="11665" xr:uid="{00000000-0005-0000-0000-000078860000}"/>
    <cellStyle name="Migliaia 59 2 4" xfId="12240" xr:uid="{00000000-0005-0000-0000-000079860000}"/>
    <cellStyle name="Migliaia 59 2 4 2" xfId="30425" xr:uid="{00000000-0005-0000-0000-00007A860000}"/>
    <cellStyle name="Migliaia 59 2 5" xfId="19655" xr:uid="{00000000-0005-0000-0000-00007B860000}"/>
    <cellStyle name="Migliaia 59 2 5 2" xfId="37619" xr:uid="{00000000-0005-0000-0000-00007C860000}"/>
    <cellStyle name="Migliaia 59 2 6" xfId="3420" xr:uid="{00000000-0005-0000-0000-00007D860000}"/>
    <cellStyle name="Migliaia 59 2 6 2" xfId="23420" xr:uid="{00000000-0005-0000-0000-00007E860000}"/>
    <cellStyle name="Migliaia 59 2 7" xfId="21730" xr:uid="{00000000-0005-0000-0000-00007F860000}"/>
    <cellStyle name="Migliaia 59 2 8" xfId="38574" xr:uid="{00000000-0005-0000-0000-000080860000}"/>
    <cellStyle name="Migliaia 59 2 9" xfId="39324" xr:uid="{00000000-0005-0000-0000-000081860000}"/>
    <cellStyle name="Migliaia 59 3" xfId="801" xr:uid="{00000000-0005-0000-0000-000082860000}"/>
    <cellStyle name="Migliaia 59 3 10" xfId="39884" xr:uid="{00000000-0005-0000-0000-000083860000}"/>
    <cellStyle name="Migliaia 59 3 11" xfId="40370" xr:uid="{00000000-0005-0000-0000-000084860000}"/>
    <cellStyle name="Migliaia 59 3 2" xfId="802" xr:uid="{00000000-0005-0000-0000-000085860000}"/>
    <cellStyle name="Migliaia 59 3 2 10" xfId="40371" xr:uid="{00000000-0005-0000-0000-000086860000}"/>
    <cellStyle name="Migliaia 59 3 2 2" xfId="11667" xr:uid="{00000000-0005-0000-0000-000087860000}"/>
    <cellStyle name="Migliaia 59 3 2 3" xfId="12242" xr:uid="{00000000-0005-0000-0000-000088860000}"/>
    <cellStyle name="Migliaia 59 3 2 3 2" xfId="30427" xr:uid="{00000000-0005-0000-0000-000089860000}"/>
    <cellStyle name="Migliaia 59 3 2 4" xfId="19657" xr:uid="{00000000-0005-0000-0000-00008A860000}"/>
    <cellStyle name="Migliaia 59 3 2 4 2" xfId="37621" xr:uid="{00000000-0005-0000-0000-00008B860000}"/>
    <cellStyle name="Migliaia 59 3 2 5" xfId="3422" xr:uid="{00000000-0005-0000-0000-00008C860000}"/>
    <cellStyle name="Migliaia 59 3 2 5 2" xfId="23422" xr:uid="{00000000-0005-0000-0000-00008D860000}"/>
    <cellStyle name="Migliaia 59 3 2 6" xfId="21732" xr:uid="{00000000-0005-0000-0000-00008E860000}"/>
    <cellStyle name="Migliaia 59 3 2 7" xfId="38576" xr:uid="{00000000-0005-0000-0000-00008F860000}"/>
    <cellStyle name="Migliaia 59 3 2 8" xfId="39326" xr:uid="{00000000-0005-0000-0000-000090860000}"/>
    <cellStyle name="Migliaia 59 3 2 9" xfId="39885" xr:uid="{00000000-0005-0000-0000-000091860000}"/>
    <cellStyle name="Migliaia 59 3 3" xfId="11666" xr:uid="{00000000-0005-0000-0000-000092860000}"/>
    <cellStyle name="Migliaia 59 3 3 2" xfId="20693" xr:uid="{00000000-0005-0000-0000-000093860000}"/>
    <cellStyle name="Migliaia 59 3 3 2 2" xfId="38010" xr:uid="{00000000-0005-0000-0000-000094860000}"/>
    <cellStyle name="Migliaia 59 3 3 2 3" xfId="38965" xr:uid="{00000000-0005-0000-0000-000095860000}"/>
    <cellStyle name="Migliaia 59 3 3 3" xfId="19658" xr:uid="{00000000-0005-0000-0000-000096860000}"/>
    <cellStyle name="Migliaia 59 3 3 3 2" xfId="37622" xr:uid="{00000000-0005-0000-0000-000097860000}"/>
    <cellStyle name="Migliaia 59 3 3 4" xfId="38577" xr:uid="{00000000-0005-0000-0000-000098860000}"/>
    <cellStyle name="Migliaia 59 3 4" xfId="12241" xr:uid="{00000000-0005-0000-0000-000099860000}"/>
    <cellStyle name="Migliaia 59 3 4 2" xfId="20692" xr:uid="{00000000-0005-0000-0000-00009A860000}"/>
    <cellStyle name="Migliaia 59 3 4 2 2" xfId="38009" xr:uid="{00000000-0005-0000-0000-00009B860000}"/>
    <cellStyle name="Migliaia 59 3 4 3" xfId="30426" xr:uid="{00000000-0005-0000-0000-00009C860000}"/>
    <cellStyle name="Migliaia 59 3 4 4" xfId="38964" xr:uid="{00000000-0005-0000-0000-00009D860000}"/>
    <cellStyle name="Migliaia 59 3 5" xfId="19656" xr:uid="{00000000-0005-0000-0000-00009E860000}"/>
    <cellStyle name="Migliaia 59 3 5 2" xfId="37620" xr:uid="{00000000-0005-0000-0000-00009F860000}"/>
    <cellStyle name="Migliaia 59 3 6" xfId="3421" xr:uid="{00000000-0005-0000-0000-0000A0860000}"/>
    <cellStyle name="Migliaia 59 3 6 2" xfId="23421" xr:uid="{00000000-0005-0000-0000-0000A1860000}"/>
    <cellStyle name="Migliaia 59 3 7" xfId="21731" xr:uid="{00000000-0005-0000-0000-0000A2860000}"/>
    <cellStyle name="Migliaia 59 3 8" xfId="38575" xr:uid="{00000000-0005-0000-0000-0000A3860000}"/>
    <cellStyle name="Migliaia 59 3 9" xfId="39325" xr:uid="{00000000-0005-0000-0000-0000A4860000}"/>
    <cellStyle name="Migliaia 59 4" xfId="803" xr:uid="{00000000-0005-0000-0000-0000A5860000}"/>
    <cellStyle name="Migliaia 59 4 2" xfId="19660" xr:uid="{00000000-0005-0000-0000-0000A6860000}"/>
    <cellStyle name="Migliaia 59 4 2 2" xfId="20695" xr:uid="{00000000-0005-0000-0000-0000A7860000}"/>
    <cellStyle name="Migliaia 59 4 2 2 2" xfId="38012" xr:uid="{00000000-0005-0000-0000-0000A8860000}"/>
    <cellStyle name="Migliaia 59 4 2 2 3" xfId="38967" xr:uid="{00000000-0005-0000-0000-0000A9860000}"/>
    <cellStyle name="Migliaia 59 4 2 3" xfId="37624" xr:uid="{00000000-0005-0000-0000-0000AA860000}"/>
    <cellStyle name="Migliaia 59 4 2 4" xfId="38579" xr:uid="{00000000-0005-0000-0000-0000AB860000}"/>
    <cellStyle name="Migliaia 59 4 3" xfId="20694" xr:uid="{00000000-0005-0000-0000-0000AC860000}"/>
    <cellStyle name="Migliaia 59 4 3 2" xfId="38011" xr:uid="{00000000-0005-0000-0000-0000AD860000}"/>
    <cellStyle name="Migliaia 59 4 3 3" xfId="38966" xr:uid="{00000000-0005-0000-0000-0000AE860000}"/>
    <cellStyle name="Migliaia 59 4 4" xfId="19659" xr:uid="{00000000-0005-0000-0000-0000AF860000}"/>
    <cellStyle name="Migliaia 59 4 4 2" xfId="37623" xr:uid="{00000000-0005-0000-0000-0000B0860000}"/>
    <cellStyle name="Migliaia 59 4 5" xfId="11668" xr:uid="{00000000-0005-0000-0000-0000B1860000}"/>
    <cellStyle name="Migliaia 59 4 6" xfId="21733" xr:uid="{00000000-0005-0000-0000-0000B2860000}"/>
    <cellStyle name="Migliaia 59 4 7" xfId="38578" xr:uid="{00000000-0005-0000-0000-0000B3860000}"/>
    <cellStyle name="Migliaia 59 4 8" xfId="39886" xr:uid="{00000000-0005-0000-0000-0000B4860000}"/>
    <cellStyle name="Migliaia 59 4 9" xfId="40372" xr:uid="{00000000-0005-0000-0000-0000B5860000}"/>
    <cellStyle name="Migliaia 59 5" xfId="804" xr:uid="{00000000-0005-0000-0000-0000B6860000}"/>
    <cellStyle name="Migliaia 59 5 2" xfId="19661" xr:uid="{00000000-0005-0000-0000-0000B7860000}"/>
    <cellStyle name="Migliaia 59 5 2 2" xfId="37625" xr:uid="{00000000-0005-0000-0000-0000B8860000}"/>
    <cellStyle name="Migliaia 59 5 3" xfId="11669" xr:uid="{00000000-0005-0000-0000-0000B9860000}"/>
    <cellStyle name="Migliaia 59 5 4" xfId="21734" xr:uid="{00000000-0005-0000-0000-0000BA860000}"/>
    <cellStyle name="Migliaia 59 5 5" xfId="38580" xr:uid="{00000000-0005-0000-0000-0000BB860000}"/>
    <cellStyle name="Migliaia 59 5 6" xfId="39887" xr:uid="{00000000-0005-0000-0000-0000BC860000}"/>
    <cellStyle name="Migliaia 59 5 7" xfId="40373" xr:uid="{00000000-0005-0000-0000-0000BD860000}"/>
    <cellStyle name="Migliaia 59 6" xfId="805" xr:uid="{00000000-0005-0000-0000-0000BE860000}"/>
    <cellStyle name="Migliaia 59 6 2" xfId="11664" xr:uid="{00000000-0005-0000-0000-0000BF860000}"/>
    <cellStyle name="Migliaia 59 6 3" xfId="21735" xr:uid="{00000000-0005-0000-0000-0000C0860000}"/>
    <cellStyle name="Migliaia 59 6 4" xfId="39888" xr:uid="{00000000-0005-0000-0000-0000C1860000}"/>
    <cellStyle name="Migliaia 59 6 5" xfId="40374" xr:uid="{00000000-0005-0000-0000-0000C2860000}"/>
    <cellStyle name="Migliaia 59 7" xfId="12239" xr:uid="{00000000-0005-0000-0000-0000C3860000}"/>
    <cellStyle name="Migliaia 59 7 2" xfId="30424" xr:uid="{00000000-0005-0000-0000-0000C4860000}"/>
    <cellStyle name="Migliaia 59 8" xfId="19654" xr:uid="{00000000-0005-0000-0000-0000C5860000}"/>
    <cellStyle name="Migliaia 59 8 2" xfId="37618" xr:uid="{00000000-0005-0000-0000-0000C6860000}"/>
    <cellStyle name="Migliaia 59 9" xfId="3419" xr:uid="{00000000-0005-0000-0000-0000C7860000}"/>
    <cellStyle name="Migliaia 59 9 2" xfId="23419" xr:uid="{00000000-0005-0000-0000-0000C8860000}"/>
    <cellStyle name="Migliaia 6" xfId="806" xr:uid="{00000000-0005-0000-0000-0000C9860000}"/>
    <cellStyle name="Migliaia 6 10" xfId="21736" xr:uid="{00000000-0005-0000-0000-0000CA860000}"/>
    <cellStyle name="Migliaia 6 11" xfId="38581" xr:uid="{00000000-0005-0000-0000-0000CB860000}"/>
    <cellStyle name="Migliaia 6 12" xfId="39327" xr:uid="{00000000-0005-0000-0000-0000CC860000}"/>
    <cellStyle name="Migliaia 6 13" xfId="39889" xr:uid="{00000000-0005-0000-0000-0000CD860000}"/>
    <cellStyle name="Migliaia 6 14" xfId="40375" xr:uid="{00000000-0005-0000-0000-0000CE860000}"/>
    <cellStyle name="Migliaia 6 2" xfId="807" xr:uid="{00000000-0005-0000-0000-0000CF860000}"/>
    <cellStyle name="Migliaia 6 2 10" xfId="39890" xr:uid="{00000000-0005-0000-0000-0000D0860000}"/>
    <cellStyle name="Migliaia 6 2 11" xfId="40376" xr:uid="{00000000-0005-0000-0000-0000D1860000}"/>
    <cellStyle name="Migliaia 6 2 2" xfId="3593" xr:uid="{00000000-0005-0000-0000-0000D2860000}"/>
    <cellStyle name="Migliaia 6 2 2 2" xfId="12354" xr:uid="{00000000-0005-0000-0000-0000D3860000}"/>
    <cellStyle name="Migliaia 6 2 2 2 2" xfId="30524" xr:uid="{00000000-0005-0000-0000-0000D4860000}"/>
    <cellStyle name="Migliaia 6 2 2 3" xfId="20696" xr:uid="{00000000-0005-0000-0000-0000D5860000}"/>
    <cellStyle name="Migliaia 6 2 2 3 2" xfId="38013" xr:uid="{00000000-0005-0000-0000-0000D6860000}"/>
    <cellStyle name="Migliaia 6 2 2 4" xfId="23522" xr:uid="{00000000-0005-0000-0000-0000D7860000}"/>
    <cellStyle name="Migliaia 6 2 2 5" xfId="38968" xr:uid="{00000000-0005-0000-0000-0000D8860000}"/>
    <cellStyle name="Migliaia 6 2 2 6" xfId="39438" xr:uid="{00000000-0005-0000-0000-0000D9860000}"/>
    <cellStyle name="Migliaia 6 2 3" xfId="11671" xr:uid="{00000000-0005-0000-0000-0000DA860000}"/>
    <cellStyle name="Migliaia 6 2 4" xfId="12244" xr:uid="{00000000-0005-0000-0000-0000DB860000}"/>
    <cellStyle name="Migliaia 6 2 4 2" xfId="30429" xr:uid="{00000000-0005-0000-0000-0000DC860000}"/>
    <cellStyle name="Migliaia 6 2 5" xfId="19663" xr:uid="{00000000-0005-0000-0000-0000DD860000}"/>
    <cellStyle name="Migliaia 6 2 5 2" xfId="37627" xr:uid="{00000000-0005-0000-0000-0000DE860000}"/>
    <cellStyle name="Migliaia 6 2 6" xfId="3424" xr:uid="{00000000-0005-0000-0000-0000DF860000}"/>
    <cellStyle name="Migliaia 6 2 6 2" xfId="23424" xr:uid="{00000000-0005-0000-0000-0000E0860000}"/>
    <cellStyle name="Migliaia 6 2 7" xfId="21737" xr:uid="{00000000-0005-0000-0000-0000E1860000}"/>
    <cellStyle name="Migliaia 6 2 8" xfId="38582" xr:uid="{00000000-0005-0000-0000-0000E2860000}"/>
    <cellStyle name="Migliaia 6 2 9" xfId="39328" xr:uid="{00000000-0005-0000-0000-0000E3860000}"/>
    <cellStyle name="Migliaia 6 3" xfId="808" xr:uid="{00000000-0005-0000-0000-0000E4860000}"/>
    <cellStyle name="Migliaia 6 3 10" xfId="39891" xr:uid="{00000000-0005-0000-0000-0000E5860000}"/>
    <cellStyle name="Migliaia 6 3 11" xfId="40377" xr:uid="{00000000-0005-0000-0000-0000E6860000}"/>
    <cellStyle name="Migliaia 6 3 2" xfId="809" xr:uid="{00000000-0005-0000-0000-0000E7860000}"/>
    <cellStyle name="Migliaia 6 3 2 10" xfId="40378" xr:uid="{00000000-0005-0000-0000-0000E8860000}"/>
    <cellStyle name="Migliaia 6 3 2 2" xfId="11673" xr:uid="{00000000-0005-0000-0000-0000E9860000}"/>
    <cellStyle name="Migliaia 6 3 2 3" xfId="12246" xr:uid="{00000000-0005-0000-0000-0000EA860000}"/>
    <cellStyle name="Migliaia 6 3 2 3 2" xfId="30431" xr:uid="{00000000-0005-0000-0000-0000EB860000}"/>
    <cellStyle name="Migliaia 6 3 2 4" xfId="19665" xr:uid="{00000000-0005-0000-0000-0000EC860000}"/>
    <cellStyle name="Migliaia 6 3 2 4 2" xfId="37629" xr:uid="{00000000-0005-0000-0000-0000ED860000}"/>
    <cellStyle name="Migliaia 6 3 2 5" xfId="3426" xr:uid="{00000000-0005-0000-0000-0000EE860000}"/>
    <cellStyle name="Migliaia 6 3 2 5 2" xfId="23426" xr:uid="{00000000-0005-0000-0000-0000EF860000}"/>
    <cellStyle name="Migliaia 6 3 2 6" xfId="21739" xr:uid="{00000000-0005-0000-0000-0000F0860000}"/>
    <cellStyle name="Migliaia 6 3 2 7" xfId="38584" xr:uid="{00000000-0005-0000-0000-0000F1860000}"/>
    <cellStyle name="Migliaia 6 3 2 8" xfId="39330" xr:uid="{00000000-0005-0000-0000-0000F2860000}"/>
    <cellStyle name="Migliaia 6 3 2 9" xfId="39892" xr:uid="{00000000-0005-0000-0000-0000F3860000}"/>
    <cellStyle name="Migliaia 6 3 3" xfId="11672" xr:uid="{00000000-0005-0000-0000-0000F4860000}"/>
    <cellStyle name="Migliaia 6 3 3 2" xfId="20698" xr:uid="{00000000-0005-0000-0000-0000F5860000}"/>
    <cellStyle name="Migliaia 6 3 3 2 2" xfId="38015" xr:uid="{00000000-0005-0000-0000-0000F6860000}"/>
    <cellStyle name="Migliaia 6 3 3 2 3" xfId="38970" xr:uid="{00000000-0005-0000-0000-0000F7860000}"/>
    <cellStyle name="Migliaia 6 3 3 3" xfId="19666" xr:uid="{00000000-0005-0000-0000-0000F8860000}"/>
    <cellStyle name="Migliaia 6 3 3 3 2" xfId="37630" xr:uid="{00000000-0005-0000-0000-0000F9860000}"/>
    <cellStyle name="Migliaia 6 3 3 4" xfId="38585" xr:uid="{00000000-0005-0000-0000-0000FA860000}"/>
    <cellStyle name="Migliaia 6 3 4" xfId="12245" xr:uid="{00000000-0005-0000-0000-0000FB860000}"/>
    <cellStyle name="Migliaia 6 3 4 2" xfId="20697" xr:uid="{00000000-0005-0000-0000-0000FC860000}"/>
    <cellStyle name="Migliaia 6 3 4 2 2" xfId="38014" xr:uid="{00000000-0005-0000-0000-0000FD860000}"/>
    <cellStyle name="Migliaia 6 3 4 3" xfId="30430" xr:uid="{00000000-0005-0000-0000-0000FE860000}"/>
    <cellStyle name="Migliaia 6 3 4 4" xfId="38969" xr:uid="{00000000-0005-0000-0000-0000FF860000}"/>
    <cellStyle name="Migliaia 6 3 5" xfId="19664" xr:uid="{00000000-0005-0000-0000-000000870000}"/>
    <cellStyle name="Migliaia 6 3 5 2" xfId="37628" xr:uid="{00000000-0005-0000-0000-000001870000}"/>
    <cellStyle name="Migliaia 6 3 6" xfId="3425" xr:uid="{00000000-0005-0000-0000-000002870000}"/>
    <cellStyle name="Migliaia 6 3 6 2" xfId="23425" xr:uid="{00000000-0005-0000-0000-000003870000}"/>
    <cellStyle name="Migliaia 6 3 7" xfId="21738" xr:uid="{00000000-0005-0000-0000-000004870000}"/>
    <cellStyle name="Migliaia 6 3 8" xfId="38583" xr:uid="{00000000-0005-0000-0000-000005870000}"/>
    <cellStyle name="Migliaia 6 3 9" xfId="39329" xr:uid="{00000000-0005-0000-0000-000006870000}"/>
    <cellStyle name="Migliaia 6 4" xfId="810" xr:uid="{00000000-0005-0000-0000-000007870000}"/>
    <cellStyle name="Migliaia 6 4 2" xfId="19668" xr:uid="{00000000-0005-0000-0000-000008870000}"/>
    <cellStyle name="Migliaia 6 4 2 2" xfId="20700" xr:uid="{00000000-0005-0000-0000-000009870000}"/>
    <cellStyle name="Migliaia 6 4 2 2 2" xfId="38017" xr:uid="{00000000-0005-0000-0000-00000A870000}"/>
    <cellStyle name="Migliaia 6 4 2 2 3" xfId="38972" xr:uid="{00000000-0005-0000-0000-00000B870000}"/>
    <cellStyle name="Migliaia 6 4 2 3" xfId="37632" xr:uid="{00000000-0005-0000-0000-00000C870000}"/>
    <cellStyle name="Migliaia 6 4 2 4" xfId="38587" xr:uid="{00000000-0005-0000-0000-00000D870000}"/>
    <cellStyle name="Migliaia 6 4 3" xfId="20699" xr:uid="{00000000-0005-0000-0000-00000E870000}"/>
    <cellStyle name="Migliaia 6 4 3 2" xfId="38016" xr:uid="{00000000-0005-0000-0000-00000F870000}"/>
    <cellStyle name="Migliaia 6 4 3 3" xfId="38971" xr:uid="{00000000-0005-0000-0000-000010870000}"/>
    <cellStyle name="Migliaia 6 4 4" xfId="19667" xr:uid="{00000000-0005-0000-0000-000011870000}"/>
    <cellStyle name="Migliaia 6 4 4 2" xfId="37631" xr:uid="{00000000-0005-0000-0000-000012870000}"/>
    <cellStyle name="Migliaia 6 4 5" xfId="11674" xr:uid="{00000000-0005-0000-0000-000013870000}"/>
    <cellStyle name="Migliaia 6 4 6" xfId="21740" xr:uid="{00000000-0005-0000-0000-000014870000}"/>
    <cellStyle name="Migliaia 6 4 7" xfId="38586" xr:uid="{00000000-0005-0000-0000-000015870000}"/>
    <cellStyle name="Migliaia 6 4 8" xfId="39893" xr:uid="{00000000-0005-0000-0000-000016870000}"/>
    <cellStyle name="Migliaia 6 4 9" xfId="40379" xr:uid="{00000000-0005-0000-0000-000017870000}"/>
    <cellStyle name="Migliaia 6 5" xfId="811" xr:uid="{00000000-0005-0000-0000-000018870000}"/>
    <cellStyle name="Migliaia 6 5 2" xfId="19669" xr:uid="{00000000-0005-0000-0000-000019870000}"/>
    <cellStyle name="Migliaia 6 5 2 2" xfId="37633" xr:uid="{00000000-0005-0000-0000-00001A870000}"/>
    <cellStyle name="Migliaia 6 5 3" xfId="11675" xr:uid="{00000000-0005-0000-0000-00001B870000}"/>
    <cellStyle name="Migliaia 6 5 4" xfId="21741" xr:uid="{00000000-0005-0000-0000-00001C870000}"/>
    <cellStyle name="Migliaia 6 5 5" xfId="38588" xr:uid="{00000000-0005-0000-0000-00001D870000}"/>
    <cellStyle name="Migliaia 6 5 6" xfId="39894" xr:uid="{00000000-0005-0000-0000-00001E870000}"/>
    <cellStyle name="Migliaia 6 5 7" xfId="40380" xr:uid="{00000000-0005-0000-0000-00001F870000}"/>
    <cellStyle name="Migliaia 6 6" xfId="812" xr:uid="{00000000-0005-0000-0000-000020870000}"/>
    <cellStyle name="Migliaia 6 6 2" xfId="11670" xr:uid="{00000000-0005-0000-0000-000021870000}"/>
    <cellStyle name="Migliaia 6 6 3" xfId="21742" xr:uid="{00000000-0005-0000-0000-000022870000}"/>
    <cellStyle name="Migliaia 6 6 4" xfId="39895" xr:uid="{00000000-0005-0000-0000-000023870000}"/>
    <cellStyle name="Migliaia 6 6 5" xfId="40381" xr:uid="{00000000-0005-0000-0000-000024870000}"/>
    <cellStyle name="Migliaia 6 7" xfId="12243" xr:uid="{00000000-0005-0000-0000-000025870000}"/>
    <cellStyle name="Migliaia 6 7 2" xfId="30428" xr:uid="{00000000-0005-0000-0000-000026870000}"/>
    <cellStyle name="Migliaia 6 8" xfId="19662" xr:uid="{00000000-0005-0000-0000-000027870000}"/>
    <cellStyle name="Migliaia 6 8 2" xfId="37626" xr:uid="{00000000-0005-0000-0000-000028870000}"/>
    <cellStyle name="Migliaia 6 9" xfId="3423" xr:uid="{00000000-0005-0000-0000-000029870000}"/>
    <cellStyle name="Migliaia 6 9 2" xfId="23423" xr:uid="{00000000-0005-0000-0000-00002A870000}"/>
    <cellStyle name="Migliaia 60" xfId="813" xr:uid="{00000000-0005-0000-0000-00002B870000}"/>
    <cellStyle name="Migliaia 60 10" xfId="21743" xr:uid="{00000000-0005-0000-0000-00002C870000}"/>
    <cellStyle name="Migliaia 60 11" xfId="38589" xr:uid="{00000000-0005-0000-0000-00002D870000}"/>
    <cellStyle name="Migliaia 60 12" xfId="39331" xr:uid="{00000000-0005-0000-0000-00002E870000}"/>
    <cellStyle name="Migliaia 60 13" xfId="39896" xr:uid="{00000000-0005-0000-0000-00002F870000}"/>
    <cellStyle name="Migliaia 60 14" xfId="40382" xr:uid="{00000000-0005-0000-0000-000030870000}"/>
    <cellStyle name="Migliaia 60 2" xfId="814" xr:uid="{00000000-0005-0000-0000-000031870000}"/>
    <cellStyle name="Migliaia 60 2 10" xfId="39897" xr:uid="{00000000-0005-0000-0000-000032870000}"/>
    <cellStyle name="Migliaia 60 2 11" xfId="40383" xr:uid="{00000000-0005-0000-0000-000033870000}"/>
    <cellStyle name="Migliaia 60 2 2" xfId="3594" xr:uid="{00000000-0005-0000-0000-000034870000}"/>
    <cellStyle name="Migliaia 60 2 2 2" xfId="12355" xr:uid="{00000000-0005-0000-0000-000035870000}"/>
    <cellStyle name="Migliaia 60 2 2 2 2" xfId="30525" xr:uid="{00000000-0005-0000-0000-000036870000}"/>
    <cellStyle name="Migliaia 60 2 2 3" xfId="20701" xr:uid="{00000000-0005-0000-0000-000037870000}"/>
    <cellStyle name="Migliaia 60 2 2 3 2" xfId="38018" xr:uid="{00000000-0005-0000-0000-000038870000}"/>
    <cellStyle name="Migliaia 60 2 2 4" xfId="23523" xr:uid="{00000000-0005-0000-0000-000039870000}"/>
    <cellStyle name="Migliaia 60 2 2 5" xfId="38973" xr:uid="{00000000-0005-0000-0000-00003A870000}"/>
    <cellStyle name="Migliaia 60 2 2 6" xfId="39439" xr:uid="{00000000-0005-0000-0000-00003B870000}"/>
    <cellStyle name="Migliaia 60 2 3" xfId="11677" xr:uid="{00000000-0005-0000-0000-00003C870000}"/>
    <cellStyle name="Migliaia 60 2 4" xfId="12248" xr:uid="{00000000-0005-0000-0000-00003D870000}"/>
    <cellStyle name="Migliaia 60 2 4 2" xfId="30433" xr:uid="{00000000-0005-0000-0000-00003E870000}"/>
    <cellStyle name="Migliaia 60 2 5" xfId="19671" xr:uid="{00000000-0005-0000-0000-00003F870000}"/>
    <cellStyle name="Migliaia 60 2 5 2" xfId="37635" xr:uid="{00000000-0005-0000-0000-000040870000}"/>
    <cellStyle name="Migliaia 60 2 6" xfId="3428" xr:uid="{00000000-0005-0000-0000-000041870000}"/>
    <cellStyle name="Migliaia 60 2 6 2" xfId="23428" xr:uid="{00000000-0005-0000-0000-000042870000}"/>
    <cellStyle name="Migliaia 60 2 7" xfId="21744" xr:uid="{00000000-0005-0000-0000-000043870000}"/>
    <cellStyle name="Migliaia 60 2 8" xfId="38590" xr:uid="{00000000-0005-0000-0000-000044870000}"/>
    <cellStyle name="Migliaia 60 2 9" xfId="39332" xr:uid="{00000000-0005-0000-0000-000045870000}"/>
    <cellStyle name="Migliaia 60 3" xfId="815" xr:uid="{00000000-0005-0000-0000-000046870000}"/>
    <cellStyle name="Migliaia 60 3 10" xfId="39898" xr:uid="{00000000-0005-0000-0000-000047870000}"/>
    <cellStyle name="Migliaia 60 3 11" xfId="40384" xr:uid="{00000000-0005-0000-0000-000048870000}"/>
    <cellStyle name="Migliaia 60 3 2" xfId="816" xr:uid="{00000000-0005-0000-0000-000049870000}"/>
    <cellStyle name="Migliaia 60 3 2 10" xfId="40385" xr:uid="{00000000-0005-0000-0000-00004A870000}"/>
    <cellStyle name="Migliaia 60 3 2 2" xfId="11679" xr:uid="{00000000-0005-0000-0000-00004B870000}"/>
    <cellStyle name="Migliaia 60 3 2 3" xfId="12250" xr:uid="{00000000-0005-0000-0000-00004C870000}"/>
    <cellStyle name="Migliaia 60 3 2 3 2" xfId="30435" xr:uid="{00000000-0005-0000-0000-00004D870000}"/>
    <cellStyle name="Migliaia 60 3 2 4" xfId="19673" xr:uid="{00000000-0005-0000-0000-00004E870000}"/>
    <cellStyle name="Migliaia 60 3 2 4 2" xfId="37637" xr:uid="{00000000-0005-0000-0000-00004F870000}"/>
    <cellStyle name="Migliaia 60 3 2 5" xfId="3430" xr:uid="{00000000-0005-0000-0000-000050870000}"/>
    <cellStyle name="Migliaia 60 3 2 5 2" xfId="23430" xr:uid="{00000000-0005-0000-0000-000051870000}"/>
    <cellStyle name="Migliaia 60 3 2 6" xfId="21746" xr:uid="{00000000-0005-0000-0000-000052870000}"/>
    <cellStyle name="Migliaia 60 3 2 7" xfId="38592" xr:uid="{00000000-0005-0000-0000-000053870000}"/>
    <cellStyle name="Migliaia 60 3 2 8" xfId="39334" xr:uid="{00000000-0005-0000-0000-000054870000}"/>
    <cellStyle name="Migliaia 60 3 2 9" xfId="39899" xr:uid="{00000000-0005-0000-0000-000055870000}"/>
    <cellStyle name="Migliaia 60 3 3" xfId="11678" xr:uid="{00000000-0005-0000-0000-000056870000}"/>
    <cellStyle name="Migliaia 60 3 3 2" xfId="20703" xr:uid="{00000000-0005-0000-0000-000057870000}"/>
    <cellStyle name="Migliaia 60 3 3 2 2" xfId="38020" xr:uid="{00000000-0005-0000-0000-000058870000}"/>
    <cellStyle name="Migliaia 60 3 3 2 3" xfId="38975" xr:uid="{00000000-0005-0000-0000-000059870000}"/>
    <cellStyle name="Migliaia 60 3 3 3" xfId="19674" xr:uid="{00000000-0005-0000-0000-00005A870000}"/>
    <cellStyle name="Migliaia 60 3 3 3 2" xfId="37638" xr:uid="{00000000-0005-0000-0000-00005B870000}"/>
    <cellStyle name="Migliaia 60 3 3 4" xfId="38593" xr:uid="{00000000-0005-0000-0000-00005C870000}"/>
    <cellStyle name="Migliaia 60 3 4" xfId="12249" xr:uid="{00000000-0005-0000-0000-00005D870000}"/>
    <cellStyle name="Migliaia 60 3 4 2" xfId="20702" xr:uid="{00000000-0005-0000-0000-00005E870000}"/>
    <cellStyle name="Migliaia 60 3 4 2 2" xfId="38019" xr:uid="{00000000-0005-0000-0000-00005F870000}"/>
    <cellStyle name="Migliaia 60 3 4 3" xfId="30434" xr:uid="{00000000-0005-0000-0000-000060870000}"/>
    <cellStyle name="Migliaia 60 3 4 4" xfId="38974" xr:uid="{00000000-0005-0000-0000-000061870000}"/>
    <cellStyle name="Migliaia 60 3 5" xfId="19672" xr:uid="{00000000-0005-0000-0000-000062870000}"/>
    <cellStyle name="Migliaia 60 3 5 2" xfId="37636" xr:uid="{00000000-0005-0000-0000-000063870000}"/>
    <cellStyle name="Migliaia 60 3 6" xfId="3429" xr:uid="{00000000-0005-0000-0000-000064870000}"/>
    <cellStyle name="Migliaia 60 3 6 2" xfId="23429" xr:uid="{00000000-0005-0000-0000-000065870000}"/>
    <cellStyle name="Migliaia 60 3 7" xfId="21745" xr:uid="{00000000-0005-0000-0000-000066870000}"/>
    <cellStyle name="Migliaia 60 3 8" xfId="38591" xr:uid="{00000000-0005-0000-0000-000067870000}"/>
    <cellStyle name="Migliaia 60 3 9" xfId="39333" xr:uid="{00000000-0005-0000-0000-000068870000}"/>
    <cellStyle name="Migliaia 60 4" xfId="817" xr:uid="{00000000-0005-0000-0000-000069870000}"/>
    <cellStyle name="Migliaia 60 4 2" xfId="19676" xr:uid="{00000000-0005-0000-0000-00006A870000}"/>
    <cellStyle name="Migliaia 60 4 2 2" xfId="20705" xr:uid="{00000000-0005-0000-0000-00006B870000}"/>
    <cellStyle name="Migliaia 60 4 2 2 2" xfId="38022" xr:uid="{00000000-0005-0000-0000-00006C870000}"/>
    <cellStyle name="Migliaia 60 4 2 2 3" xfId="38977" xr:uid="{00000000-0005-0000-0000-00006D870000}"/>
    <cellStyle name="Migliaia 60 4 2 3" xfId="37640" xr:uid="{00000000-0005-0000-0000-00006E870000}"/>
    <cellStyle name="Migliaia 60 4 2 4" xfId="38595" xr:uid="{00000000-0005-0000-0000-00006F870000}"/>
    <cellStyle name="Migliaia 60 4 3" xfId="20704" xr:uid="{00000000-0005-0000-0000-000070870000}"/>
    <cellStyle name="Migliaia 60 4 3 2" xfId="38021" xr:uid="{00000000-0005-0000-0000-000071870000}"/>
    <cellStyle name="Migliaia 60 4 3 3" xfId="38976" xr:uid="{00000000-0005-0000-0000-000072870000}"/>
    <cellStyle name="Migliaia 60 4 4" xfId="19675" xr:uid="{00000000-0005-0000-0000-000073870000}"/>
    <cellStyle name="Migliaia 60 4 4 2" xfId="37639" xr:uid="{00000000-0005-0000-0000-000074870000}"/>
    <cellStyle name="Migliaia 60 4 5" xfId="11680" xr:uid="{00000000-0005-0000-0000-000075870000}"/>
    <cellStyle name="Migliaia 60 4 6" xfId="21747" xr:uid="{00000000-0005-0000-0000-000076870000}"/>
    <cellStyle name="Migliaia 60 4 7" xfId="38594" xr:uid="{00000000-0005-0000-0000-000077870000}"/>
    <cellStyle name="Migliaia 60 4 8" xfId="39900" xr:uid="{00000000-0005-0000-0000-000078870000}"/>
    <cellStyle name="Migliaia 60 4 9" xfId="40386" xr:uid="{00000000-0005-0000-0000-000079870000}"/>
    <cellStyle name="Migliaia 60 5" xfId="818" xr:uid="{00000000-0005-0000-0000-00007A870000}"/>
    <cellStyle name="Migliaia 60 5 2" xfId="19677" xr:uid="{00000000-0005-0000-0000-00007B870000}"/>
    <cellStyle name="Migliaia 60 5 2 2" xfId="37641" xr:uid="{00000000-0005-0000-0000-00007C870000}"/>
    <cellStyle name="Migliaia 60 5 3" xfId="11681" xr:uid="{00000000-0005-0000-0000-00007D870000}"/>
    <cellStyle name="Migliaia 60 5 4" xfId="21748" xr:uid="{00000000-0005-0000-0000-00007E870000}"/>
    <cellStyle name="Migliaia 60 5 5" xfId="38596" xr:uid="{00000000-0005-0000-0000-00007F870000}"/>
    <cellStyle name="Migliaia 60 5 6" xfId="39901" xr:uid="{00000000-0005-0000-0000-000080870000}"/>
    <cellStyle name="Migliaia 60 5 7" xfId="40387" xr:uid="{00000000-0005-0000-0000-000081870000}"/>
    <cellStyle name="Migliaia 60 6" xfId="819" xr:uid="{00000000-0005-0000-0000-000082870000}"/>
    <cellStyle name="Migliaia 60 6 2" xfId="11676" xr:uid="{00000000-0005-0000-0000-000083870000}"/>
    <cellStyle name="Migliaia 60 6 3" xfId="21749" xr:uid="{00000000-0005-0000-0000-000084870000}"/>
    <cellStyle name="Migliaia 60 6 4" xfId="39902" xr:uid="{00000000-0005-0000-0000-000085870000}"/>
    <cellStyle name="Migliaia 60 6 5" xfId="40388" xr:uid="{00000000-0005-0000-0000-000086870000}"/>
    <cellStyle name="Migliaia 60 7" xfId="12247" xr:uid="{00000000-0005-0000-0000-000087870000}"/>
    <cellStyle name="Migliaia 60 7 2" xfId="30432" xr:uid="{00000000-0005-0000-0000-000088870000}"/>
    <cellStyle name="Migliaia 60 8" xfId="19670" xr:uid="{00000000-0005-0000-0000-000089870000}"/>
    <cellStyle name="Migliaia 60 8 2" xfId="37634" xr:uid="{00000000-0005-0000-0000-00008A870000}"/>
    <cellStyle name="Migliaia 60 9" xfId="3427" xr:uid="{00000000-0005-0000-0000-00008B870000}"/>
    <cellStyle name="Migliaia 60 9 2" xfId="23427" xr:uid="{00000000-0005-0000-0000-00008C870000}"/>
    <cellStyle name="Migliaia 61" xfId="820" xr:uid="{00000000-0005-0000-0000-00008D870000}"/>
    <cellStyle name="Migliaia 61 10" xfId="21750" xr:uid="{00000000-0005-0000-0000-00008E870000}"/>
    <cellStyle name="Migliaia 61 11" xfId="38597" xr:uid="{00000000-0005-0000-0000-00008F870000}"/>
    <cellStyle name="Migliaia 61 12" xfId="39335" xr:uid="{00000000-0005-0000-0000-000090870000}"/>
    <cellStyle name="Migliaia 61 13" xfId="39903" xr:uid="{00000000-0005-0000-0000-000091870000}"/>
    <cellStyle name="Migliaia 61 14" xfId="40389" xr:uid="{00000000-0005-0000-0000-000092870000}"/>
    <cellStyle name="Migliaia 61 2" xfId="821" xr:uid="{00000000-0005-0000-0000-000093870000}"/>
    <cellStyle name="Migliaia 61 2 10" xfId="39904" xr:uid="{00000000-0005-0000-0000-000094870000}"/>
    <cellStyle name="Migliaia 61 2 11" xfId="40390" xr:uid="{00000000-0005-0000-0000-000095870000}"/>
    <cellStyle name="Migliaia 61 2 2" xfId="3595" xr:uid="{00000000-0005-0000-0000-000096870000}"/>
    <cellStyle name="Migliaia 61 2 2 2" xfId="12356" xr:uid="{00000000-0005-0000-0000-000097870000}"/>
    <cellStyle name="Migliaia 61 2 2 2 2" xfId="30526" xr:uid="{00000000-0005-0000-0000-000098870000}"/>
    <cellStyle name="Migliaia 61 2 2 3" xfId="20706" xr:uid="{00000000-0005-0000-0000-000099870000}"/>
    <cellStyle name="Migliaia 61 2 2 3 2" xfId="38023" xr:uid="{00000000-0005-0000-0000-00009A870000}"/>
    <cellStyle name="Migliaia 61 2 2 4" xfId="23524" xr:uid="{00000000-0005-0000-0000-00009B870000}"/>
    <cellStyle name="Migliaia 61 2 2 5" xfId="38978" xr:uid="{00000000-0005-0000-0000-00009C870000}"/>
    <cellStyle name="Migliaia 61 2 2 6" xfId="39440" xr:uid="{00000000-0005-0000-0000-00009D870000}"/>
    <cellStyle name="Migliaia 61 2 3" xfId="11683" xr:uid="{00000000-0005-0000-0000-00009E870000}"/>
    <cellStyle name="Migliaia 61 2 4" xfId="12252" xr:uid="{00000000-0005-0000-0000-00009F870000}"/>
    <cellStyle name="Migliaia 61 2 4 2" xfId="30437" xr:uid="{00000000-0005-0000-0000-0000A0870000}"/>
    <cellStyle name="Migliaia 61 2 5" xfId="19679" xr:uid="{00000000-0005-0000-0000-0000A1870000}"/>
    <cellStyle name="Migliaia 61 2 5 2" xfId="37643" xr:uid="{00000000-0005-0000-0000-0000A2870000}"/>
    <cellStyle name="Migliaia 61 2 6" xfId="3432" xr:uid="{00000000-0005-0000-0000-0000A3870000}"/>
    <cellStyle name="Migliaia 61 2 6 2" xfId="23432" xr:uid="{00000000-0005-0000-0000-0000A4870000}"/>
    <cellStyle name="Migliaia 61 2 7" xfId="21751" xr:uid="{00000000-0005-0000-0000-0000A5870000}"/>
    <cellStyle name="Migliaia 61 2 8" xfId="38598" xr:uid="{00000000-0005-0000-0000-0000A6870000}"/>
    <cellStyle name="Migliaia 61 2 9" xfId="39336" xr:uid="{00000000-0005-0000-0000-0000A7870000}"/>
    <cellStyle name="Migliaia 61 3" xfId="822" xr:uid="{00000000-0005-0000-0000-0000A8870000}"/>
    <cellStyle name="Migliaia 61 3 10" xfId="39905" xr:uid="{00000000-0005-0000-0000-0000A9870000}"/>
    <cellStyle name="Migliaia 61 3 11" xfId="40391" xr:uid="{00000000-0005-0000-0000-0000AA870000}"/>
    <cellStyle name="Migliaia 61 3 2" xfId="823" xr:uid="{00000000-0005-0000-0000-0000AB870000}"/>
    <cellStyle name="Migliaia 61 3 2 10" xfId="40392" xr:uid="{00000000-0005-0000-0000-0000AC870000}"/>
    <cellStyle name="Migliaia 61 3 2 2" xfId="11685" xr:uid="{00000000-0005-0000-0000-0000AD870000}"/>
    <cellStyle name="Migliaia 61 3 2 3" xfId="12254" xr:uid="{00000000-0005-0000-0000-0000AE870000}"/>
    <cellStyle name="Migliaia 61 3 2 3 2" xfId="30439" xr:uid="{00000000-0005-0000-0000-0000AF870000}"/>
    <cellStyle name="Migliaia 61 3 2 4" xfId="19681" xr:uid="{00000000-0005-0000-0000-0000B0870000}"/>
    <cellStyle name="Migliaia 61 3 2 4 2" xfId="37645" xr:uid="{00000000-0005-0000-0000-0000B1870000}"/>
    <cellStyle name="Migliaia 61 3 2 5" xfId="3434" xr:uid="{00000000-0005-0000-0000-0000B2870000}"/>
    <cellStyle name="Migliaia 61 3 2 5 2" xfId="23434" xr:uid="{00000000-0005-0000-0000-0000B3870000}"/>
    <cellStyle name="Migliaia 61 3 2 6" xfId="21753" xr:uid="{00000000-0005-0000-0000-0000B4870000}"/>
    <cellStyle name="Migliaia 61 3 2 7" xfId="38600" xr:uid="{00000000-0005-0000-0000-0000B5870000}"/>
    <cellStyle name="Migliaia 61 3 2 8" xfId="39338" xr:uid="{00000000-0005-0000-0000-0000B6870000}"/>
    <cellStyle name="Migliaia 61 3 2 9" xfId="39906" xr:uid="{00000000-0005-0000-0000-0000B7870000}"/>
    <cellStyle name="Migliaia 61 3 3" xfId="11684" xr:uid="{00000000-0005-0000-0000-0000B8870000}"/>
    <cellStyle name="Migliaia 61 3 3 2" xfId="20708" xr:uid="{00000000-0005-0000-0000-0000B9870000}"/>
    <cellStyle name="Migliaia 61 3 3 2 2" xfId="38025" xr:uid="{00000000-0005-0000-0000-0000BA870000}"/>
    <cellStyle name="Migliaia 61 3 3 2 3" xfId="38980" xr:uid="{00000000-0005-0000-0000-0000BB870000}"/>
    <cellStyle name="Migliaia 61 3 3 3" xfId="19682" xr:uid="{00000000-0005-0000-0000-0000BC870000}"/>
    <cellStyle name="Migliaia 61 3 3 3 2" xfId="37646" xr:uid="{00000000-0005-0000-0000-0000BD870000}"/>
    <cellStyle name="Migliaia 61 3 3 4" xfId="38601" xr:uid="{00000000-0005-0000-0000-0000BE870000}"/>
    <cellStyle name="Migliaia 61 3 4" xfId="12253" xr:uid="{00000000-0005-0000-0000-0000BF870000}"/>
    <cellStyle name="Migliaia 61 3 4 2" xfId="20707" xr:uid="{00000000-0005-0000-0000-0000C0870000}"/>
    <cellStyle name="Migliaia 61 3 4 2 2" xfId="38024" xr:uid="{00000000-0005-0000-0000-0000C1870000}"/>
    <cellStyle name="Migliaia 61 3 4 3" xfId="30438" xr:uid="{00000000-0005-0000-0000-0000C2870000}"/>
    <cellStyle name="Migliaia 61 3 4 4" xfId="38979" xr:uid="{00000000-0005-0000-0000-0000C3870000}"/>
    <cellStyle name="Migliaia 61 3 5" xfId="19680" xr:uid="{00000000-0005-0000-0000-0000C4870000}"/>
    <cellStyle name="Migliaia 61 3 5 2" xfId="37644" xr:uid="{00000000-0005-0000-0000-0000C5870000}"/>
    <cellStyle name="Migliaia 61 3 6" xfId="3433" xr:uid="{00000000-0005-0000-0000-0000C6870000}"/>
    <cellStyle name="Migliaia 61 3 6 2" xfId="23433" xr:uid="{00000000-0005-0000-0000-0000C7870000}"/>
    <cellStyle name="Migliaia 61 3 7" xfId="21752" xr:uid="{00000000-0005-0000-0000-0000C8870000}"/>
    <cellStyle name="Migliaia 61 3 8" xfId="38599" xr:uid="{00000000-0005-0000-0000-0000C9870000}"/>
    <cellStyle name="Migliaia 61 3 9" xfId="39337" xr:uid="{00000000-0005-0000-0000-0000CA870000}"/>
    <cellStyle name="Migliaia 61 4" xfId="824" xr:uid="{00000000-0005-0000-0000-0000CB870000}"/>
    <cellStyle name="Migliaia 61 4 2" xfId="19684" xr:uid="{00000000-0005-0000-0000-0000CC870000}"/>
    <cellStyle name="Migliaia 61 4 2 2" xfId="20710" xr:uid="{00000000-0005-0000-0000-0000CD870000}"/>
    <cellStyle name="Migliaia 61 4 2 2 2" xfId="38027" xr:uid="{00000000-0005-0000-0000-0000CE870000}"/>
    <cellStyle name="Migliaia 61 4 2 2 3" xfId="38982" xr:uid="{00000000-0005-0000-0000-0000CF870000}"/>
    <cellStyle name="Migliaia 61 4 2 3" xfId="37648" xr:uid="{00000000-0005-0000-0000-0000D0870000}"/>
    <cellStyle name="Migliaia 61 4 2 4" xfId="38603" xr:uid="{00000000-0005-0000-0000-0000D1870000}"/>
    <cellStyle name="Migliaia 61 4 3" xfId="20709" xr:uid="{00000000-0005-0000-0000-0000D2870000}"/>
    <cellStyle name="Migliaia 61 4 3 2" xfId="38026" xr:uid="{00000000-0005-0000-0000-0000D3870000}"/>
    <cellStyle name="Migliaia 61 4 3 3" xfId="38981" xr:uid="{00000000-0005-0000-0000-0000D4870000}"/>
    <cellStyle name="Migliaia 61 4 4" xfId="19683" xr:uid="{00000000-0005-0000-0000-0000D5870000}"/>
    <cellStyle name="Migliaia 61 4 4 2" xfId="37647" xr:uid="{00000000-0005-0000-0000-0000D6870000}"/>
    <cellStyle name="Migliaia 61 4 5" xfId="11686" xr:uid="{00000000-0005-0000-0000-0000D7870000}"/>
    <cellStyle name="Migliaia 61 4 6" xfId="21754" xr:uid="{00000000-0005-0000-0000-0000D8870000}"/>
    <cellStyle name="Migliaia 61 4 7" xfId="38602" xr:uid="{00000000-0005-0000-0000-0000D9870000}"/>
    <cellStyle name="Migliaia 61 4 8" xfId="39907" xr:uid="{00000000-0005-0000-0000-0000DA870000}"/>
    <cellStyle name="Migliaia 61 4 9" xfId="40393" xr:uid="{00000000-0005-0000-0000-0000DB870000}"/>
    <cellStyle name="Migliaia 61 5" xfId="825" xr:uid="{00000000-0005-0000-0000-0000DC870000}"/>
    <cellStyle name="Migliaia 61 5 2" xfId="19685" xr:uid="{00000000-0005-0000-0000-0000DD870000}"/>
    <cellStyle name="Migliaia 61 5 2 2" xfId="37649" xr:uid="{00000000-0005-0000-0000-0000DE870000}"/>
    <cellStyle name="Migliaia 61 5 3" xfId="11687" xr:uid="{00000000-0005-0000-0000-0000DF870000}"/>
    <cellStyle name="Migliaia 61 5 4" xfId="21755" xr:uid="{00000000-0005-0000-0000-0000E0870000}"/>
    <cellStyle name="Migliaia 61 5 5" xfId="38604" xr:uid="{00000000-0005-0000-0000-0000E1870000}"/>
    <cellStyle name="Migliaia 61 5 6" xfId="39908" xr:uid="{00000000-0005-0000-0000-0000E2870000}"/>
    <cellStyle name="Migliaia 61 5 7" xfId="40394" xr:uid="{00000000-0005-0000-0000-0000E3870000}"/>
    <cellStyle name="Migliaia 61 6" xfId="826" xr:uid="{00000000-0005-0000-0000-0000E4870000}"/>
    <cellStyle name="Migliaia 61 6 2" xfId="11682" xr:uid="{00000000-0005-0000-0000-0000E5870000}"/>
    <cellStyle name="Migliaia 61 6 3" xfId="21756" xr:uid="{00000000-0005-0000-0000-0000E6870000}"/>
    <cellStyle name="Migliaia 61 6 4" xfId="39909" xr:uid="{00000000-0005-0000-0000-0000E7870000}"/>
    <cellStyle name="Migliaia 61 6 5" xfId="40395" xr:uid="{00000000-0005-0000-0000-0000E8870000}"/>
    <cellStyle name="Migliaia 61 7" xfId="12251" xr:uid="{00000000-0005-0000-0000-0000E9870000}"/>
    <cellStyle name="Migliaia 61 7 2" xfId="30436" xr:uid="{00000000-0005-0000-0000-0000EA870000}"/>
    <cellStyle name="Migliaia 61 8" xfId="19678" xr:uid="{00000000-0005-0000-0000-0000EB870000}"/>
    <cellStyle name="Migliaia 61 8 2" xfId="37642" xr:uid="{00000000-0005-0000-0000-0000EC870000}"/>
    <cellStyle name="Migliaia 61 9" xfId="3431" xr:uid="{00000000-0005-0000-0000-0000ED870000}"/>
    <cellStyle name="Migliaia 61 9 2" xfId="23431" xr:uid="{00000000-0005-0000-0000-0000EE870000}"/>
    <cellStyle name="Migliaia 7" xfId="827" xr:uid="{00000000-0005-0000-0000-0000EF870000}"/>
    <cellStyle name="Migliaia 7 10" xfId="21757" xr:uid="{00000000-0005-0000-0000-0000F0870000}"/>
    <cellStyle name="Migliaia 7 11" xfId="38605" xr:uid="{00000000-0005-0000-0000-0000F1870000}"/>
    <cellStyle name="Migliaia 7 12" xfId="39339" xr:uid="{00000000-0005-0000-0000-0000F2870000}"/>
    <cellStyle name="Migliaia 7 13" xfId="39910" xr:uid="{00000000-0005-0000-0000-0000F3870000}"/>
    <cellStyle name="Migliaia 7 14" xfId="40396" xr:uid="{00000000-0005-0000-0000-0000F4870000}"/>
    <cellStyle name="Migliaia 7 2" xfId="828" xr:uid="{00000000-0005-0000-0000-0000F5870000}"/>
    <cellStyle name="Migliaia 7 2 10" xfId="39911" xr:uid="{00000000-0005-0000-0000-0000F6870000}"/>
    <cellStyle name="Migliaia 7 2 11" xfId="40397" xr:uid="{00000000-0005-0000-0000-0000F7870000}"/>
    <cellStyle name="Migliaia 7 2 2" xfId="3596" xr:uid="{00000000-0005-0000-0000-0000F8870000}"/>
    <cellStyle name="Migliaia 7 2 2 2" xfId="12357" xr:uid="{00000000-0005-0000-0000-0000F9870000}"/>
    <cellStyle name="Migliaia 7 2 2 2 2" xfId="30527" xr:uid="{00000000-0005-0000-0000-0000FA870000}"/>
    <cellStyle name="Migliaia 7 2 2 3" xfId="20711" xr:uid="{00000000-0005-0000-0000-0000FB870000}"/>
    <cellStyle name="Migliaia 7 2 2 3 2" xfId="38028" xr:uid="{00000000-0005-0000-0000-0000FC870000}"/>
    <cellStyle name="Migliaia 7 2 2 4" xfId="23525" xr:uid="{00000000-0005-0000-0000-0000FD870000}"/>
    <cellStyle name="Migliaia 7 2 2 5" xfId="38983" xr:uid="{00000000-0005-0000-0000-0000FE870000}"/>
    <cellStyle name="Migliaia 7 2 2 6" xfId="39441" xr:uid="{00000000-0005-0000-0000-0000FF870000}"/>
    <cellStyle name="Migliaia 7 2 3" xfId="11689" xr:uid="{00000000-0005-0000-0000-000000880000}"/>
    <cellStyle name="Migliaia 7 2 4" xfId="12256" xr:uid="{00000000-0005-0000-0000-000001880000}"/>
    <cellStyle name="Migliaia 7 2 4 2" xfId="30441" xr:uid="{00000000-0005-0000-0000-000002880000}"/>
    <cellStyle name="Migliaia 7 2 5" xfId="19687" xr:uid="{00000000-0005-0000-0000-000003880000}"/>
    <cellStyle name="Migliaia 7 2 5 2" xfId="37651" xr:uid="{00000000-0005-0000-0000-000004880000}"/>
    <cellStyle name="Migliaia 7 2 6" xfId="3436" xr:uid="{00000000-0005-0000-0000-000005880000}"/>
    <cellStyle name="Migliaia 7 2 6 2" xfId="23436" xr:uid="{00000000-0005-0000-0000-000006880000}"/>
    <cellStyle name="Migliaia 7 2 7" xfId="21758" xr:uid="{00000000-0005-0000-0000-000007880000}"/>
    <cellStyle name="Migliaia 7 2 8" xfId="38606" xr:uid="{00000000-0005-0000-0000-000008880000}"/>
    <cellStyle name="Migliaia 7 2 9" xfId="39340" xr:uid="{00000000-0005-0000-0000-000009880000}"/>
    <cellStyle name="Migliaia 7 3" xfId="829" xr:uid="{00000000-0005-0000-0000-00000A880000}"/>
    <cellStyle name="Migliaia 7 3 10" xfId="39912" xr:uid="{00000000-0005-0000-0000-00000B880000}"/>
    <cellStyle name="Migliaia 7 3 11" xfId="40398" xr:uid="{00000000-0005-0000-0000-00000C880000}"/>
    <cellStyle name="Migliaia 7 3 2" xfId="830" xr:uid="{00000000-0005-0000-0000-00000D880000}"/>
    <cellStyle name="Migliaia 7 3 2 10" xfId="40399" xr:uid="{00000000-0005-0000-0000-00000E880000}"/>
    <cellStyle name="Migliaia 7 3 2 2" xfId="11691" xr:uid="{00000000-0005-0000-0000-00000F880000}"/>
    <cellStyle name="Migliaia 7 3 2 3" xfId="12258" xr:uid="{00000000-0005-0000-0000-000010880000}"/>
    <cellStyle name="Migliaia 7 3 2 3 2" xfId="30443" xr:uid="{00000000-0005-0000-0000-000011880000}"/>
    <cellStyle name="Migliaia 7 3 2 4" xfId="19689" xr:uid="{00000000-0005-0000-0000-000012880000}"/>
    <cellStyle name="Migliaia 7 3 2 4 2" xfId="37653" xr:uid="{00000000-0005-0000-0000-000013880000}"/>
    <cellStyle name="Migliaia 7 3 2 5" xfId="3438" xr:uid="{00000000-0005-0000-0000-000014880000}"/>
    <cellStyle name="Migliaia 7 3 2 5 2" xfId="23438" xr:uid="{00000000-0005-0000-0000-000015880000}"/>
    <cellStyle name="Migliaia 7 3 2 6" xfId="21760" xr:uid="{00000000-0005-0000-0000-000016880000}"/>
    <cellStyle name="Migliaia 7 3 2 7" xfId="38608" xr:uid="{00000000-0005-0000-0000-000017880000}"/>
    <cellStyle name="Migliaia 7 3 2 8" xfId="39342" xr:uid="{00000000-0005-0000-0000-000018880000}"/>
    <cellStyle name="Migliaia 7 3 2 9" xfId="39913" xr:uid="{00000000-0005-0000-0000-000019880000}"/>
    <cellStyle name="Migliaia 7 3 3" xfId="11690" xr:uid="{00000000-0005-0000-0000-00001A880000}"/>
    <cellStyle name="Migliaia 7 3 3 2" xfId="20713" xr:uid="{00000000-0005-0000-0000-00001B880000}"/>
    <cellStyle name="Migliaia 7 3 3 2 2" xfId="38030" xr:uid="{00000000-0005-0000-0000-00001C880000}"/>
    <cellStyle name="Migliaia 7 3 3 2 3" xfId="38985" xr:uid="{00000000-0005-0000-0000-00001D880000}"/>
    <cellStyle name="Migliaia 7 3 3 3" xfId="19690" xr:uid="{00000000-0005-0000-0000-00001E880000}"/>
    <cellStyle name="Migliaia 7 3 3 3 2" xfId="37654" xr:uid="{00000000-0005-0000-0000-00001F880000}"/>
    <cellStyle name="Migliaia 7 3 3 4" xfId="38609" xr:uid="{00000000-0005-0000-0000-000020880000}"/>
    <cellStyle name="Migliaia 7 3 4" xfId="12257" xr:uid="{00000000-0005-0000-0000-000021880000}"/>
    <cellStyle name="Migliaia 7 3 4 2" xfId="20712" xr:uid="{00000000-0005-0000-0000-000022880000}"/>
    <cellStyle name="Migliaia 7 3 4 2 2" xfId="38029" xr:uid="{00000000-0005-0000-0000-000023880000}"/>
    <cellStyle name="Migliaia 7 3 4 3" xfId="30442" xr:uid="{00000000-0005-0000-0000-000024880000}"/>
    <cellStyle name="Migliaia 7 3 4 4" xfId="38984" xr:uid="{00000000-0005-0000-0000-000025880000}"/>
    <cellStyle name="Migliaia 7 3 5" xfId="19688" xr:uid="{00000000-0005-0000-0000-000026880000}"/>
    <cellStyle name="Migliaia 7 3 5 2" xfId="37652" xr:uid="{00000000-0005-0000-0000-000027880000}"/>
    <cellStyle name="Migliaia 7 3 6" xfId="3437" xr:uid="{00000000-0005-0000-0000-000028880000}"/>
    <cellStyle name="Migliaia 7 3 6 2" xfId="23437" xr:uid="{00000000-0005-0000-0000-000029880000}"/>
    <cellStyle name="Migliaia 7 3 7" xfId="21759" xr:uid="{00000000-0005-0000-0000-00002A880000}"/>
    <cellStyle name="Migliaia 7 3 8" xfId="38607" xr:uid="{00000000-0005-0000-0000-00002B880000}"/>
    <cellStyle name="Migliaia 7 3 9" xfId="39341" xr:uid="{00000000-0005-0000-0000-00002C880000}"/>
    <cellStyle name="Migliaia 7 4" xfId="831" xr:uid="{00000000-0005-0000-0000-00002D880000}"/>
    <cellStyle name="Migliaia 7 4 2" xfId="19692" xr:uid="{00000000-0005-0000-0000-00002E880000}"/>
    <cellStyle name="Migliaia 7 4 2 2" xfId="20715" xr:uid="{00000000-0005-0000-0000-00002F880000}"/>
    <cellStyle name="Migliaia 7 4 2 2 2" xfId="38032" xr:uid="{00000000-0005-0000-0000-000030880000}"/>
    <cellStyle name="Migliaia 7 4 2 2 3" xfId="38987" xr:uid="{00000000-0005-0000-0000-000031880000}"/>
    <cellStyle name="Migliaia 7 4 2 3" xfId="37656" xr:uid="{00000000-0005-0000-0000-000032880000}"/>
    <cellStyle name="Migliaia 7 4 2 4" xfId="38611" xr:uid="{00000000-0005-0000-0000-000033880000}"/>
    <cellStyle name="Migliaia 7 4 3" xfId="20714" xr:uid="{00000000-0005-0000-0000-000034880000}"/>
    <cellStyle name="Migliaia 7 4 3 2" xfId="38031" xr:uid="{00000000-0005-0000-0000-000035880000}"/>
    <cellStyle name="Migliaia 7 4 3 3" xfId="38986" xr:uid="{00000000-0005-0000-0000-000036880000}"/>
    <cellStyle name="Migliaia 7 4 4" xfId="19691" xr:uid="{00000000-0005-0000-0000-000037880000}"/>
    <cellStyle name="Migliaia 7 4 4 2" xfId="37655" xr:uid="{00000000-0005-0000-0000-000038880000}"/>
    <cellStyle name="Migliaia 7 4 5" xfId="11692" xr:uid="{00000000-0005-0000-0000-000039880000}"/>
    <cellStyle name="Migliaia 7 4 6" xfId="21761" xr:uid="{00000000-0005-0000-0000-00003A880000}"/>
    <cellStyle name="Migliaia 7 4 7" xfId="38610" xr:uid="{00000000-0005-0000-0000-00003B880000}"/>
    <cellStyle name="Migliaia 7 4 8" xfId="39914" xr:uid="{00000000-0005-0000-0000-00003C880000}"/>
    <cellStyle name="Migliaia 7 4 9" xfId="40400" xr:uid="{00000000-0005-0000-0000-00003D880000}"/>
    <cellStyle name="Migliaia 7 5" xfId="832" xr:uid="{00000000-0005-0000-0000-00003E880000}"/>
    <cellStyle name="Migliaia 7 5 2" xfId="19693" xr:uid="{00000000-0005-0000-0000-00003F880000}"/>
    <cellStyle name="Migliaia 7 5 2 2" xfId="37657" xr:uid="{00000000-0005-0000-0000-000040880000}"/>
    <cellStyle name="Migliaia 7 5 3" xfId="11693" xr:uid="{00000000-0005-0000-0000-000041880000}"/>
    <cellStyle name="Migliaia 7 5 4" xfId="21762" xr:uid="{00000000-0005-0000-0000-000042880000}"/>
    <cellStyle name="Migliaia 7 5 5" xfId="38612" xr:uid="{00000000-0005-0000-0000-000043880000}"/>
    <cellStyle name="Migliaia 7 5 6" xfId="39915" xr:uid="{00000000-0005-0000-0000-000044880000}"/>
    <cellStyle name="Migliaia 7 5 7" xfId="40401" xr:uid="{00000000-0005-0000-0000-000045880000}"/>
    <cellStyle name="Migliaia 7 6" xfId="833" xr:uid="{00000000-0005-0000-0000-000046880000}"/>
    <cellStyle name="Migliaia 7 6 2" xfId="11688" xr:uid="{00000000-0005-0000-0000-000047880000}"/>
    <cellStyle name="Migliaia 7 6 3" xfId="21763" xr:uid="{00000000-0005-0000-0000-000048880000}"/>
    <cellStyle name="Migliaia 7 6 4" xfId="39916" xr:uid="{00000000-0005-0000-0000-000049880000}"/>
    <cellStyle name="Migliaia 7 6 5" xfId="40402" xr:uid="{00000000-0005-0000-0000-00004A880000}"/>
    <cellStyle name="Migliaia 7 7" xfId="12255" xr:uid="{00000000-0005-0000-0000-00004B880000}"/>
    <cellStyle name="Migliaia 7 7 2" xfId="30440" xr:uid="{00000000-0005-0000-0000-00004C880000}"/>
    <cellStyle name="Migliaia 7 8" xfId="19686" xr:uid="{00000000-0005-0000-0000-00004D880000}"/>
    <cellStyle name="Migliaia 7 8 2" xfId="37650" xr:uid="{00000000-0005-0000-0000-00004E880000}"/>
    <cellStyle name="Migliaia 7 9" xfId="3435" xr:uid="{00000000-0005-0000-0000-00004F880000}"/>
    <cellStyle name="Migliaia 7 9 2" xfId="23435" xr:uid="{00000000-0005-0000-0000-000050880000}"/>
    <cellStyle name="Migliaia 8" xfId="834" xr:uid="{00000000-0005-0000-0000-000051880000}"/>
    <cellStyle name="Migliaia 8 10" xfId="21764" xr:uid="{00000000-0005-0000-0000-000052880000}"/>
    <cellStyle name="Migliaia 8 11" xfId="38613" xr:uid="{00000000-0005-0000-0000-000053880000}"/>
    <cellStyle name="Migliaia 8 12" xfId="39343" xr:uid="{00000000-0005-0000-0000-000054880000}"/>
    <cellStyle name="Migliaia 8 13" xfId="39917" xr:uid="{00000000-0005-0000-0000-000055880000}"/>
    <cellStyle name="Migliaia 8 14" xfId="40403" xr:uid="{00000000-0005-0000-0000-000056880000}"/>
    <cellStyle name="Migliaia 8 2" xfId="835" xr:uid="{00000000-0005-0000-0000-000057880000}"/>
    <cellStyle name="Migliaia 8 2 10" xfId="39918" xr:uid="{00000000-0005-0000-0000-000058880000}"/>
    <cellStyle name="Migliaia 8 2 11" xfId="40404" xr:uid="{00000000-0005-0000-0000-000059880000}"/>
    <cellStyle name="Migliaia 8 2 2" xfId="3597" xr:uid="{00000000-0005-0000-0000-00005A880000}"/>
    <cellStyle name="Migliaia 8 2 2 2" xfId="12358" xr:uid="{00000000-0005-0000-0000-00005B880000}"/>
    <cellStyle name="Migliaia 8 2 2 2 2" xfId="30528" xr:uid="{00000000-0005-0000-0000-00005C880000}"/>
    <cellStyle name="Migliaia 8 2 2 3" xfId="20716" xr:uid="{00000000-0005-0000-0000-00005D880000}"/>
    <cellStyle name="Migliaia 8 2 2 3 2" xfId="38033" xr:uid="{00000000-0005-0000-0000-00005E880000}"/>
    <cellStyle name="Migliaia 8 2 2 4" xfId="23526" xr:uid="{00000000-0005-0000-0000-00005F880000}"/>
    <cellStyle name="Migliaia 8 2 2 5" xfId="38988" xr:uid="{00000000-0005-0000-0000-000060880000}"/>
    <cellStyle name="Migliaia 8 2 2 6" xfId="39442" xr:uid="{00000000-0005-0000-0000-000061880000}"/>
    <cellStyle name="Migliaia 8 2 3" xfId="11695" xr:uid="{00000000-0005-0000-0000-000062880000}"/>
    <cellStyle name="Migliaia 8 2 4" xfId="12260" xr:uid="{00000000-0005-0000-0000-000063880000}"/>
    <cellStyle name="Migliaia 8 2 4 2" xfId="30445" xr:uid="{00000000-0005-0000-0000-000064880000}"/>
    <cellStyle name="Migliaia 8 2 5" xfId="19695" xr:uid="{00000000-0005-0000-0000-000065880000}"/>
    <cellStyle name="Migliaia 8 2 5 2" xfId="37659" xr:uid="{00000000-0005-0000-0000-000066880000}"/>
    <cellStyle name="Migliaia 8 2 6" xfId="3440" xr:uid="{00000000-0005-0000-0000-000067880000}"/>
    <cellStyle name="Migliaia 8 2 6 2" xfId="23440" xr:uid="{00000000-0005-0000-0000-000068880000}"/>
    <cellStyle name="Migliaia 8 2 7" xfId="21765" xr:uid="{00000000-0005-0000-0000-000069880000}"/>
    <cellStyle name="Migliaia 8 2 8" xfId="38614" xr:uid="{00000000-0005-0000-0000-00006A880000}"/>
    <cellStyle name="Migliaia 8 2 9" xfId="39344" xr:uid="{00000000-0005-0000-0000-00006B880000}"/>
    <cellStyle name="Migliaia 8 3" xfId="836" xr:uid="{00000000-0005-0000-0000-00006C880000}"/>
    <cellStyle name="Migliaia 8 3 10" xfId="39919" xr:uid="{00000000-0005-0000-0000-00006D880000}"/>
    <cellStyle name="Migliaia 8 3 11" xfId="40405" xr:uid="{00000000-0005-0000-0000-00006E880000}"/>
    <cellStyle name="Migliaia 8 3 2" xfId="837" xr:uid="{00000000-0005-0000-0000-00006F880000}"/>
    <cellStyle name="Migliaia 8 3 2 10" xfId="40406" xr:uid="{00000000-0005-0000-0000-000070880000}"/>
    <cellStyle name="Migliaia 8 3 2 2" xfId="11697" xr:uid="{00000000-0005-0000-0000-000071880000}"/>
    <cellStyle name="Migliaia 8 3 2 3" xfId="12262" xr:uid="{00000000-0005-0000-0000-000072880000}"/>
    <cellStyle name="Migliaia 8 3 2 3 2" xfId="30447" xr:uid="{00000000-0005-0000-0000-000073880000}"/>
    <cellStyle name="Migliaia 8 3 2 4" xfId="19697" xr:uid="{00000000-0005-0000-0000-000074880000}"/>
    <cellStyle name="Migliaia 8 3 2 4 2" xfId="37661" xr:uid="{00000000-0005-0000-0000-000075880000}"/>
    <cellStyle name="Migliaia 8 3 2 5" xfId="3442" xr:uid="{00000000-0005-0000-0000-000076880000}"/>
    <cellStyle name="Migliaia 8 3 2 5 2" xfId="23442" xr:uid="{00000000-0005-0000-0000-000077880000}"/>
    <cellStyle name="Migliaia 8 3 2 6" xfId="21767" xr:uid="{00000000-0005-0000-0000-000078880000}"/>
    <cellStyle name="Migliaia 8 3 2 7" xfId="38616" xr:uid="{00000000-0005-0000-0000-000079880000}"/>
    <cellStyle name="Migliaia 8 3 2 8" xfId="39346" xr:uid="{00000000-0005-0000-0000-00007A880000}"/>
    <cellStyle name="Migliaia 8 3 2 9" xfId="39920" xr:uid="{00000000-0005-0000-0000-00007B880000}"/>
    <cellStyle name="Migliaia 8 3 3" xfId="11696" xr:uid="{00000000-0005-0000-0000-00007C880000}"/>
    <cellStyle name="Migliaia 8 3 3 2" xfId="20718" xr:uid="{00000000-0005-0000-0000-00007D880000}"/>
    <cellStyle name="Migliaia 8 3 3 2 2" xfId="38035" xr:uid="{00000000-0005-0000-0000-00007E880000}"/>
    <cellStyle name="Migliaia 8 3 3 2 3" xfId="38990" xr:uid="{00000000-0005-0000-0000-00007F880000}"/>
    <cellStyle name="Migliaia 8 3 3 3" xfId="19698" xr:uid="{00000000-0005-0000-0000-000080880000}"/>
    <cellStyle name="Migliaia 8 3 3 3 2" xfId="37662" xr:uid="{00000000-0005-0000-0000-000081880000}"/>
    <cellStyle name="Migliaia 8 3 3 4" xfId="38617" xr:uid="{00000000-0005-0000-0000-000082880000}"/>
    <cellStyle name="Migliaia 8 3 4" xfId="12261" xr:uid="{00000000-0005-0000-0000-000083880000}"/>
    <cellStyle name="Migliaia 8 3 4 2" xfId="20717" xr:uid="{00000000-0005-0000-0000-000084880000}"/>
    <cellStyle name="Migliaia 8 3 4 2 2" xfId="38034" xr:uid="{00000000-0005-0000-0000-000085880000}"/>
    <cellStyle name="Migliaia 8 3 4 3" xfId="30446" xr:uid="{00000000-0005-0000-0000-000086880000}"/>
    <cellStyle name="Migliaia 8 3 4 4" xfId="38989" xr:uid="{00000000-0005-0000-0000-000087880000}"/>
    <cellStyle name="Migliaia 8 3 5" xfId="19696" xr:uid="{00000000-0005-0000-0000-000088880000}"/>
    <cellStyle name="Migliaia 8 3 5 2" xfId="37660" xr:uid="{00000000-0005-0000-0000-000089880000}"/>
    <cellStyle name="Migliaia 8 3 6" xfId="3441" xr:uid="{00000000-0005-0000-0000-00008A880000}"/>
    <cellStyle name="Migliaia 8 3 6 2" xfId="23441" xr:uid="{00000000-0005-0000-0000-00008B880000}"/>
    <cellStyle name="Migliaia 8 3 7" xfId="21766" xr:uid="{00000000-0005-0000-0000-00008C880000}"/>
    <cellStyle name="Migliaia 8 3 8" xfId="38615" xr:uid="{00000000-0005-0000-0000-00008D880000}"/>
    <cellStyle name="Migliaia 8 3 9" xfId="39345" xr:uid="{00000000-0005-0000-0000-00008E880000}"/>
    <cellStyle name="Migliaia 8 4" xfId="838" xr:uid="{00000000-0005-0000-0000-00008F880000}"/>
    <cellStyle name="Migliaia 8 4 2" xfId="19700" xr:uid="{00000000-0005-0000-0000-000090880000}"/>
    <cellStyle name="Migliaia 8 4 2 2" xfId="20720" xr:uid="{00000000-0005-0000-0000-000091880000}"/>
    <cellStyle name="Migliaia 8 4 2 2 2" xfId="38037" xr:uid="{00000000-0005-0000-0000-000092880000}"/>
    <cellStyle name="Migliaia 8 4 2 2 3" xfId="38992" xr:uid="{00000000-0005-0000-0000-000093880000}"/>
    <cellStyle name="Migliaia 8 4 2 3" xfId="37664" xr:uid="{00000000-0005-0000-0000-000094880000}"/>
    <cellStyle name="Migliaia 8 4 2 4" xfId="38619" xr:uid="{00000000-0005-0000-0000-000095880000}"/>
    <cellStyle name="Migliaia 8 4 3" xfId="20719" xr:uid="{00000000-0005-0000-0000-000096880000}"/>
    <cellStyle name="Migliaia 8 4 3 2" xfId="38036" xr:uid="{00000000-0005-0000-0000-000097880000}"/>
    <cellStyle name="Migliaia 8 4 3 3" xfId="38991" xr:uid="{00000000-0005-0000-0000-000098880000}"/>
    <cellStyle name="Migliaia 8 4 4" xfId="19699" xr:uid="{00000000-0005-0000-0000-000099880000}"/>
    <cellStyle name="Migliaia 8 4 4 2" xfId="37663" xr:uid="{00000000-0005-0000-0000-00009A880000}"/>
    <cellStyle name="Migliaia 8 4 5" xfId="11698" xr:uid="{00000000-0005-0000-0000-00009B880000}"/>
    <cellStyle name="Migliaia 8 4 6" xfId="21768" xr:uid="{00000000-0005-0000-0000-00009C880000}"/>
    <cellStyle name="Migliaia 8 4 7" xfId="38618" xr:uid="{00000000-0005-0000-0000-00009D880000}"/>
    <cellStyle name="Migliaia 8 4 8" xfId="39921" xr:uid="{00000000-0005-0000-0000-00009E880000}"/>
    <cellStyle name="Migliaia 8 4 9" xfId="40407" xr:uid="{00000000-0005-0000-0000-00009F880000}"/>
    <cellStyle name="Migliaia 8 5" xfId="839" xr:uid="{00000000-0005-0000-0000-0000A0880000}"/>
    <cellStyle name="Migliaia 8 5 2" xfId="19701" xr:uid="{00000000-0005-0000-0000-0000A1880000}"/>
    <cellStyle name="Migliaia 8 5 2 2" xfId="37665" xr:uid="{00000000-0005-0000-0000-0000A2880000}"/>
    <cellStyle name="Migliaia 8 5 3" xfId="11699" xr:uid="{00000000-0005-0000-0000-0000A3880000}"/>
    <cellStyle name="Migliaia 8 5 4" xfId="21769" xr:uid="{00000000-0005-0000-0000-0000A4880000}"/>
    <cellStyle name="Migliaia 8 5 5" xfId="38620" xr:uid="{00000000-0005-0000-0000-0000A5880000}"/>
    <cellStyle name="Migliaia 8 5 6" xfId="39922" xr:uid="{00000000-0005-0000-0000-0000A6880000}"/>
    <cellStyle name="Migliaia 8 5 7" xfId="40408" xr:uid="{00000000-0005-0000-0000-0000A7880000}"/>
    <cellStyle name="Migliaia 8 6" xfId="840" xr:uid="{00000000-0005-0000-0000-0000A8880000}"/>
    <cellStyle name="Migliaia 8 6 2" xfId="11694" xr:uid="{00000000-0005-0000-0000-0000A9880000}"/>
    <cellStyle name="Migliaia 8 6 3" xfId="21770" xr:uid="{00000000-0005-0000-0000-0000AA880000}"/>
    <cellStyle name="Migliaia 8 6 4" xfId="39923" xr:uid="{00000000-0005-0000-0000-0000AB880000}"/>
    <cellStyle name="Migliaia 8 6 5" xfId="40409" xr:uid="{00000000-0005-0000-0000-0000AC880000}"/>
    <cellStyle name="Migliaia 8 7" xfId="12259" xr:uid="{00000000-0005-0000-0000-0000AD880000}"/>
    <cellStyle name="Migliaia 8 7 2" xfId="30444" xr:uid="{00000000-0005-0000-0000-0000AE880000}"/>
    <cellStyle name="Migliaia 8 8" xfId="19694" xr:uid="{00000000-0005-0000-0000-0000AF880000}"/>
    <cellStyle name="Migliaia 8 8 2" xfId="37658" xr:uid="{00000000-0005-0000-0000-0000B0880000}"/>
    <cellStyle name="Migliaia 8 9" xfId="3439" xr:uid="{00000000-0005-0000-0000-0000B1880000}"/>
    <cellStyle name="Migliaia 8 9 2" xfId="23439" xr:uid="{00000000-0005-0000-0000-0000B2880000}"/>
    <cellStyle name="Migliaia 9" xfId="841" xr:uid="{00000000-0005-0000-0000-0000B3880000}"/>
    <cellStyle name="Migliaia 9 10" xfId="21771" xr:uid="{00000000-0005-0000-0000-0000B4880000}"/>
    <cellStyle name="Migliaia 9 11" xfId="38621" xr:uid="{00000000-0005-0000-0000-0000B5880000}"/>
    <cellStyle name="Migliaia 9 12" xfId="39347" xr:uid="{00000000-0005-0000-0000-0000B6880000}"/>
    <cellStyle name="Migliaia 9 13" xfId="39924" xr:uid="{00000000-0005-0000-0000-0000B7880000}"/>
    <cellStyle name="Migliaia 9 14" xfId="40410" xr:uid="{00000000-0005-0000-0000-0000B8880000}"/>
    <cellStyle name="Migliaia 9 2" xfId="842" xr:uid="{00000000-0005-0000-0000-0000B9880000}"/>
    <cellStyle name="Migliaia 9 2 10" xfId="39925" xr:uid="{00000000-0005-0000-0000-0000BA880000}"/>
    <cellStyle name="Migliaia 9 2 11" xfId="40411" xr:uid="{00000000-0005-0000-0000-0000BB880000}"/>
    <cellStyle name="Migliaia 9 2 2" xfId="3598" xr:uid="{00000000-0005-0000-0000-0000BC880000}"/>
    <cellStyle name="Migliaia 9 2 2 2" xfId="12359" xr:uid="{00000000-0005-0000-0000-0000BD880000}"/>
    <cellStyle name="Migliaia 9 2 2 2 2" xfId="30529" xr:uid="{00000000-0005-0000-0000-0000BE880000}"/>
    <cellStyle name="Migliaia 9 2 2 3" xfId="20721" xr:uid="{00000000-0005-0000-0000-0000BF880000}"/>
    <cellStyle name="Migliaia 9 2 2 3 2" xfId="38038" xr:uid="{00000000-0005-0000-0000-0000C0880000}"/>
    <cellStyle name="Migliaia 9 2 2 4" xfId="23527" xr:uid="{00000000-0005-0000-0000-0000C1880000}"/>
    <cellStyle name="Migliaia 9 2 2 5" xfId="38993" xr:uid="{00000000-0005-0000-0000-0000C2880000}"/>
    <cellStyle name="Migliaia 9 2 2 6" xfId="39443" xr:uid="{00000000-0005-0000-0000-0000C3880000}"/>
    <cellStyle name="Migliaia 9 2 3" xfId="11701" xr:uid="{00000000-0005-0000-0000-0000C4880000}"/>
    <cellStyle name="Migliaia 9 2 4" xfId="12264" xr:uid="{00000000-0005-0000-0000-0000C5880000}"/>
    <cellStyle name="Migliaia 9 2 4 2" xfId="30449" xr:uid="{00000000-0005-0000-0000-0000C6880000}"/>
    <cellStyle name="Migliaia 9 2 5" xfId="19703" xr:uid="{00000000-0005-0000-0000-0000C7880000}"/>
    <cellStyle name="Migliaia 9 2 5 2" xfId="37667" xr:uid="{00000000-0005-0000-0000-0000C8880000}"/>
    <cellStyle name="Migliaia 9 2 6" xfId="3444" xr:uid="{00000000-0005-0000-0000-0000C9880000}"/>
    <cellStyle name="Migliaia 9 2 6 2" xfId="23444" xr:uid="{00000000-0005-0000-0000-0000CA880000}"/>
    <cellStyle name="Migliaia 9 2 7" xfId="21772" xr:uid="{00000000-0005-0000-0000-0000CB880000}"/>
    <cellStyle name="Migliaia 9 2 8" xfId="38622" xr:uid="{00000000-0005-0000-0000-0000CC880000}"/>
    <cellStyle name="Migliaia 9 2 9" xfId="39348" xr:uid="{00000000-0005-0000-0000-0000CD880000}"/>
    <cellStyle name="Migliaia 9 3" xfId="843" xr:uid="{00000000-0005-0000-0000-0000CE880000}"/>
    <cellStyle name="Migliaia 9 3 10" xfId="39926" xr:uid="{00000000-0005-0000-0000-0000CF880000}"/>
    <cellStyle name="Migliaia 9 3 11" xfId="40412" xr:uid="{00000000-0005-0000-0000-0000D0880000}"/>
    <cellStyle name="Migliaia 9 3 2" xfId="844" xr:uid="{00000000-0005-0000-0000-0000D1880000}"/>
    <cellStyle name="Migliaia 9 3 2 10" xfId="40413" xr:uid="{00000000-0005-0000-0000-0000D2880000}"/>
    <cellStyle name="Migliaia 9 3 2 2" xfId="11703" xr:uid="{00000000-0005-0000-0000-0000D3880000}"/>
    <cellStyle name="Migliaia 9 3 2 3" xfId="12266" xr:uid="{00000000-0005-0000-0000-0000D4880000}"/>
    <cellStyle name="Migliaia 9 3 2 3 2" xfId="30451" xr:uid="{00000000-0005-0000-0000-0000D5880000}"/>
    <cellStyle name="Migliaia 9 3 2 4" xfId="19705" xr:uid="{00000000-0005-0000-0000-0000D6880000}"/>
    <cellStyle name="Migliaia 9 3 2 4 2" xfId="37669" xr:uid="{00000000-0005-0000-0000-0000D7880000}"/>
    <cellStyle name="Migliaia 9 3 2 5" xfId="3446" xr:uid="{00000000-0005-0000-0000-0000D8880000}"/>
    <cellStyle name="Migliaia 9 3 2 5 2" xfId="23446" xr:uid="{00000000-0005-0000-0000-0000D9880000}"/>
    <cellStyle name="Migliaia 9 3 2 6" xfId="21774" xr:uid="{00000000-0005-0000-0000-0000DA880000}"/>
    <cellStyle name="Migliaia 9 3 2 7" xfId="38624" xr:uid="{00000000-0005-0000-0000-0000DB880000}"/>
    <cellStyle name="Migliaia 9 3 2 8" xfId="39350" xr:uid="{00000000-0005-0000-0000-0000DC880000}"/>
    <cellStyle name="Migliaia 9 3 2 9" xfId="39927" xr:uid="{00000000-0005-0000-0000-0000DD880000}"/>
    <cellStyle name="Migliaia 9 3 3" xfId="11702" xr:uid="{00000000-0005-0000-0000-0000DE880000}"/>
    <cellStyle name="Migliaia 9 3 3 2" xfId="20723" xr:uid="{00000000-0005-0000-0000-0000DF880000}"/>
    <cellStyle name="Migliaia 9 3 3 2 2" xfId="38040" xr:uid="{00000000-0005-0000-0000-0000E0880000}"/>
    <cellStyle name="Migliaia 9 3 3 2 3" xfId="38995" xr:uid="{00000000-0005-0000-0000-0000E1880000}"/>
    <cellStyle name="Migliaia 9 3 3 3" xfId="19706" xr:uid="{00000000-0005-0000-0000-0000E2880000}"/>
    <cellStyle name="Migliaia 9 3 3 3 2" xfId="37670" xr:uid="{00000000-0005-0000-0000-0000E3880000}"/>
    <cellStyle name="Migliaia 9 3 3 4" xfId="38625" xr:uid="{00000000-0005-0000-0000-0000E4880000}"/>
    <cellStyle name="Migliaia 9 3 4" xfId="12265" xr:uid="{00000000-0005-0000-0000-0000E5880000}"/>
    <cellStyle name="Migliaia 9 3 4 2" xfId="20722" xr:uid="{00000000-0005-0000-0000-0000E6880000}"/>
    <cellStyle name="Migliaia 9 3 4 2 2" xfId="38039" xr:uid="{00000000-0005-0000-0000-0000E7880000}"/>
    <cellStyle name="Migliaia 9 3 4 3" xfId="30450" xr:uid="{00000000-0005-0000-0000-0000E8880000}"/>
    <cellStyle name="Migliaia 9 3 4 4" xfId="38994" xr:uid="{00000000-0005-0000-0000-0000E9880000}"/>
    <cellStyle name="Migliaia 9 3 5" xfId="19704" xr:uid="{00000000-0005-0000-0000-0000EA880000}"/>
    <cellStyle name="Migliaia 9 3 5 2" xfId="37668" xr:uid="{00000000-0005-0000-0000-0000EB880000}"/>
    <cellStyle name="Migliaia 9 3 6" xfId="3445" xr:uid="{00000000-0005-0000-0000-0000EC880000}"/>
    <cellStyle name="Migliaia 9 3 6 2" xfId="23445" xr:uid="{00000000-0005-0000-0000-0000ED880000}"/>
    <cellStyle name="Migliaia 9 3 7" xfId="21773" xr:uid="{00000000-0005-0000-0000-0000EE880000}"/>
    <cellStyle name="Migliaia 9 3 8" xfId="38623" xr:uid="{00000000-0005-0000-0000-0000EF880000}"/>
    <cellStyle name="Migliaia 9 3 9" xfId="39349" xr:uid="{00000000-0005-0000-0000-0000F0880000}"/>
    <cellStyle name="Migliaia 9 4" xfId="845" xr:uid="{00000000-0005-0000-0000-0000F1880000}"/>
    <cellStyle name="Migliaia 9 4 2" xfId="19708" xr:uid="{00000000-0005-0000-0000-0000F2880000}"/>
    <cellStyle name="Migliaia 9 4 2 2" xfId="20725" xr:uid="{00000000-0005-0000-0000-0000F3880000}"/>
    <cellStyle name="Migliaia 9 4 2 2 2" xfId="38042" xr:uid="{00000000-0005-0000-0000-0000F4880000}"/>
    <cellStyle name="Migliaia 9 4 2 2 3" xfId="38997" xr:uid="{00000000-0005-0000-0000-0000F5880000}"/>
    <cellStyle name="Migliaia 9 4 2 3" xfId="37672" xr:uid="{00000000-0005-0000-0000-0000F6880000}"/>
    <cellStyle name="Migliaia 9 4 2 4" xfId="38627" xr:uid="{00000000-0005-0000-0000-0000F7880000}"/>
    <cellStyle name="Migliaia 9 4 3" xfId="20724" xr:uid="{00000000-0005-0000-0000-0000F8880000}"/>
    <cellStyle name="Migliaia 9 4 3 2" xfId="38041" xr:uid="{00000000-0005-0000-0000-0000F9880000}"/>
    <cellStyle name="Migliaia 9 4 3 3" xfId="38996" xr:uid="{00000000-0005-0000-0000-0000FA880000}"/>
    <cellStyle name="Migliaia 9 4 4" xfId="19707" xr:uid="{00000000-0005-0000-0000-0000FB880000}"/>
    <cellStyle name="Migliaia 9 4 4 2" xfId="37671" xr:uid="{00000000-0005-0000-0000-0000FC880000}"/>
    <cellStyle name="Migliaia 9 4 5" xfId="11704" xr:uid="{00000000-0005-0000-0000-0000FD880000}"/>
    <cellStyle name="Migliaia 9 4 6" xfId="21775" xr:uid="{00000000-0005-0000-0000-0000FE880000}"/>
    <cellStyle name="Migliaia 9 4 7" xfId="38626" xr:uid="{00000000-0005-0000-0000-0000FF880000}"/>
    <cellStyle name="Migliaia 9 4 8" xfId="39928" xr:uid="{00000000-0005-0000-0000-000000890000}"/>
    <cellStyle name="Migliaia 9 4 9" xfId="40414" xr:uid="{00000000-0005-0000-0000-000001890000}"/>
    <cellStyle name="Migliaia 9 5" xfId="846" xr:uid="{00000000-0005-0000-0000-000002890000}"/>
    <cellStyle name="Migliaia 9 5 2" xfId="19709" xr:uid="{00000000-0005-0000-0000-000003890000}"/>
    <cellStyle name="Migliaia 9 5 2 2" xfId="37673" xr:uid="{00000000-0005-0000-0000-000004890000}"/>
    <cellStyle name="Migliaia 9 5 3" xfId="11705" xr:uid="{00000000-0005-0000-0000-000005890000}"/>
    <cellStyle name="Migliaia 9 5 4" xfId="21776" xr:uid="{00000000-0005-0000-0000-000006890000}"/>
    <cellStyle name="Migliaia 9 5 5" xfId="38628" xr:uid="{00000000-0005-0000-0000-000007890000}"/>
    <cellStyle name="Migliaia 9 5 6" xfId="39929" xr:uid="{00000000-0005-0000-0000-000008890000}"/>
    <cellStyle name="Migliaia 9 5 7" xfId="40415" xr:uid="{00000000-0005-0000-0000-000009890000}"/>
    <cellStyle name="Migliaia 9 6" xfId="847" xr:uid="{00000000-0005-0000-0000-00000A890000}"/>
    <cellStyle name="Migliaia 9 6 2" xfId="11700" xr:uid="{00000000-0005-0000-0000-00000B890000}"/>
    <cellStyle name="Migliaia 9 6 3" xfId="21777" xr:uid="{00000000-0005-0000-0000-00000C890000}"/>
    <cellStyle name="Migliaia 9 6 4" xfId="39930" xr:uid="{00000000-0005-0000-0000-00000D890000}"/>
    <cellStyle name="Migliaia 9 6 5" xfId="40416" xr:uid="{00000000-0005-0000-0000-00000E890000}"/>
    <cellStyle name="Migliaia 9 7" xfId="12263" xr:uid="{00000000-0005-0000-0000-00000F890000}"/>
    <cellStyle name="Migliaia 9 7 2" xfId="30448" xr:uid="{00000000-0005-0000-0000-000010890000}"/>
    <cellStyle name="Migliaia 9 8" xfId="19702" xr:uid="{00000000-0005-0000-0000-000011890000}"/>
    <cellStyle name="Migliaia 9 8 2" xfId="37666" xr:uid="{00000000-0005-0000-0000-000012890000}"/>
    <cellStyle name="Migliaia 9 9" xfId="3443" xr:uid="{00000000-0005-0000-0000-000013890000}"/>
    <cellStyle name="Migliaia 9 9 2" xfId="23443" xr:uid="{00000000-0005-0000-0000-000014890000}"/>
    <cellStyle name="Neutral" xfId="3110" builtinId="28" customBuiltin="1"/>
    <cellStyle name="Neutral 2" xfId="2154" xr:uid="{00000000-0005-0000-0000-000016890000}"/>
    <cellStyle name="Neutral 2 2" xfId="7375" xr:uid="{00000000-0005-0000-0000-000017890000}"/>
    <cellStyle name="Neutral 3" xfId="7376" xr:uid="{00000000-0005-0000-0000-000018890000}"/>
    <cellStyle name="Neutral 4" xfId="7377" xr:uid="{00000000-0005-0000-0000-000019890000}"/>
    <cellStyle name="Neutral 5" xfId="7378" xr:uid="{00000000-0005-0000-0000-00001A890000}"/>
    <cellStyle name="Neutral 5 2" xfId="9316" xr:uid="{00000000-0005-0000-0000-00001B890000}"/>
    <cellStyle name="Neutral 6" xfId="7605" xr:uid="{00000000-0005-0000-0000-00001C890000}"/>
    <cellStyle name="Neutral 7" xfId="7374" xr:uid="{00000000-0005-0000-0000-00001D890000}"/>
    <cellStyle name="Neutrale" xfId="848" xr:uid="{00000000-0005-0000-0000-00001E890000}"/>
    <cellStyle name="New prices" xfId="3457" xr:uid="{00000000-0005-0000-0000-00001F890000}"/>
    <cellStyle name="Normal" xfId="0" builtinId="0"/>
    <cellStyle name="Normal 10" xfId="849" xr:uid="{00000000-0005-0000-0000-000021890000}"/>
    <cellStyle name="Normal 10 2" xfId="2155" xr:uid="{00000000-0005-0000-0000-000022890000}"/>
    <cellStyle name="Normal 10 2 2" xfId="2156" xr:uid="{00000000-0005-0000-0000-000023890000}"/>
    <cellStyle name="Normal 10 2 2 2" xfId="2157" xr:uid="{00000000-0005-0000-0000-000024890000}"/>
    <cellStyle name="Normal 10 2 2 2 2" xfId="22217" xr:uid="{00000000-0005-0000-0000-000025890000}"/>
    <cellStyle name="Normal 10 2 2 3" xfId="11090" xr:uid="{00000000-0005-0000-0000-000026890000}"/>
    <cellStyle name="Normal 10 2 2 4" xfId="22216" xr:uid="{00000000-0005-0000-0000-000027890000}"/>
    <cellStyle name="Normal 10 2 3" xfId="2158" xr:uid="{00000000-0005-0000-0000-000028890000}"/>
    <cellStyle name="Normal 10 2 3 2" xfId="2159" xr:uid="{00000000-0005-0000-0000-000029890000}"/>
    <cellStyle name="Normal 10 2 3 2 2" xfId="22219" xr:uid="{00000000-0005-0000-0000-00002A890000}"/>
    <cellStyle name="Normal 10 2 3 3" xfId="7380" xr:uid="{00000000-0005-0000-0000-00002B890000}"/>
    <cellStyle name="Normal 10 2 3 4" xfId="22218" xr:uid="{00000000-0005-0000-0000-00002C890000}"/>
    <cellStyle name="Normal 10 2 4" xfId="2160" xr:uid="{00000000-0005-0000-0000-00002D890000}"/>
    <cellStyle name="Normal 10 2 4 2" xfId="18954" xr:uid="{00000000-0005-0000-0000-00002E890000}"/>
    <cellStyle name="Normal 10 2 4 2 2" xfId="37113" xr:uid="{00000000-0005-0000-0000-00002F890000}"/>
    <cellStyle name="Normal 10 2 4 3" xfId="11180" xr:uid="{00000000-0005-0000-0000-000030890000}"/>
    <cellStyle name="Normal 10 2 4 3 2" xfId="30112" xr:uid="{00000000-0005-0000-0000-000031890000}"/>
    <cellStyle name="Normal 10 2 4 4" xfId="22220" xr:uid="{00000000-0005-0000-0000-000032890000}"/>
    <cellStyle name="Normal 10 2 5" xfId="12293" xr:uid="{00000000-0005-0000-0000-000033890000}"/>
    <cellStyle name="Normal 10 2 5 2" xfId="30464" xr:uid="{00000000-0005-0000-0000-000034890000}"/>
    <cellStyle name="Normal 10 2 6" xfId="3473" xr:uid="{00000000-0005-0000-0000-000035890000}"/>
    <cellStyle name="Normal 10 2 6 2" xfId="23462" xr:uid="{00000000-0005-0000-0000-000036890000}"/>
    <cellStyle name="Normal 10 2 7" xfId="22215" xr:uid="{00000000-0005-0000-0000-000037890000}"/>
    <cellStyle name="Normal 10 2 8" xfId="39378" xr:uid="{00000000-0005-0000-0000-000038890000}"/>
    <cellStyle name="Normal 10 3" xfId="2161" xr:uid="{00000000-0005-0000-0000-000039890000}"/>
    <cellStyle name="Normal 10 3 2" xfId="2162" xr:uid="{00000000-0005-0000-0000-00003A890000}"/>
    <cellStyle name="Normal 10 3 2 2" xfId="18844" xr:uid="{00000000-0005-0000-0000-00003B890000}"/>
    <cellStyle name="Normal 10 3 2 2 2" xfId="37004" xr:uid="{00000000-0005-0000-0000-00003C890000}"/>
    <cellStyle name="Normal 10 3 2 3" xfId="10965" xr:uid="{00000000-0005-0000-0000-00003D890000}"/>
    <cellStyle name="Normal 10 3 2 3 2" xfId="30003" xr:uid="{00000000-0005-0000-0000-00003E890000}"/>
    <cellStyle name="Normal 10 3 2 4" xfId="22222" xr:uid="{00000000-0005-0000-0000-00003F890000}"/>
    <cellStyle name="Normal 10 3 3" xfId="7381" xr:uid="{00000000-0005-0000-0000-000040890000}"/>
    <cellStyle name="Normal 10 3 3 2" xfId="15490" xr:uid="{00000000-0005-0000-0000-000041890000}"/>
    <cellStyle name="Normal 10 3 3 2 2" xfId="33656" xr:uid="{00000000-0005-0000-0000-000042890000}"/>
    <cellStyle name="Normal 10 3 3 3" xfId="26654" xr:uid="{00000000-0005-0000-0000-000043890000}"/>
    <cellStyle name="Normal 10 3 4" xfId="21224" xr:uid="{00000000-0005-0000-0000-000044890000}"/>
    <cellStyle name="Normal 10 3 5" xfId="3599" xr:uid="{00000000-0005-0000-0000-000045890000}"/>
    <cellStyle name="Normal 10 3 6" xfId="22221" xr:uid="{00000000-0005-0000-0000-000046890000}"/>
    <cellStyle name="Normal 10 4" xfId="2163" xr:uid="{00000000-0005-0000-0000-000047890000}"/>
    <cellStyle name="Normal 10 4 2" xfId="2164" xr:uid="{00000000-0005-0000-0000-000048890000}"/>
    <cellStyle name="Normal 10 4 2 2" xfId="16230" xr:uid="{00000000-0005-0000-0000-000049890000}"/>
    <cellStyle name="Normal 10 4 2 2 2" xfId="34390" xr:uid="{00000000-0005-0000-0000-00004A890000}"/>
    <cellStyle name="Normal 10 4 2 3" xfId="22224" xr:uid="{00000000-0005-0000-0000-00004B890000}"/>
    <cellStyle name="Normal 10 4 3" xfId="8313" xr:uid="{00000000-0005-0000-0000-00004C890000}"/>
    <cellStyle name="Normal 10 4 3 2" xfId="27389" xr:uid="{00000000-0005-0000-0000-00004D890000}"/>
    <cellStyle name="Normal 10 4 4" xfId="22223" xr:uid="{00000000-0005-0000-0000-00004E890000}"/>
    <cellStyle name="Normal 10 5" xfId="2165" xr:uid="{00000000-0005-0000-0000-00004F890000}"/>
    <cellStyle name="Normal 10 5 2" xfId="2166" xr:uid="{00000000-0005-0000-0000-000050890000}"/>
    <cellStyle name="Normal 10 5 2 2" xfId="15489" xr:uid="{00000000-0005-0000-0000-000051890000}"/>
    <cellStyle name="Normal 10 5 2 2 2" xfId="33655" xr:uid="{00000000-0005-0000-0000-000052890000}"/>
    <cellStyle name="Normal 10 5 2 3" xfId="22226" xr:uid="{00000000-0005-0000-0000-000053890000}"/>
    <cellStyle name="Normal 10 5 3" xfId="7379" xr:uid="{00000000-0005-0000-0000-000054890000}"/>
    <cellStyle name="Normal 10 5 3 2" xfId="26653" xr:uid="{00000000-0005-0000-0000-000055890000}"/>
    <cellStyle name="Normal 10 5 4" xfId="22225" xr:uid="{00000000-0005-0000-0000-000056890000}"/>
    <cellStyle name="Normal 10 6" xfId="2167" xr:uid="{00000000-0005-0000-0000-000057890000}"/>
    <cellStyle name="Normal 10 6 2" xfId="22227" xr:uid="{00000000-0005-0000-0000-000058890000}"/>
    <cellStyle name="Normal 11" xfId="2168" xr:uid="{00000000-0005-0000-0000-000059890000}"/>
    <cellStyle name="Normal 11 10" xfId="38634" xr:uid="{00000000-0005-0000-0000-00005A890000}"/>
    <cellStyle name="Normal 11 2" xfId="2169" xr:uid="{00000000-0005-0000-0000-00005B890000}"/>
    <cellStyle name="Normal 11 2 2" xfId="2170" xr:uid="{00000000-0005-0000-0000-00005C890000}"/>
    <cellStyle name="Normal 11 2 2 2" xfId="2171" xr:uid="{00000000-0005-0000-0000-00005D890000}"/>
    <cellStyle name="Normal 11 2 2 2 2" xfId="21217" xr:uid="{00000000-0005-0000-0000-00005E890000}"/>
    <cellStyle name="Normal 11 2 2 2 2 2" xfId="38068" xr:uid="{00000000-0005-0000-0000-00005F890000}"/>
    <cellStyle name="Normal 11 2 2 2 3" xfId="22231" xr:uid="{00000000-0005-0000-0000-000060890000}"/>
    <cellStyle name="Normal 11 2 2 3" xfId="11091" xr:uid="{00000000-0005-0000-0000-000061890000}"/>
    <cellStyle name="Normal 11 2 2 4" xfId="22230" xr:uid="{00000000-0005-0000-0000-000062890000}"/>
    <cellStyle name="Normal 11 2 2 5" xfId="39023" xr:uid="{00000000-0005-0000-0000-000063890000}"/>
    <cellStyle name="Normal 11 2 3" xfId="2172" xr:uid="{00000000-0005-0000-0000-000064890000}"/>
    <cellStyle name="Normal 11 2 3 2" xfId="2173" xr:uid="{00000000-0005-0000-0000-000065890000}"/>
    <cellStyle name="Normal 11 2 3 2 2" xfId="22233" xr:uid="{00000000-0005-0000-0000-000066890000}"/>
    <cellStyle name="Normal 11 2 3 3" xfId="21170" xr:uid="{00000000-0005-0000-0000-000067890000}"/>
    <cellStyle name="Normal 11 2 3 3 2" xfId="38048" xr:uid="{00000000-0005-0000-0000-000068890000}"/>
    <cellStyle name="Normal 11 2 3 4" xfId="22232" xr:uid="{00000000-0005-0000-0000-000069890000}"/>
    <cellStyle name="Normal 11 2 4" xfId="2174" xr:uid="{00000000-0005-0000-0000-00006A890000}"/>
    <cellStyle name="Normal 11 2 4 2" xfId="2175" xr:uid="{00000000-0005-0000-0000-00006B890000}"/>
    <cellStyle name="Normal 11 2 4 2 2" xfId="22235" xr:uid="{00000000-0005-0000-0000-00006C890000}"/>
    <cellStyle name="Normal 11 2 4 3" xfId="22234" xr:uid="{00000000-0005-0000-0000-00006D890000}"/>
    <cellStyle name="Normal 11 2 5" xfId="2176" xr:uid="{00000000-0005-0000-0000-00006E890000}"/>
    <cellStyle name="Normal 11 2 5 2" xfId="22236" xr:uid="{00000000-0005-0000-0000-00006F890000}"/>
    <cellStyle name="Normal 11 2 6" xfId="7383" xr:uid="{00000000-0005-0000-0000-000070890000}"/>
    <cellStyle name="Normal 11 2 7" xfId="22229" xr:uid="{00000000-0005-0000-0000-000071890000}"/>
    <cellStyle name="Normal 11 2 8" xfId="39003" xr:uid="{00000000-0005-0000-0000-000072890000}"/>
    <cellStyle name="Normal 11 3" xfId="2177" xr:uid="{00000000-0005-0000-0000-000073890000}"/>
    <cellStyle name="Normal 11 3 2" xfId="2178" xr:uid="{00000000-0005-0000-0000-000074890000}"/>
    <cellStyle name="Normal 11 3 2 2" xfId="2179" xr:uid="{00000000-0005-0000-0000-000075890000}"/>
    <cellStyle name="Normal 11 3 2 2 2" xfId="18732" xr:uid="{00000000-0005-0000-0000-000076890000}"/>
    <cellStyle name="Normal 11 3 2 2 2 2" xfId="36892" xr:uid="{00000000-0005-0000-0000-000077890000}"/>
    <cellStyle name="Normal 11 3 2 2 3" xfId="10849" xr:uid="{00000000-0005-0000-0000-000078890000}"/>
    <cellStyle name="Normal 11 3 2 2 3 2" xfId="29891" xr:uid="{00000000-0005-0000-0000-000079890000}"/>
    <cellStyle name="Normal 11 3 2 2 4" xfId="22239" xr:uid="{00000000-0005-0000-0000-00007A890000}"/>
    <cellStyle name="Normal 11 3 2 3" xfId="15492" xr:uid="{00000000-0005-0000-0000-00007B890000}"/>
    <cellStyle name="Normal 11 3 2 3 2" xfId="33658" xr:uid="{00000000-0005-0000-0000-00007C890000}"/>
    <cellStyle name="Normal 11 3 2 4" xfId="7385" xr:uid="{00000000-0005-0000-0000-00007D890000}"/>
    <cellStyle name="Normal 11 3 2 4 2" xfId="26656" xr:uid="{00000000-0005-0000-0000-00007E890000}"/>
    <cellStyle name="Normal 11 3 2 5" xfId="22238" xr:uid="{00000000-0005-0000-0000-00007F890000}"/>
    <cellStyle name="Normal 11 3 3" xfId="2180" xr:uid="{00000000-0005-0000-0000-000080890000}"/>
    <cellStyle name="Normal 11 3 3 2" xfId="2181" xr:uid="{00000000-0005-0000-0000-000081890000}"/>
    <cellStyle name="Normal 11 3 3 2 2" xfId="16231" xr:uid="{00000000-0005-0000-0000-000082890000}"/>
    <cellStyle name="Normal 11 3 3 2 2 2" xfId="34391" xr:uid="{00000000-0005-0000-0000-000083890000}"/>
    <cellStyle name="Normal 11 3 3 2 3" xfId="22241" xr:uid="{00000000-0005-0000-0000-000084890000}"/>
    <cellStyle name="Normal 11 3 3 3" xfId="8314" xr:uid="{00000000-0005-0000-0000-000085890000}"/>
    <cellStyle name="Normal 11 3 3 3 2" xfId="27390" xr:uid="{00000000-0005-0000-0000-000086890000}"/>
    <cellStyle name="Normal 11 3 3 4" xfId="22240" xr:uid="{00000000-0005-0000-0000-000087890000}"/>
    <cellStyle name="Normal 11 3 4" xfId="2182" xr:uid="{00000000-0005-0000-0000-000088890000}"/>
    <cellStyle name="Normal 11 3 4 2" xfId="15491" xr:uid="{00000000-0005-0000-0000-000089890000}"/>
    <cellStyle name="Normal 11 3 4 2 2" xfId="33657" xr:uid="{00000000-0005-0000-0000-00008A890000}"/>
    <cellStyle name="Normal 11 3 4 3" xfId="22242" xr:uid="{00000000-0005-0000-0000-00008B890000}"/>
    <cellStyle name="Normal 11 3 5" xfId="21198" xr:uid="{00000000-0005-0000-0000-00008C890000}"/>
    <cellStyle name="Normal 11 3 5 2" xfId="38058" xr:uid="{00000000-0005-0000-0000-00008D890000}"/>
    <cellStyle name="Normal 11 3 6" xfId="7384" xr:uid="{00000000-0005-0000-0000-00008E890000}"/>
    <cellStyle name="Normal 11 3 6 2" xfId="26655" xr:uid="{00000000-0005-0000-0000-00008F890000}"/>
    <cellStyle name="Normal 11 3 7" xfId="22237" xr:uid="{00000000-0005-0000-0000-000090890000}"/>
    <cellStyle name="Normal 11 3 8" xfId="39013" xr:uid="{00000000-0005-0000-0000-000091890000}"/>
    <cellStyle name="Normal 11 4" xfId="2183" xr:uid="{00000000-0005-0000-0000-000092890000}"/>
    <cellStyle name="Normal 11 4 2" xfId="2184" xr:uid="{00000000-0005-0000-0000-000093890000}"/>
    <cellStyle name="Normal 11 4 2 2" xfId="22244" xr:uid="{00000000-0005-0000-0000-000094890000}"/>
    <cellStyle name="Normal 11 4 3" xfId="7382" xr:uid="{00000000-0005-0000-0000-000095890000}"/>
    <cellStyle name="Normal 11 4 4" xfId="22243" xr:uid="{00000000-0005-0000-0000-000096890000}"/>
    <cellStyle name="Normal 11 5" xfId="2185" xr:uid="{00000000-0005-0000-0000-000097890000}"/>
    <cellStyle name="Normal 11 5 2" xfId="2186" xr:uid="{00000000-0005-0000-0000-000098890000}"/>
    <cellStyle name="Normal 11 5 2 2" xfId="22246" xr:uid="{00000000-0005-0000-0000-000099890000}"/>
    <cellStyle name="Normal 11 5 3" xfId="20167" xr:uid="{00000000-0005-0000-0000-00009A890000}"/>
    <cellStyle name="Normal 11 5 3 2" xfId="37679" xr:uid="{00000000-0005-0000-0000-00009B890000}"/>
    <cellStyle name="Normal 11 5 4" xfId="22245" xr:uid="{00000000-0005-0000-0000-00009C890000}"/>
    <cellStyle name="Normal 11 6" xfId="2187" xr:uid="{00000000-0005-0000-0000-00009D890000}"/>
    <cellStyle name="Normal 11 6 2" xfId="2188" xr:uid="{00000000-0005-0000-0000-00009E890000}"/>
    <cellStyle name="Normal 11 6 2 2" xfId="22248" xr:uid="{00000000-0005-0000-0000-00009F890000}"/>
    <cellStyle name="Normal 11 6 3" xfId="22247" xr:uid="{00000000-0005-0000-0000-0000A0890000}"/>
    <cellStyle name="Normal 11 7" xfId="2189" xr:uid="{00000000-0005-0000-0000-0000A1890000}"/>
    <cellStyle name="Normal 11 7 2" xfId="22249" xr:uid="{00000000-0005-0000-0000-0000A2890000}"/>
    <cellStyle name="Normal 11 8" xfId="3476" xr:uid="{00000000-0005-0000-0000-0000A3890000}"/>
    <cellStyle name="Normal 11 9" xfId="22228" xr:uid="{00000000-0005-0000-0000-0000A4890000}"/>
    <cellStyle name="Normal 12" xfId="2190" xr:uid="{00000000-0005-0000-0000-0000A5890000}"/>
    <cellStyle name="Normal 12 2" xfId="2191" xr:uid="{00000000-0005-0000-0000-0000A6890000}"/>
    <cellStyle name="Normal 12 2 2" xfId="2192" xr:uid="{00000000-0005-0000-0000-0000A7890000}"/>
    <cellStyle name="Normal 12 2 2 2" xfId="2193" xr:uid="{00000000-0005-0000-0000-0000A8890000}"/>
    <cellStyle name="Normal 12 2 2 2 2" xfId="22253" xr:uid="{00000000-0005-0000-0000-0000A9890000}"/>
    <cellStyle name="Normal 12 2 2 3" xfId="11092" xr:uid="{00000000-0005-0000-0000-0000AA890000}"/>
    <cellStyle name="Normal 12 2 2 4" xfId="22252" xr:uid="{00000000-0005-0000-0000-0000AB890000}"/>
    <cellStyle name="Normal 12 2 3" xfId="2194" xr:uid="{00000000-0005-0000-0000-0000AC890000}"/>
    <cellStyle name="Normal 12 2 3 2" xfId="2195" xr:uid="{00000000-0005-0000-0000-0000AD890000}"/>
    <cellStyle name="Normal 12 2 3 2 2" xfId="22255" xr:uid="{00000000-0005-0000-0000-0000AE890000}"/>
    <cellStyle name="Normal 12 2 3 3" xfId="22254" xr:uid="{00000000-0005-0000-0000-0000AF890000}"/>
    <cellStyle name="Normal 12 2 4" xfId="2196" xr:uid="{00000000-0005-0000-0000-0000B0890000}"/>
    <cellStyle name="Normal 12 2 4 2" xfId="22256" xr:uid="{00000000-0005-0000-0000-0000B1890000}"/>
    <cellStyle name="Normal 12 2 5" xfId="7387" xr:uid="{00000000-0005-0000-0000-0000B2890000}"/>
    <cellStyle name="Normal 12 2 6" xfId="22251" xr:uid="{00000000-0005-0000-0000-0000B3890000}"/>
    <cellStyle name="Normal 12 3" xfId="2197" xr:uid="{00000000-0005-0000-0000-0000B4890000}"/>
    <cellStyle name="Normal 12 3 2" xfId="2198" xr:uid="{00000000-0005-0000-0000-0000B5890000}"/>
    <cellStyle name="Normal 12 3 2 2" xfId="18393" xr:uid="{00000000-0005-0000-0000-0000B6890000}"/>
    <cellStyle name="Normal 12 3 2 2 2" xfId="36553" xr:uid="{00000000-0005-0000-0000-0000B7890000}"/>
    <cellStyle name="Normal 12 3 2 3" xfId="10499" xr:uid="{00000000-0005-0000-0000-0000B8890000}"/>
    <cellStyle name="Normal 12 3 2 3 2" xfId="29552" xr:uid="{00000000-0005-0000-0000-0000B9890000}"/>
    <cellStyle name="Normal 12 3 2 4" xfId="22258" xr:uid="{00000000-0005-0000-0000-0000BA890000}"/>
    <cellStyle name="Normal 12 3 3" xfId="15494" xr:uid="{00000000-0005-0000-0000-0000BB890000}"/>
    <cellStyle name="Normal 12 3 3 2" xfId="33660" xr:uid="{00000000-0005-0000-0000-0000BC890000}"/>
    <cellStyle name="Normal 12 3 4" xfId="7388" xr:uid="{00000000-0005-0000-0000-0000BD890000}"/>
    <cellStyle name="Normal 12 3 4 2" xfId="26658" xr:uid="{00000000-0005-0000-0000-0000BE890000}"/>
    <cellStyle name="Normal 12 3 5" xfId="22257" xr:uid="{00000000-0005-0000-0000-0000BF890000}"/>
    <cellStyle name="Normal 12 4" xfId="2199" xr:uid="{00000000-0005-0000-0000-0000C0890000}"/>
    <cellStyle name="Normal 12 4 2" xfId="2200" xr:uid="{00000000-0005-0000-0000-0000C1890000}"/>
    <cellStyle name="Normal 12 4 2 2" xfId="16232" xr:uid="{00000000-0005-0000-0000-0000C2890000}"/>
    <cellStyle name="Normal 12 4 2 2 2" xfId="34392" xr:uid="{00000000-0005-0000-0000-0000C3890000}"/>
    <cellStyle name="Normal 12 4 2 3" xfId="22260" xr:uid="{00000000-0005-0000-0000-0000C4890000}"/>
    <cellStyle name="Normal 12 4 3" xfId="8315" xr:uid="{00000000-0005-0000-0000-0000C5890000}"/>
    <cellStyle name="Normal 12 4 3 2" xfId="27391" xr:uid="{00000000-0005-0000-0000-0000C6890000}"/>
    <cellStyle name="Normal 12 4 4" xfId="22259" xr:uid="{00000000-0005-0000-0000-0000C7890000}"/>
    <cellStyle name="Normal 12 5" xfId="2201" xr:uid="{00000000-0005-0000-0000-0000C8890000}"/>
    <cellStyle name="Normal 12 5 2" xfId="2202" xr:uid="{00000000-0005-0000-0000-0000C9890000}"/>
    <cellStyle name="Normal 12 5 2 2" xfId="22262" xr:uid="{00000000-0005-0000-0000-0000CA890000}"/>
    <cellStyle name="Normal 12 5 3" xfId="15493" xr:uid="{00000000-0005-0000-0000-0000CB890000}"/>
    <cellStyle name="Normal 12 5 3 2" xfId="33659" xr:uid="{00000000-0005-0000-0000-0000CC890000}"/>
    <cellStyle name="Normal 12 5 4" xfId="22261" xr:uid="{00000000-0005-0000-0000-0000CD890000}"/>
    <cellStyle name="Normal 12 6" xfId="2203" xr:uid="{00000000-0005-0000-0000-0000CE890000}"/>
    <cellStyle name="Normal 12 6 2" xfId="22263" xr:uid="{00000000-0005-0000-0000-0000CF890000}"/>
    <cellStyle name="Normal 12 7" xfId="7386" xr:uid="{00000000-0005-0000-0000-0000D0890000}"/>
    <cellStyle name="Normal 12 7 2" xfId="26657" xr:uid="{00000000-0005-0000-0000-0000D1890000}"/>
    <cellStyle name="Normal 12 8" xfId="22250" xr:uid="{00000000-0005-0000-0000-0000D2890000}"/>
    <cellStyle name="Normal 13" xfId="2204" xr:uid="{00000000-0005-0000-0000-0000D3890000}"/>
    <cellStyle name="Normal 13 2" xfId="2205" xr:uid="{00000000-0005-0000-0000-0000D4890000}"/>
    <cellStyle name="Normal 13 2 2" xfId="2206" xr:uid="{00000000-0005-0000-0000-0000D5890000}"/>
    <cellStyle name="Normal 13 2 2 2" xfId="2207" xr:uid="{00000000-0005-0000-0000-0000D6890000}"/>
    <cellStyle name="Normal 13 2 2 2 2" xfId="18328" xr:uid="{00000000-0005-0000-0000-0000D7890000}"/>
    <cellStyle name="Normal 13 2 2 2 2 2" xfId="36488" xr:uid="{00000000-0005-0000-0000-0000D8890000}"/>
    <cellStyle name="Normal 13 2 2 2 3" xfId="22267" xr:uid="{00000000-0005-0000-0000-0000D9890000}"/>
    <cellStyle name="Normal 13 2 2 3" xfId="10427" xr:uid="{00000000-0005-0000-0000-0000DA890000}"/>
    <cellStyle name="Normal 13 2 2 3 2" xfId="29487" xr:uid="{00000000-0005-0000-0000-0000DB890000}"/>
    <cellStyle name="Normal 13 2 2 4" xfId="22266" xr:uid="{00000000-0005-0000-0000-0000DC890000}"/>
    <cellStyle name="Normal 13 2 3" xfId="2208" xr:uid="{00000000-0005-0000-0000-0000DD890000}"/>
    <cellStyle name="Normal 13 2 3 2" xfId="2209" xr:uid="{00000000-0005-0000-0000-0000DE890000}"/>
    <cellStyle name="Normal 13 2 3 2 2" xfId="22269" xr:uid="{00000000-0005-0000-0000-0000DF890000}"/>
    <cellStyle name="Normal 13 2 3 3" xfId="15496" xr:uid="{00000000-0005-0000-0000-0000E0890000}"/>
    <cellStyle name="Normal 13 2 3 3 2" xfId="33662" xr:uid="{00000000-0005-0000-0000-0000E1890000}"/>
    <cellStyle name="Normal 13 2 3 4" xfId="22268" xr:uid="{00000000-0005-0000-0000-0000E2890000}"/>
    <cellStyle name="Normal 13 2 4" xfId="2210" xr:uid="{00000000-0005-0000-0000-0000E3890000}"/>
    <cellStyle name="Normal 13 2 4 2" xfId="22270" xr:uid="{00000000-0005-0000-0000-0000E4890000}"/>
    <cellStyle name="Normal 13 2 5" xfId="7390" xr:uid="{00000000-0005-0000-0000-0000E5890000}"/>
    <cellStyle name="Normal 13 2 5 2" xfId="26660" xr:uid="{00000000-0005-0000-0000-0000E6890000}"/>
    <cellStyle name="Normal 13 2 6" xfId="22265" xr:uid="{00000000-0005-0000-0000-0000E7890000}"/>
    <cellStyle name="Normal 13 3" xfId="2211" xr:uid="{00000000-0005-0000-0000-0000E8890000}"/>
    <cellStyle name="Normal 13 3 2" xfId="2212" xr:uid="{00000000-0005-0000-0000-0000E9890000}"/>
    <cellStyle name="Normal 13 3 2 2" xfId="17614" xr:uid="{00000000-0005-0000-0000-0000EA890000}"/>
    <cellStyle name="Normal 13 3 2 2 2" xfId="35774" xr:uid="{00000000-0005-0000-0000-0000EB890000}"/>
    <cellStyle name="Normal 13 3 2 3" xfId="9704" xr:uid="{00000000-0005-0000-0000-0000EC890000}"/>
    <cellStyle name="Normal 13 3 2 3 2" xfId="28773" xr:uid="{00000000-0005-0000-0000-0000ED890000}"/>
    <cellStyle name="Normal 13 3 2 4" xfId="22272" xr:uid="{00000000-0005-0000-0000-0000EE890000}"/>
    <cellStyle name="Normal 13 3 3" xfId="15497" xr:uid="{00000000-0005-0000-0000-0000EF890000}"/>
    <cellStyle name="Normal 13 3 3 2" xfId="33663" xr:uid="{00000000-0005-0000-0000-0000F0890000}"/>
    <cellStyle name="Normal 13 3 4" xfId="7391" xr:uid="{00000000-0005-0000-0000-0000F1890000}"/>
    <cellStyle name="Normal 13 3 4 2" xfId="26661" xr:uid="{00000000-0005-0000-0000-0000F2890000}"/>
    <cellStyle name="Normal 13 3 5" xfId="22271" xr:uid="{00000000-0005-0000-0000-0000F3890000}"/>
    <cellStyle name="Normal 13 4" xfId="2213" xr:uid="{00000000-0005-0000-0000-0000F4890000}"/>
    <cellStyle name="Normal 13 4 2" xfId="2214" xr:uid="{00000000-0005-0000-0000-0000F5890000}"/>
    <cellStyle name="Normal 13 4 2 2" xfId="16233" xr:uid="{00000000-0005-0000-0000-0000F6890000}"/>
    <cellStyle name="Normal 13 4 2 2 2" xfId="34393" xr:uid="{00000000-0005-0000-0000-0000F7890000}"/>
    <cellStyle name="Normal 13 4 2 3" xfId="22274" xr:uid="{00000000-0005-0000-0000-0000F8890000}"/>
    <cellStyle name="Normal 13 4 3" xfId="8316" xr:uid="{00000000-0005-0000-0000-0000F9890000}"/>
    <cellStyle name="Normal 13 4 3 2" xfId="27392" xr:uid="{00000000-0005-0000-0000-0000FA890000}"/>
    <cellStyle name="Normal 13 4 4" xfId="22273" xr:uid="{00000000-0005-0000-0000-0000FB890000}"/>
    <cellStyle name="Normal 13 5" xfId="2215" xr:uid="{00000000-0005-0000-0000-0000FC890000}"/>
    <cellStyle name="Normal 13 5 2" xfId="2216" xr:uid="{00000000-0005-0000-0000-0000FD890000}"/>
    <cellStyle name="Normal 13 5 2 2" xfId="22276" xr:uid="{00000000-0005-0000-0000-0000FE890000}"/>
    <cellStyle name="Normal 13 5 3" xfId="15495" xr:uid="{00000000-0005-0000-0000-0000FF890000}"/>
    <cellStyle name="Normal 13 5 3 2" xfId="33661" xr:uid="{00000000-0005-0000-0000-0000008A0000}"/>
    <cellStyle name="Normal 13 5 4" xfId="22275" xr:uid="{00000000-0005-0000-0000-0000018A0000}"/>
    <cellStyle name="Normal 13 6" xfId="2217" xr:uid="{00000000-0005-0000-0000-0000028A0000}"/>
    <cellStyle name="Normal 13 6 2" xfId="21219" xr:uid="{00000000-0005-0000-0000-0000038A0000}"/>
    <cellStyle name="Normal 13 6 2 2" xfId="38070" xr:uid="{00000000-0005-0000-0000-0000048A0000}"/>
    <cellStyle name="Normal 13 6 3" xfId="22277" xr:uid="{00000000-0005-0000-0000-0000058A0000}"/>
    <cellStyle name="Normal 13 7" xfId="7389" xr:uid="{00000000-0005-0000-0000-0000068A0000}"/>
    <cellStyle name="Normal 13 7 2" xfId="26659" xr:uid="{00000000-0005-0000-0000-0000078A0000}"/>
    <cellStyle name="Normal 13 8" xfId="22264" xr:uid="{00000000-0005-0000-0000-0000088A0000}"/>
    <cellStyle name="Normal 13 9" xfId="39025" xr:uid="{00000000-0005-0000-0000-0000098A0000}"/>
    <cellStyle name="Normal 14" xfId="2218" xr:uid="{00000000-0005-0000-0000-00000A8A0000}"/>
    <cellStyle name="Normal 14 2" xfId="7393" xr:uid="{00000000-0005-0000-0000-00000B8A0000}"/>
    <cellStyle name="Normal 14 2 2" xfId="7394" xr:uid="{00000000-0005-0000-0000-00000C8A0000}"/>
    <cellStyle name="Normal 14 2 2 2" xfId="10428" xr:uid="{00000000-0005-0000-0000-00000D8A0000}"/>
    <cellStyle name="Normal 14 2 2 2 2" xfId="18329" xr:uid="{00000000-0005-0000-0000-00000E8A0000}"/>
    <cellStyle name="Normal 14 2 2 2 2 2" xfId="36489" xr:uid="{00000000-0005-0000-0000-00000F8A0000}"/>
    <cellStyle name="Normal 14 2 2 2 3" xfId="29488" xr:uid="{00000000-0005-0000-0000-0000108A0000}"/>
    <cellStyle name="Normal 14 2 2 3" xfId="15499" xr:uid="{00000000-0005-0000-0000-0000118A0000}"/>
    <cellStyle name="Normal 14 2 2 3 2" xfId="33665" xr:uid="{00000000-0005-0000-0000-0000128A0000}"/>
    <cellStyle name="Normal 14 2 2 4" xfId="26663" xr:uid="{00000000-0005-0000-0000-0000138A0000}"/>
    <cellStyle name="Normal 14 2 3" xfId="8919" xr:uid="{00000000-0005-0000-0000-0000148A0000}"/>
    <cellStyle name="Normal 14 2 3 2" xfId="16833" xr:uid="{00000000-0005-0000-0000-0000158A0000}"/>
    <cellStyle name="Normal 14 2 3 2 2" xfId="34993" xr:uid="{00000000-0005-0000-0000-0000168A0000}"/>
    <cellStyle name="Normal 14 2 3 3" xfId="27992" xr:uid="{00000000-0005-0000-0000-0000178A0000}"/>
    <cellStyle name="Normal 14 2 4" xfId="15498" xr:uid="{00000000-0005-0000-0000-0000188A0000}"/>
    <cellStyle name="Normal 14 2 4 2" xfId="33664" xr:uid="{00000000-0005-0000-0000-0000198A0000}"/>
    <cellStyle name="Normal 14 2 5" xfId="26662" xr:uid="{00000000-0005-0000-0000-00001A8A0000}"/>
    <cellStyle name="Normal 14 3" xfId="7395" xr:uid="{00000000-0005-0000-0000-00001B8A0000}"/>
    <cellStyle name="Normal 14 3 2" xfId="9705" xr:uid="{00000000-0005-0000-0000-00001C8A0000}"/>
    <cellStyle name="Normal 14 3 2 2" xfId="17615" xr:uid="{00000000-0005-0000-0000-00001D8A0000}"/>
    <cellStyle name="Normal 14 3 2 2 2" xfId="35775" xr:uid="{00000000-0005-0000-0000-00001E8A0000}"/>
    <cellStyle name="Normal 14 3 2 3" xfId="28774" xr:uid="{00000000-0005-0000-0000-00001F8A0000}"/>
    <cellStyle name="Normal 14 3 3" xfId="15500" xr:uid="{00000000-0005-0000-0000-0000208A0000}"/>
    <cellStyle name="Normal 14 3 3 2" xfId="33666" xr:uid="{00000000-0005-0000-0000-0000218A0000}"/>
    <cellStyle name="Normal 14 3 4" xfId="26664" xr:uid="{00000000-0005-0000-0000-0000228A0000}"/>
    <cellStyle name="Normal 14 4" xfId="7392" xr:uid="{00000000-0005-0000-0000-0000238A0000}"/>
    <cellStyle name="Normal 15" xfId="2219" xr:uid="{00000000-0005-0000-0000-0000248A0000}"/>
    <cellStyle name="Normal 15 2" xfId="2220" xr:uid="{00000000-0005-0000-0000-0000258A0000}"/>
    <cellStyle name="Normal 15 2 2" xfId="2221" xr:uid="{00000000-0005-0000-0000-0000268A0000}"/>
    <cellStyle name="Normal 15 2 2 2" xfId="2222" xr:uid="{00000000-0005-0000-0000-0000278A0000}"/>
    <cellStyle name="Normal 15 2 2 2 2" xfId="2223" xr:uid="{00000000-0005-0000-0000-0000288A0000}"/>
    <cellStyle name="Normal 15 2 2 2 2 2" xfId="22281" xr:uid="{00000000-0005-0000-0000-0000298A0000}"/>
    <cellStyle name="Normal 15 2 2 2 3" xfId="10429" xr:uid="{00000000-0005-0000-0000-00002A8A0000}"/>
    <cellStyle name="Normal 15 2 2 2 4" xfId="22280" xr:uid="{00000000-0005-0000-0000-00002B8A0000}"/>
    <cellStyle name="Normal 15 2 2 3" xfId="2224" xr:uid="{00000000-0005-0000-0000-00002C8A0000}"/>
    <cellStyle name="Normal 15 2 2 3 2" xfId="2225" xr:uid="{00000000-0005-0000-0000-00002D8A0000}"/>
    <cellStyle name="Normal 15 2 2 3 2 2" xfId="22283" xr:uid="{00000000-0005-0000-0000-00002E8A0000}"/>
    <cellStyle name="Normal 15 2 2 3 3" xfId="22282" xr:uid="{00000000-0005-0000-0000-00002F8A0000}"/>
    <cellStyle name="Normal 15 2 2 4" xfId="2226" xr:uid="{00000000-0005-0000-0000-0000308A0000}"/>
    <cellStyle name="Normal 15 2 2 4 2" xfId="2227" xr:uid="{00000000-0005-0000-0000-0000318A0000}"/>
    <cellStyle name="Normal 15 2 2 4 2 2" xfId="22285" xr:uid="{00000000-0005-0000-0000-0000328A0000}"/>
    <cellStyle name="Normal 15 2 2 4 3" xfId="22284" xr:uid="{00000000-0005-0000-0000-0000338A0000}"/>
    <cellStyle name="Normal 15 2 2 5" xfId="2228" xr:uid="{00000000-0005-0000-0000-0000348A0000}"/>
    <cellStyle name="Normal 15 2 2 5 2" xfId="22286" xr:uid="{00000000-0005-0000-0000-0000358A0000}"/>
    <cellStyle name="Normal 15 2 2 6" xfId="7396" xr:uid="{00000000-0005-0000-0000-0000368A0000}"/>
    <cellStyle name="Normal 15 2 2 7" xfId="22279" xr:uid="{00000000-0005-0000-0000-0000378A0000}"/>
    <cellStyle name="Normal 15 2 3" xfId="2229" xr:uid="{00000000-0005-0000-0000-0000388A0000}"/>
    <cellStyle name="Normal 15 2 3 2" xfId="2230" xr:uid="{00000000-0005-0000-0000-0000398A0000}"/>
    <cellStyle name="Normal 15 2 3 2 2" xfId="2231" xr:uid="{00000000-0005-0000-0000-00003A8A0000}"/>
    <cellStyle name="Normal 15 2 3 2 2 2" xfId="22289" xr:uid="{00000000-0005-0000-0000-00003B8A0000}"/>
    <cellStyle name="Normal 15 2 3 2 3" xfId="22288" xr:uid="{00000000-0005-0000-0000-00003C8A0000}"/>
    <cellStyle name="Normal 15 2 3 3" xfId="2232" xr:uid="{00000000-0005-0000-0000-00003D8A0000}"/>
    <cellStyle name="Normal 15 2 3 3 2" xfId="2233" xr:uid="{00000000-0005-0000-0000-00003E8A0000}"/>
    <cellStyle name="Normal 15 2 3 3 2 2" xfId="22291" xr:uid="{00000000-0005-0000-0000-00003F8A0000}"/>
    <cellStyle name="Normal 15 2 3 3 3" xfId="22290" xr:uid="{00000000-0005-0000-0000-0000408A0000}"/>
    <cellStyle name="Normal 15 2 3 4" xfId="2234" xr:uid="{00000000-0005-0000-0000-0000418A0000}"/>
    <cellStyle name="Normal 15 2 3 4 2" xfId="2235" xr:uid="{00000000-0005-0000-0000-0000428A0000}"/>
    <cellStyle name="Normal 15 2 3 4 2 2" xfId="22293" xr:uid="{00000000-0005-0000-0000-0000438A0000}"/>
    <cellStyle name="Normal 15 2 3 4 3" xfId="22292" xr:uid="{00000000-0005-0000-0000-0000448A0000}"/>
    <cellStyle name="Normal 15 2 3 5" xfId="2236" xr:uid="{00000000-0005-0000-0000-0000458A0000}"/>
    <cellStyle name="Normal 15 2 3 5 2" xfId="22294" xr:uid="{00000000-0005-0000-0000-0000468A0000}"/>
    <cellStyle name="Normal 15 2 3 6" xfId="11094" xr:uid="{00000000-0005-0000-0000-0000478A0000}"/>
    <cellStyle name="Normal 15 2 3 7" xfId="22287" xr:uid="{00000000-0005-0000-0000-0000488A0000}"/>
    <cellStyle name="Normal 15 3" xfId="2237" xr:uid="{00000000-0005-0000-0000-0000498A0000}"/>
    <cellStyle name="Normal 15 3 2" xfId="7398" xr:uid="{00000000-0005-0000-0000-00004A8A0000}"/>
    <cellStyle name="Normal 15 3 3" xfId="9706" xr:uid="{00000000-0005-0000-0000-00004B8A0000}"/>
    <cellStyle name="Normal 15 3 4" xfId="7397" xr:uid="{00000000-0005-0000-0000-00004C8A0000}"/>
    <cellStyle name="Normal 15 4" xfId="2238" xr:uid="{00000000-0005-0000-0000-00004D8A0000}"/>
    <cellStyle name="Normal 15 4 2" xfId="2239" xr:uid="{00000000-0005-0000-0000-00004E8A0000}"/>
    <cellStyle name="Normal 15 4 2 2" xfId="22296" xr:uid="{00000000-0005-0000-0000-00004F8A0000}"/>
    <cellStyle name="Normal 15 4 3" xfId="11093" xr:uid="{00000000-0005-0000-0000-0000508A0000}"/>
    <cellStyle name="Normal 15 4 4" xfId="22295" xr:uid="{00000000-0005-0000-0000-0000518A0000}"/>
    <cellStyle name="Normal 15 5" xfId="2240" xr:uid="{00000000-0005-0000-0000-0000528A0000}"/>
    <cellStyle name="Normal 15 5 2" xfId="2241" xr:uid="{00000000-0005-0000-0000-0000538A0000}"/>
    <cellStyle name="Normal 15 5 2 2" xfId="22298" xr:uid="{00000000-0005-0000-0000-0000548A0000}"/>
    <cellStyle name="Normal 15 5 3" xfId="22297" xr:uid="{00000000-0005-0000-0000-0000558A0000}"/>
    <cellStyle name="Normal 15 6" xfId="2242" xr:uid="{00000000-0005-0000-0000-0000568A0000}"/>
    <cellStyle name="Normal 15 6 2" xfId="22299" xr:uid="{00000000-0005-0000-0000-0000578A0000}"/>
    <cellStyle name="Normal 15 7" xfId="22278" xr:uid="{00000000-0005-0000-0000-0000588A0000}"/>
    <cellStyle name="Normal 15_Trends fuels" xfId="2243" xr:uid="{00000000-0005-0000-0000-0000598A0000}"/>
    <cellStyle name="Normal 16" xfId="2244" xr:uid="{00000000-0005-0000-0000-00005A8A0000}"/>
    <cellStyle name="Normal 16 2" xfId="2245" xr:uid="{00000000-0005-0000-0000-00005B8A0000}"/>
    <cellStyle name="Normal 16 2 2" xfId="2246" xr:uid="{00000000-0005-0000-0000-00005C8A0000}"/>
    <cellStyle name="Normal 16 2 2 2" xfId="22302" xr:uid="{00000000-0005-0000-0000-00005D8A0000}"/>
    <cellStyle name="Normal 16 2 3" xfId="7400" xr:uid="{00000000-0005-0000-0000-00005E8A0000}"/>
    <cellStyle name="Normal 16 2 4" xfId="22301" xr:uid="{00000000-0005-0000-0000-00005F8A0000}"/>
    <cellStyle name="Normal 16 3" xfId="2247" xr:uid="{00000000-0005-0000-0000-0000608A0000}"/>
    <cellStyle name="Normal 16 3 2" xfId="2248" xr:uid="{00000000-0005-0000-0000-0000618A0000}"/>
    <cellStyle name="Normal 16 3 2 2" xfId="22304" xr:uid="{00000000-0005-0000-0000-0000628A0000}"/>
    <cellStyle name="Normal 16 3 3" xfId="11095" xr:uid="{00000000-0005-0000-0000-0000638A0000}"/>
    <cellStyle name="Normal 16 3 4" xfId="22303" xr:uid="{00000000-0005-0000-0000-0000648A0000}"/>
    <cellStyle name="Normal 16 4" xfId="2249" xr:uid="{00000000-0005-0000-0000-0000658A0000}"/>
    <cellStyle name="Normal 16 4 2" xfId="2250" xr:uid="{00000000-0005-0000-0000-0000668A0000}"/>
    <cellStyle name="Normal 16 4 2 2" xfId="22306" xr:uid="{00000000-0005-0000-0000-0000678A0000}"/>
    <cellStyle name="Normal 16 4 3" xfId="22305" xr:uid="{00000000-0005-0000-0000-0000688A0000}"/>
    <cellStyle name="Normal 16 5" xfId="2251" xr:uid="{00000000-0005-0000-0000-0000698A0000}"/>
    <cellStyle name="Normal 16 5 2" xfId="22307" xr:uid="{00000000-0005-0000-0000-00006A8A0000}"/>
    <cellStyle name="Normal 16 6" xfId="7399" xr:uid="{00000000-0005-0000-0000-00006B8A0000}"/>
    <cellStyle name="Normal 16 7" xfId="22300" xr:uid="{00000000-0005-0000-0000-00006C8A0000}"/>
    <cellStyle name="Normal 17" xfId="2252" xr:uid="{00000000-0005-0000-0000-00006D8A0000}"/>
    <cellStyle name="Normal 17 2" xfId="2253" xr:uid="{00000000-0005-0000-0000-00006E8A0000}"/>
    <cellStyle name="Normal 17 2 2" xfId="2254" xr:uid="{00000000-0005-0000-0000-00006F8A0000}"/>
    <cellStyle name="Normal 17 2 2 2" xfId="17616" xr:uid="{00000000-0005-0000-0000-0000708A0000}"/>
    <cellStyle name="Normal 17 2 2 2 2" xfId="35776" xr:uid="{00000000-0005-0000-0000-0000718A0000}"/>
    <cellStyle name="Normal 17 2 2 3" xfId="9715" xr:uid="{00000000-0005-0000-0000-0000728A0000}"/>
    <cellStyle name="Normal 17 2 2 3 2" xfId="28775" xr:uid="{00000000-0005-0000-0000-0000738A0000}"/>
    <cellStyle name="Normal 17 2 2 4" xfId="22310" xr:uid="{00000000-0005-0000-0000-0000748A0000}"/>
    <cellStyle name="Normal 17 2 3" xfId="15501" xr:uid="{00000000-0005-0000-0000-0000758A0000}"/>
    <cellStyle name="Normal 17 2 3 2" xfId="33667" xr:uid="{00000000-0005-0000-0000-0000768A0000}"/>
    <cellStyle name="Normal 17 2 4" xfId="7402" xr:uid="{00000000-0005-0000-0000-0000778A0000}"/>
    <cellStyle name="Normal 17 2 4 2" xfId="26665" xr:uid="{00000000-0005-0000-0000-0000788A0000}"/>
    <cellStyle name="Normal 17 2 5" xfId="22309" xr:uid="{00000000-0005-0000-0000-0000798A0000}"/>
    <cellStyle name="Normal 17 3" xfId="2255" xr:uid="{00000000-0005-0000-0000-00007A8A0000}"/>
    <cellStyle name="Normal 17 3 2" xfId="2256" xr:uid="{00000000-0005-0000-0000-00007B8A0000}"/>
    <cellStyle name="Normal 17 3 2 2" xfId="22312" xr:uid="{00000000-0005-0000-0000-00007C8A0000}"/>
    <cellStyle name="Normal 17 3 3" xfId="11096" xr:uid="{00000000-0005-0000-0000-00007D8A0000}"/>
    <cellStyle name="Normal 17 3 4" xfId="22311" xr:uid="{00000000-0005-0000-0000-00007E8A0000}"/>
    <cellStyle name="Normal 17 4" xfId="2257" xr:uid="{00000000-0005-0000-0000-00007F8A0000}"/>
    <cellStyle name="Normal 17 4 2" xfId="2258" xr:uid="{00000000-0005-0000-0000-0000808A0000}"/>
    <cellStyle name="Normal 17 4 2 2" xfId="22314" xr:uid="{00000000-0005-0000-0000-0000818A0000}"/>
    <cellStyle name="Normal 17 4 3" xfId="22313" xr:uid="{00000000-0005-0000-0000-0000828A0000}"/>
    <cellStyle name="Normal 17 5" xfId="2259" xr:uid="{00000000-0005-0000-0000-0000838A0000}"/>
    <cellStyle name="Normal 17 5 2" xfId="22315" xr:uid="{00000000-0005-0000-0000-0000848A0000}"/>
    <cellStyle name="Normal 17 6" xfId="7401" xr:uid="{00000000-0005-0000-0000-0000858A0000}"/>
    <cellStyle name="Normal 17 7" xfId="22308" xr:uid="{00000000-0005-0000-0000-0000868A0000}"/>
    <cellStyle name="Normal 18" xfId="2260" xr:uid="{00000000-0005-0000-0000-0000878A0000}"/>
    <cellStyle name="Normal 18 2" xfId="2261" xr:uid="{00000000-0005-0000-0000-0000888A0000}"/>
    <cellStyle name="Normal 18 2 2" xfId="2262" xr:uid="{00000000-0005-0000-0000-0000898A0000}"/>
    <cellStyle name="Normal 18 2 2 2" xfId="22318" xr:uid="{00000000-0005-0000-0000-00008A8A0000}"/>
    <cellStyle name="Normal 18 2 3" xfId="11097" xr:uid="{00000000-0005-0000-0000-00008B8A0000}"/>
    <cellStyle name="Normal 18 2 4" xfId="22317" xr:uid="{00000000-0005-0000-0000-00008C8A0000}"/>
    <cellStyle name="Normal 18 3" xfId="2263" xr:uid="{00000000-0005-0000-0000-00008D8A0000}"/>
    <cellStyle name="Normal 18 3 2" xfId="2264" xr:uid="{00000000-0005-0000-0000-00008E8A0000}"/>
    <cellStyle name="Normal 18 3 2 2" xfId="22320" xr:uid="{00000000-0005-0000-0000-00008F8A0000}"/>
    <cellStyle name="Normal 18 3 3" xfId="22319" xr:uid="{00000000-0005-0000-0000-0000908A0000}"/>
    <cellStyle name="Normal 18 4" xfId="2265" xr:uid="{00000000-0005-0000-0000-0000918A0000}"/>
    <cellStyle name="Normal 18 4 2" xfId="2266" xr:uid="{00000000-0005-0000-0000-0000928A0000}"/>
    <cellStyle name="Normal 18 4 2 2" xfId="22322" xr:uid="{00000000-0005-0000-0000-0000938A0000}"/>
    <cellStyle name="Normal 18 4 3" xfId="22321" xr:uid="{00000000-0005-0000-0000-0000948A0000}"/>
    <cellStyle name="Normal 18 5" xfId="2267" xr:uid="{00000000-0005-0000-0000-0000958A0000}"/>
    <cellStyle name="Normal 18 5 2" xfId="22323" xr:uid="{00000000-0005-0000-0000-0000968A0000}"/>
    <cellStyle name="Normal 18 6" xfId="7403" xr:uid="{00000000-0005-0000-0000-0000978A0000}"/>
    <cellStyle name="Normal 18 7" xfId="22316" xr:uid="{00000000-0005-0000-0000-0000988A0000}"/>
    <cellStyle name="Normal 19" xfId="2268" xr:uid="{00000000-0005-0000-0000-0000998A0000}"/>
    <cellStyle name="Normal 19 2" xfId="2269" xr:uid="{00000000-0005-0000-0000-00009A8A0000}"/>
    <cellStyle name="Normal 19 2 2" xfId="2270" xr:uid="{00000000-0005-0000-0000-00009B8A0000}"/>
    <cellStyle name="Normal 19 2 2 2" xfId="22325" xr:uid="{00000000-0005-0000-0000-00009C8A0000}"/>
    <cellStyle name="Normal 19 2 3" xfId="7405" xr:uid="{00000000-0005-0000-0000-00009D8A0000}"/>
    <cellStyle name="Normal 19 2 4" xfId="22324" xr:uid="{00000000-0005-0000-0000-00009E8A0000}"/>
    <cellStyle name="Normal 19 3" xfId="8920" xr:uid="{00000000-0005-0000-0000-00009F8A0000}"/>
    <cellStyle name="Normal 19 4" xfId="7404" xr:uid="{00000000-0005-0000-0000-0000A08A0000}"/>
    <cellStyle name="Normal 2" xfId="850" xr:uid="{00000000-0005-0000-0000-0000A18A0000}"/>
    <cellStyle name="Normal 2 10" xfId="2271" xr:uid="{00000000-0005-0000-0000-0000A28A0000}"/>
    <cellStyle name="Normal 2 11" xfId="2272" xr:uid="{00000000-0005-0000-0000-0000A38A0000}"/>
    <cellStyle name="Normal 2 11 2" xfId="2273" xr:uid="{00000000-0005-0000-0000-0000A48A0000}"/>
    <cellStyle name="Normal 2 11 2 2" xfId="2274" xr:uid="{00000000-0005-0000-0000-0000A58A0000}"/>
    <cellStyle name="Normal 2 11 2 2 2" xfId="22328" xr:uid="{00000000-0005-0000-0000-0000A68A0000}"/>
    <cellStyle name="Normal 2 11 2 3" xfId="22327" xr:uid="{00000000-0005-0000-0000-0000A78A0000}"/>
    <cellStyle name="Normal 2 11 3" xfId="2275" xr:uid="{00000000-0005-0000-0000-0000A88A0000}"/>
    <cellStyle name="Normal 2 11 3 2" xfId="22329" xr:uid="{00000000-0005-0000-0000-0000A98A0000}"/>
    <cellStyle name="Normal 2 11 4" xfId="22326" xr:uid="{00000000-0005-0000-0000-0000AA8A0000}"/>
    <cellStyle name="Normal 2 12" xfId="2276" xr:uid="{00000000-0005-0000-0000-0000AB8A0000}"/>
    <cellStyle name="Normal 2 12 2" xfId="2277" xr:uid="{00000000-0005-0000-0000-0000AC8A0000}"/>
    <cellStyle name="Normal 2 12 2 2" xfId="22331" xr:uid="{00000000-0005-0000-0000-0000AD8A0000}"/>
    <cellStyle name="Normal 2 12 3" xfId="22330" xr:uid="{00000000-0005-0000-0000-0000AE8A0000}"/>
    <cellStyle name="Normal 2 13" xfId="2278" xr:uid="{00000000-0005-0000-0000-0000AF8A0000}"/>
    <cellStyle name="Normal 2 13 2" xfId="2279" xr:uid="{00000000-0005-0000-0000-0000B08A0000}"/>
    <cellStyle name="Normal 2 13 2 2" xfId="22333" xr:uid="{00000000-0005-0000-0000-0000B18A0000}"/>
    <cellStyle name="Normal 2 13 3" xfId="22332" xr:uid="{00000000-0005-0000-0000-0000B28A0000}"/>
    <cellStyle name="Normal 2 14" xfId="2280" xr:uid="{00000000-0005-0000-0000-0000B38A0000}"/>
    <cellStyle name="Normal 2 14 2" xfId="2281" xr:uid="{00000000-0005-0000-0000-0000B48A0000}"/>
    <cellStyle name="Normal 2 14 2 2" xfId="22335" xr:uid="{00000000-0005-0000-0000-0000B58A0000}"/>
    <cellStyle name="Normal 2 14 3" xfId="22334" xr:uid="{00000000-0005-0000-0000-0000B68A0000}"/>
    <cellStyle name="Normal 2 2" xfId="851" xr:uid="{00000000-0005-0000-0000-0000B78A0000}"/>
    <cellStyle name="Normal 2 2 2" xfId="2282" xr:uid="{00000000-0005-0000-0000-0000B88A0000}"/>
    <cellStyle name="Normal 2 2 2 2" xfId="2283" xr:uid="{00000000-0005-0000-0000-0000B98A0000}"/>
    <cellStyle name="Normal 2 2 2 2 2" xfId="2284" xr:uid="{00000000-0005-0000-0000-0000BA8A0000}"/>
    <cellStyle name="Normal 2 2 2 2 2 2" xfId="2285" xr:uid="{00000000-0005-0000-0000-0000BB8A0000}"/>
    <cellStyle name="Normal 2 2 2 2 2 2 2" xfId="22339" xr:uid="{00000000-0005-0000-0000-0000BC8A0000}"/>
    <cellStyle name="Normal 2 2 2 2 2 3" xfId="11100" xr:uid="{00000000-0005-0000-0000-0000BD8A0000}"/>
    <cellStyle name="Normal 2 2 2 2 2 4" xfId="22338" xr:uid="{00000000-0005-0000-0000-0000BE8A0000}"/>
    <cellStyle name="Normal 2 2 2 2 3" xfId="2286" xr:uid="{00000000-0005-0000-0000-0000BF8A0000}"/>
    <cellStyle name="Normal 2 2 2 2 3 2" xfId="19710" xr:uid="{00000000-0005-0000-0000-0000C08A0000}"/>
    <cellStyle name="Normal 2 2 2 2 3 3" xfId="22340" xr:uid="{00000000-0005-0000-0000-0000C18A0000}"/>
    <cellStyle name="Normal 2 2 2 2 4" xfId="7409" xr:uid="{00000000-0005-0000-0000-0000C28A0000}"/>
    <cellStyle name="Normal 2 2 2 2 5" xfId="22337" xr:uid="{00000000-0005-0000-0000-0000C38A0000}"/>
    <cellStyle name="Normal 2 2 2 3" xfId="2287" xr:uid="{00000000-0005-0000-0000-0000C48A0000}"/>
    <cellStyle name="Normal 2 2 2 3 2" xfId="2288" xr:uid="{00000000-0005-0000-0000-0000C58A0000}"/>
    <cellStyle name="Normal 2 2 2 3 2 2" xfId="2289" xr:uid="{00000000-0005-0000-0000-0000C68A0000}"/>
    <cellStyle name="Normal 2 2 2 3 2 2 2" xfId="11102" xr:uid="{00000000-0005-0000-0000-0000C78A0000}"/>
    <cellStyle name="Normal 2 2 2 3 2 2 3" xfId="22343" xr:uid="{00000000-0005-0000-0000-0000C88A0000}"/>
    <cellStyle name="Normal 2 2 2 3 2 3" xfId="7411" xr:uid="{00000000-0005-0000-0000-0000C98A0000}"/>
    <cellStyle name="Normal 2 2 2 3 2 4" xfId="22342" xr:uid="{00000000-0005-0000-0000-0000CA8A0000}"/>
    <cellStyle name="Normal 2 2 2 3 3" xfId="2290" xr:uid="{00000000-0005-0000-0000-0000CB8A0000}"/>
    <cellStyle name="Normal 2 2 2 3 3 2" xfId="11101" xr:uid="{00000000-0005-0000-0000-0000CC8A0000}"/>
    <cellStyle name="Normal 2 2 2 3 3 3" xfId="22344" xr:uid="{00000000-0005-0000-0000-0000CD8A0000}"/>
    <cellStyle name="Normal 2 2 2 3 4" xfId="7410" xr:uid="{00000000-0005-0000-0000-0000CE8A0000}"/>
    <cellStyle name="Normal 2 2 2 3 5" xfId="22341" xr:uid="{00000000-0005-0000-0000-0000CF8A0000}"/>
    <cellStyle name="Normal 2 2 2 4" xfId="2291" xr:uid="{00000000-0005-0000-0000-0000D08A0000}"/>
    <cellStyle name="Normal 2 2 2 4 2" xfId="2292" xr:uid="{00000000-0005-0000-0000-0000D18A0000}"/>
    <cellStyle name="Normal 2 2 2 4 2 2" xfId="18917" xr:uid="{00000000-0005-0000-0000-0000D28A0000}"/>
    <cellStyle name="Normal 2 2 2 4 2 2 2" xfId="37077" xr:uid="{00000000-0005-0000-0000-0000D38A0000}"/>
    <cellStyle name="Normal 2 2 2 4 2 3" xfId="22346" xr:uid="{00000000-0005-0000-0000-0000D48A0000}"/>
    <cellStyle name="Normal 2 2 2 4 3" xfId="21232" xr:uid="{00000000-0005-0000-0000-0000D58A0000}"/>
    <cellStyle name="Normal 2 2 2 4 3 2" xfId="38079" xr:uid="{00000000-0005-0000-0000-0000D68A0000}"/>
    <cellStyle name="Normal 2 2 2 4 4" xfId="11068" xr:uid="{00000000-0005-0000-0000-0000D78A0000}"/>
    <cellStyle name="Normal 2 2 2 4 4 2" xfId="30076" xr:uid="{00000000-0005-0000-0000-0000D88A0000}"/>
    <cellStyle name="Normal 2 2 2 4 5" xfId="22345" xr:uid="{00000000-0005-0000-0000-0000D98A0000}"/>
    <cellStyle name="Normal 2 2 2 4 6" xfId="39034" xr:uid="{00000000-0005-0000-0000-0000DA8A0000}"/>
    <cellStyle name="Normal 2 2 2 5" xfId="2293" xr:uid="{00000000-0005-0000-0000-0000DB8A0000}"/>
    <cellStyle name="Normal 2 2 2 5 2" xfId="2294" xr:uid="{00000000-0005-0000-0000-0000DC8A0000}"/>
    <cellStyle name="Normal 2 2 2 5 2 2" xfId="22348" xr:uid="{00000000-0005-0000-0000-0000DD8A0000}"/>
    <cellStyle name="Normal 2 2 2 5 3" xfId="11099" xr:uid="{00000000-0005-0000-0000-0000DE8A0000}"/>
    <cellStyle name="Normal 2 2 2 5 4" xfId="22347" xr:uid="{00000000-0005-0000-0000-0000DF8A0000}"/>
    <cellStyle name="Normal 2 2 2 6" xfId="2295" xr:uid="{00000000-0005-0000-0000-0000E08A0000}"/>
    <cellStyle name="Normal 2 2 2 6 2" xfId="22349" xr:uid="{00000000-0005-0000-0000-0000E18A0000}"/>
    <cellStyle name="Normal 2 2 2 7" xfId="7408" xr:uid="{00000000-0005-0000-0000-0000E28A0000}"/>
    <cellStyle name="Normal 2 2 2 8" xfId="22336" xr:uid="{00000000-0005-0000-0000-0000E38A0000}"/>
    <cellStyle name="Normal 2 2 3" xfId="2296" xr:uid="{00000000-0005-0000-0000-0000E48A0000}"/>
    <cellStyle name="Normal 2 2 3 2" xfId="2297" xr:uid="{00000000-0005-0000-0000-0000E58A0000}"/>
    <cellStyle name="Normal 2 2 3 2 2" xfId="2298" xr:uid="{00000000-0005-0000-0000-0000E68A0000}"/>
    <cellStyle name="Normal 2 2 3 2 2 2" xfId="18366" xr:uid="{00000000-0005-0000-0000-0000E78A0000}"/>
    <cellStyle name="Normal 2 2 3 2 2 2 2" xfId="36526" xr:uid="{00000000-0005-0000-0000-0000E88A0000}"/>
    <cellStyle name="Normal 2 2 3 2 2 3" xfId="10469" xr:uid="{00000000-0005-0000-0000-0000E98A0000}"/>
    <cellStyle name="Normal 2 2 3 2 2 3 2" xfId="29525" xr:uid="{00000000-0005-0000-0000-0000EA8A0000}"/>
    <cellStyle name="Normal 2 2 3 2 2 4" xfId="22352" xr:uid="{00000000-0005-0000-0000-0000EB8A0000}"/>
    <cellStyle name="Normal 2 2 3 2 3" xfId="15504" xr:uid="{00000000-0005-0000-0000-0000EC8A0000}"/>
    <cellStyle name="Normal 2 2 3 2 3 2" xfId="33670" xr:uid="{00000000-0005-0000-0000-0000ED8A0000}"/>
    <cellStyle name="Normal 2 2 3 2 4" xfId="7413" xr:uid="{00000000-0005-0000-0000-0000EE8A0000}"/>
    <cellStyle name="Normal 2 2 3 2 4 2" xfId="26668" xr:uid="{00000000-0005-0000-0000-0000EF8A0000}"/>
    <cellStyle name="Normal 2 2 3 2 5" xfId="22351" xr:uid="{00000000-0005-0000-0000-0000F08A0000}"/>
    <cellStyle name="Normal 2 2 3 3" xfId="2299" xr:uid="{00000000-0005-0000-0000-0000F18A0000}"/>
    <cellStyle name="Normal 2 2 3 3 2" xfId="16235" xr:uid="{00000000-0005-0000-0000-0000F28A0000}"/>
    <cellStyle name="Normal 2 2 3 3 2 2" xfId="34395" xr:uid="{00000000-0005-0000-0000-0000F38A0000}"/>
    <cellStyle name="Normal 2 2 3 3 3" xfId="8318" xr:uid="{00000000-0005-0000-0000-0000F48A0000}"/>
    <cellStyle name="Normal 2 2 3 3 3 2" xfId="27394" xr:uid="{00000000-0005-0000-0000-0000F58A0000}"/>
    <cellStyle name="Normal 2 2 3 3 4" xfId="22353" xr:uid="{00000000-0005-0000-0000-0000F68A0000}"/>
    <cellStyle name="Normal 2 2 3 4" xfId="15503" xr:uid="{00000000-0005-0000-0000-0000F78A0000}"/>
    <cellStyle name="Normal 2 2 3 4 2" xfId="33669" xr:uid="{00000000-0005-0000-0000-0000F88A0000}"/>
    <cellStyle name="Normal 2 2 3 5" xfId="21226" xr:uid="{00000000-0005-0000-0000-0000F98A0000}"/>
    <cellStyle name="Normal 2 2 3 5 2" xfId="38075" xr:uid="{00000000-0005-0000-0000-0000FA8A0000}"/>
    <cellStyle name="Normal 2 2 3 6" xfId="7412" xr:uid="{00000000-0005-0000-0000-0000FB8A0000}"/>
    <cellStyle name="Normal 2 2 3 6 2" xfId="26667" xr:uid="{00000000-0005-0000-0000-0000FC8A0000}"/>
    <cellStyle name="Normal 2 2 3 7" xfId="22350" xr:uid="{00000000-0005-0000-0000-0000FD8A0000}"/>
    <cellStyle name="Normal 2 2 3 8" xfId="39030" xr:uid="{00000000-0005-0000-0000-0000FE8A0000}"/>
    <cellStyle name="Normal 2 2 4" xfId="2300" xr:uid="{00000000-0005-0000-0000-0000FF8A0000}"/>
    <cellStyle name="Normal 2 2 4 2" xfId="2301" xr:uid="{00000000-0005-0000-0000-0000008B0000}"/>
    <cellStyle name="Normal 2 2 4 2 2" xfId="2302" xr:uid="{00000000-0005-0000-0000-0000018B0000}"/>
    <cellStyle name="Normal 2 2 4 2 2 2" xfId="22356" xr:uid="{00000000-0005-0000-0000-0000028B0000}"/>
    <cellStyle name="Normal 2 2 4 2 3" xfId="11098" xr:uid="{00000000-0005-0000-0000-0000038B0000}"/>
    <cellStyle name="Normal 2 2 4 2 4" xfId="22355" xr:uid="{00000000-0005-0000-0000-0000048B0000}"/>
    <cellStyle name="Normal 2 2 4 3" xfId="2303" xr:uid="{00000000-0005-0000-0000-0000058B0000}"/>
    <cellStyle name="Normal 2 2 4 3 2" xfId="22357" xr:uid="{00000000-0005-0000-0000-0000068B0000}"/>
    <cellStyle name="Normal 2 2 4 4" xfId="7407" xr:uid="{00000000-0005-0000-0000-0000078B0000}"/>
    <cellStyle name="Normal 2 2 4 5" xfId="22354" xr:uid="{00000000-0005-0000-0000-0000088B0000}"/>
    <cellStyle name="Normal 2 2 5" xfId="2304" xr:uid="{00000000-0005-0000-0000-0000098B0000}"/>
    <cellStyle name="Normal 2 2 5 2" xfId="2305" xr:uid="{00000000-0005-0000-0000-00000A8B0000}"/>
    <cellStyle name="Normal 2 2 5 2 2" xfId="12380" xr:uid="{00000000-0005-0000-0000-00000B8B0000}"/>
    <cellStyle name="Normal 2 2 5 2 2 2" xfId="30547" xr:uid="{00000000-0005-0000-0000-00000C8B0000}"/>
    <cellStyle name="Normal 2 2 5 2 3" xfId="22359" xr:uid="{00000000-0005-0000-0000-00000D8B0000}"/>
    <cellStyle name="Normal 2 2 5 3" xfId="3825" xr:uid="{00000000-0005-0000-0000-00000E8B0000}"/>
    <cellStyle name="Normal 2 2 5 3 2" xfId="23545" xr:uid="{00000000-0005-0000-0000-00000F8B0000}"/>
    <cellStyle name="Normal 2 2 5 4" xfId="22358" xr:uid="{00000000-0005-0000-0000-0000108B0000}"/>
    <cellStyle name="Normal 2 2 6" xfId="2306" xr:uid="{00000000-0005-0000-0000-0000118B0000}"/>
    <cellStyle name="Normal 2 2 6 2" xfId="2307" xr:uid="{00000000-0005-0000-0000-0000128B0000}"/>
    <cellStyle name="Normal 2 2 6 2 2" xfId="22361" xr:uid="{00000000-0005-0000-0000-0000138B0000}"/>
    <cellStyle name="Normal 2 2 6 3" xfId="22360" xr:uid="{00000000-0005-0000-0000-0000148B0000}"/>
    <cellStyle name="Normal 2 2 7" xfId="2308" xr:uid="{00000000-0005-0000-0000-0000158B0000}"/>
    <cellStyle name="Normal 2 2 8" xfId="2309" xr:uid="{00000000-0005-0000-0000-0000168B0000}"/>
    <cellStyle name="Normal 2 2 8 2" xfId="22362" xr:uid="{00000000-0005-0000-0000-0000178B0000}"/>
    <cellStyle name="Normal 2 3" xfId="852" xr:uid="{00000000-0005-0000-0000-0000188B0000}"/>
    <cellStyle name="Normal 2 3 10" xfId="19711" xr:uid="{00000000-0005-0000-0000-0000198B0000}"/>
    <cellStyle name="Normal 2 3 11" xfId="3464" xr:uid="{00000000-0005-0000-0000-00001A8B0000}"/>
    <cellStyle name="Normal 2 3 11 2" xfId="23453" xr:uid="{00000000-0005-0000-0000-00001B8B0000}"/>
    <cellStyle name="Normal 2 3 12" xfId="39369" xr:uid="{00000000-0005-0000-0000-00001C8B0000}"/>
    <cellStyle name="Normal 2 3 2" xfId="2310" xr:uid="{00000000-0005-0000-0000-00001D8B0000}"/>
    <cellStyle name="Normal 2 3 2 2" xfId="2311" xr:uid="{00000000-0005-0000-0000-00001E8B0000}"/>
    <cellStyle name="Normal 2 3 2 2 2" xfId="2312" xr:uid="{00000000-0005-0000-0000-00001F8B0000}"/>
    <cellStyle name="Normal 2 3 2 2 2 2" xfId="17972" xr:uid="{00000000-0005-0000-0000-0000208B0000}"/>
    <cellStyle name="Normal 2 3 2 2 2 2 2" xfId="36132" xr:uid="{00000000-0005-0000-0000-0000218B0000}"/>
    <cellStyle name="Normal 2 3 2 2 2 3" xfId="10071" xr:uid="{00000000-0005-0000-0000-0000228B0000}"/>
    <cellStyle name="Normal 2 3 2 2 2 3 2" xfId="29131" xr:uid="{00000000-0005-0000-0000-0000238B0000}"/>
    <cellStyle name="Normal 2 3 2 2 2 4" xfId="22365" xr:uid="{00000000-0005-0000-0000-0000248B0000}"/>
    <cellStyle name="Normal 2 3 2 2 3" xfId="15507" xr:uid="{00000000-0005-0000-0000-0000258B0000}"/>
    <cellStyle name="Normal 2 3 2 2 3 2" xfId="33673" xr:uid="{00000000-0005-0000-0000-0000268B0000}"/>
    <cellStyle name="Normal 2 3 2 2 4" xfId="7416" xr:uid="{00000000-0005-0000-0000-0000278B0000}"/>
    <cellStyle name="Normal 2 3 2 2 4 2" xfId="26671" xr:uid="{00000000-0005-0000-0000-0000288B0000}"/>
    <cellStyle name="Normal 2 3 2 2 5" xfId="22364" xr:uid="{00000000-0005-0000-0000-0000298B0000}"/>
    <cellStyle name="Normal 2 3 2 3" xfId="2313" xr:uid="{00000000-0005-0000-0000-00002A8B0000}"/>
    <cellStyle name="Normal 2 3 2 3 2" xfId="2314" xr:uid="{00000000-0005-0000-0000-00002B8B0000}"/>
    <cellStyle name="Normal 2 3 2 3 2 2" xfId="17219" xr:uid="{00000000-0005-0000-0000-00002C8B0000}"/>
    <cellStyle name="Normal 2 3 2 3 2 2 2" xfId="35379" xr:uid="{00000000-0005-0000-0000-00002D8B0000}"/>
    <cellStyle name="Normal 2 3 2 3 2 3" xfId="9308" xr:uid="{00000000-0005-0000-0000-00002E8B0000}"/>
    <cellStyle name="Normal 2 3 2 3 2 3 2" xfId="28378" xr:uid="{00000000-0005-0000-0000-00002F8B0000}"/>
    <cellStyle name="Normal 2 3 2 3 2 4" xfId="22367" xr:uid="{00000000-0005-0000-0000-0000308B0000}"/>
    <cellStyle name="Normal 2 3 2 3 3" xfId="15508" xr:uid="{00000000-0005-0000-0000-0000318B0000}"/>
    <cellStyle name="Normal 2 3 2 3 3 2" xfId="33674" xr:uid="{00000000-0005-0000-0000-0000328B0000}"/>
    <cellStyle name="Normal 2 3 2 3 4" xfId="7417" xr:uid="{00000000-0005-0000-0000-0000338B0000}"/>
    <cellStyle name="Normal 2 3 2 3 4 2" xfId="26672" xr:uid="{00000000-0005-0000-0000-0000348B0000}"/>
    <cellStyle name="Normal 2 3 2 3 5" xfId="22366" xr:uid="{00000000-0005-0000-0000-0000358B0000}"/>
    <cellStyle name="Normal 2 3 2 4" xfId="2315" xr:uid="{00000000-0005-0000-0000-0000368B0000}"/>
    <cellStyle name="Normal 2 3 2 4 2" xfId="16237" xr:uid="{00000000-0005-0000-0000-0000378B0000}"/>
    <cellStyle name="Normal 2 3 2 4 2 2" xfId="34397" xr:uid="{00000000-0005-0000-0000-0000388B0000}"/>
    <cellStyle name="Normal 2 3 2 4 3" xfId="8320" xr:uid="{00000000-0005-0000-0000-0000398B0000}"/>
    <cellStyle name="Normal 2 3 2 4 3 2" xfId="27396" xr:uid="{00000000-0005-0000-0000-00003A8B0000}"/>
    <cellStyle name="Normal 2 3 2 4 4" xfId="22368" xr:uid="{00000000-0005-0000-0000-00003B8B0000}"/>
    <cellStyle name="Normal 2 3 2 5" xfId="15506" xr:uid="{00000000-0005-0000-0000-00003C8B0000}"/>
    <cellStyle name="Normal 2 3 2 5 2" xfId="33672" xr:uid="{00000000-0005-0000-0000-00003D8B0000}"/>
    <cellStyle name="Normal 2 3 2 6" xfId="7415" xr:uid="{00000000-0005-0000-0000-00003E8B0000}"/>
    <cellStyle name="Normal 2 3 2 6 2" xfId="26670" xr:uid="{00000000-0005-0000-0000-00003F8B0000}"/>
    <cellStyle name="Normal 2 3 2 7" xfId="22363" xr:uid="{00000000-0005-0000-0000-0000408B0000}"/>
    <cellStyle name="Normal 2 3 3" xfId="2316" xr:uid="{00000000-0005-0000-0000-0000418B0000}"/>
    <cellStyle name="Normal 2 3 3 2" xfId="2317" xr:uid="{00000000-0005-0000-0000-0000428B0000}"/>
    <cellStyle name="Normal 2 3 3 2 2" xfId="17736" xr:uid="{00000000-0005-0000-0000-0000438B0000}"/>
    <cellStyle name="Normal 2 3 3 2 2 2" xfId="35896" xr:uid="{00000000-0005-0000-0000-0000448B0000}"/>
    <cellStyle name="Normal 2 3 3 2 3" xfId="9835" xr:uid="{00000000-0005-0000-0000-0000458B0000}"/>
    <cellStyle name="Normal 2 3 3 2 3 2" xfId="28895" xr:uid="{00000000-0005-0000-0000-0000468B0000}"/>
    <cellStyle name="Normal 2 3 3 2 4" xfId="22370" xr:uid="{00000000-0005-0000-0000-0000478B0000}"/>
    <cellStyle name="Normal 2 3 3 3" xfId="15509" xr:uid="{00000000-0005-0000-0000-0000488B0000}"/>
    <cellStyle name="Normal 2 3 3 3 2" xfId="33675" xr:uid="{00000000-0005-0000-0000-0000498B0000}"/>
    <cellStyle name="Normal 2 3 3 4" xfId="7418" xr:uid="{00000000-0005-0000-0000-00004A8B0000}"/>
    <cellStyle name="Normal 2 3 3 4 2" xfId="26673" xr:uid="{00000000-0005-0000-0000-00004B8B0000}"/>
    <cellStyle name="Normal 2 3 3 5" xfId="22369" xr:uid="{00000000-0005-0000-0000-00004C8B0000}"/>
    <cellStyle name="Normal 2 3 4" xfId="2318" xr:uid="{00000000-0005-0000-0000-00004D8B0000}"/>
    <cellStyle name="Normal 2 3 4 2" xfId="2319" xr:uid="{00000000-0005-0000-0000-00004E8B0000}"/>
    <cellStyle name="Normal 2 3 4 2 2" xfId="16976" xr:uid="{00000000-0005-0000-0000-00004F8B0000}"/>
    <cellStyle name="Normal 2 3 4 2 2 2" xfId="35136" xr:uid="{00000000-0005-0000-0000-0000508B0000}"/>
    <cellStyle name="Normal 2 3 4 2 3" xfId="9065" xr:uid="{00000000-0005-0000-0000-0000518B0000}"/>
    <cellStyle name="Normal 2 3 4 2 3 2" xfId="28135" xr:uid="{00000000-0005-0000-0000-0000528B0000}"/>
    <cellStyle name="Normal 2 3 4 2 4" xfId="22372" xr:uid="{00000000-0005-0000-0000-0000538B0000}"/>
    <cellStyle name="Normal 2 3 4 3" xfId="15510" xr:uid="{00000000-0005-0000-0000-0000548B0000}"/>
    <cellStyle name="Normal 2 3 4 3 2" xfId="33676" xr:uid="{00000000-0005-0000-0000-0000558B0000}"/>
    <cellStyle name="Normal 2 3 4 4" xfId="7419" xr:uid="{00000000-0005-0000-0000-0000568B0000}"/>
    <cellStyle name="Normal 2 3 4 4 2" xfId="26674" xr:uid="{00000000-0005-0000-0000-0000578B0000}"/>
    <cellStyle name="Normal 2 3 4 5" xfId="22371" xr:uid="{00000000-0005-0000-0000-0000588B0000}"/>
    <cellStyle name="Normal 2 3 5" xfId="2320" xr:uid="{00000000-0005-0000-0000-0000598B0000}"/>
    <cellStyle name="Normal 2 3 5 2" xfId="2321" xr:uid="{00000000-0005-0000-0000-00005A8B0000}"/>
    <cellStyle name="Normal 2 3 5 2 2" xfId="16236" xr:uid="{00000000-0005-0000-0000-00005B8B0000}"/>
    <cellStyle name="Normal 2 3 5 2 2 2" xfId="34396" xr:uid="{00000000-0005-0000-0000-00005C8B0000}"/>
    <cellStyle name="Normal 2 3 5 2 3" xfId="22374" xr:uid="{00000000-0005-0000-0000-00005D8B0000}"/>
    <cellStyle name="Normal 2 3 5 3" xfId="8319" xr:uid="{00000000-0005-0000-0000-00005E8B0000}"/>
    <cellStyle name="Normal 2 3 5 3 2" xfId="27395" xr:uid="{00000000-0005-0000-0000-00005F8B0000}"/>
    <cellStyle name="Normal 2 3 5 4" xfId="22373" xr:uid="{00000000-0005-0000-0000-0000608B0000}"/>
    <cellStyle name="Normal 2 3 6" xfId="2322" xr:uid="{00000000-0005-0000-0000-0000618B0000}"/>
    <cellStyle name="Normal 2 3 6 2" xfId="2323" xr:uid="{00000000-0005-0000-0000-0000628B0000}"/>
    <cellStyle name="Normal 2 3 6 2 2" xfId="15505" xr:uid="{00000000-0005-0000-0000-0000638B0000}"/>
    <cellStyle name="Normal 2 3 6 2 2 2" xfId="33671" xr:uid="{00000000-0005-0000-0000-0000648B0000}"/>
    <cellStyle name="Normal 2 3 6 2 3" xfId="22376" xr:uid="{00000000-0005-0000-0000-0000658B0000}"/>
    <cellStyle name="Normal 2 3 6 3" xfId="7414" xr:uid="{00000000-0005-0000-0000-0000668B0000}"/>
    <cellStyle name="Normal 2 3 6 3 2" xfId="26669" xr:uid="{00000000-0005-0000-0000-0000678B0000}"/>
    <cellStyle name="Normal 2 3 6 4" xfId="22375" xr:uid="{00000000-0005-0000-0000-0000688B0000}"/>
    <cellStyle name="Normal 2 3 7" xfId="2324" xr:uid="{00000000-0005-0000-0000-0000698B0000}"/>
    <cellStyle name="Normal 2 3 7 2" xfId="2325" xr:uid="{00000000-0005-0000-0000-00006A8B0000}"/>
    <cellStyle name="Normal 2 3 7 2 2" xfId="18945" xr:uid="{00000000-0005-0000-0000-00006B8B0000}"/>
    <cellStyle name="Normal 2 3 7 2 2 2" xfId="37104" xr:uid="{00000000-0005-0000-0000-00006C8B0000}"/>
    <cellStyle name="Normal 2 3 7 2 3" xfId="22378" xr:uid="{00000000-0005-0000-0000-00006D8B0000}"/>
    <cellStyle name="Normal 2 3 7 3" xfId="11171" xr:uid="{00000000-0005-0000-0000-00006E8B0000}"/>
    <cellStyle name="Normal 2 3 7 3 2" xfId="30103" xr:uid="{00000000-0005-0000-0000-00006F8B0000}"/>
    <cellStyle name="Normal 2 3 7 4" xfId="22377" xr:uid="{00000000-0005-0000-0000-0000708B0000}"/>
    <cellStyle name="Normal 2 3 8" xfId="11706" xr:uid="{00000000-0005-0000-0000-0000718B0000}"/>
    <cellStyle name="Normal 2 3 9" xfId="12284" xr:uid="{00000000-0005-0000-0000-0000728B0000}"/>
    <cellStyle name="Normal 2 3 9 2" xfId="30455" xr:uid="{00000000-0005-0000-0000-0000738B0000}"/>
    <cellStyle name="Normal 2 4" xfId="853" xr:uid="{00000000-0005-0000-0000-0000748B0000}"/>
    <cellStyle name="Normal 2 4 2" xfId="2326" xr:uid="{00000000-0005-0000-0000-0000758B0000}"/>
    <cellStyle name="Normal 2 4 2 2" xfId="2327" xr:uid="{00000000-0005-0000-0000-0000768B0000}"/>
    <cellStyle name="Normal 2 4 2 2 2" xfId="2328" xr:uid="{00000000-0005-0000-0000-0000778B0000}"/>
    <cellStyle name="Normal 2 4 2 2 2 2" xfId="18326" xr:uid="{00000000-0005-0000-0000-0000788B0000}"/>
    <cellStyle name="Normal 2 4 2 2 2 2 2" xfId="36486" xr:uid="{00000000-0005-0000-0000-0000798B0000}"/>
    <cellStyle name="Normal 2 4 2 2 2 3" xfId="22381" xr:uid="{00000000-0005-0000-0000-00007A8B0000}"/>
    <cellStyle name="Normal 2 4 2 2 3" xfId="10425" xr:uid="{00000000-0005-0000-0000-00007B8B0000}"/>
    <cellStyle name="Normal 2 4 2 2 3 2" xfId="29485" xr:uid="{00000000-0005-0000-0000-00007C8B0000}"/>
    <cellStyle name="Normal 2 4 2 2 4" xfId="22380" xr:uid="{00000000-0005-0000-0000-00007D8B0000}"/>
    <cellStyle name="Normal 2 4 2 3" xfId="2329" xr:uid="{00000000-0005-0000-0000-00007E8B0000}"/>
    <cellStyle name="Normal 2 4 2 3 2" xfId="2330" xr:uid="{00000000-0005-0000-0000-00007F8B0000}"/>
    <cellStyle name="Normal 2 4 2 3 2 2" xfId="22383" xr:uid="{00000000-0005-0000-0000-0000808B0000}"/>
    <cellStyle name="Normal 2 4 2 3 3" xfId="15512" xr:uid="{00000000-0005-0000-0000-0000818B0000}"/>
    <cellStyle name="Normal 2 4 2 3 3 2" xfId="33678" xr:uid="{00000000-0005-0000-0000-0000828B0000}"/>
    <cellStyle name="Normal 2 4 2 3 4" xfId="22382" xr:uid="{00000000-0005-0000-0000-0000838B0000}"/>
    <cellStyle name="Normal 2 4 2 4" xfId="2331" xr:uid="{00000000-0005-0000-0000-0000848B0000}"/>
    <cellStyle name="Normal 2 4 2 4 2" xfId="20726" xr:uid="{00000000-0005-0000-0000-0000858B0000}"/>
    <cellStyle name="Normal 2 4 2 4 3" xfId="22384" xr:uid="{00000000-0005-0000-0000-0000868B0000}"/>
    <cellStyle name="Normal 2 4 2 5" xfId="7421" xr:uid="{00000000-0005-0000-0000-0000878B0000}"/>
    <cellStyle name="Normal 2 4 2 5 2" xfId="26676" xr:uid="{00000000-0005-0000-0000-0000888B0000}"/>
    <cellStyle name="Normal 2 4 2 6" xfId="22379" xr:uid="{00000000-0005-0000-0000-0000898B0000}"/>
    <cellStyle name="Normal 2 4 3" xfId="2332" xr:uid="{00000000-0005-0000-0000-00008A8B0000}"/>
    <cellStyle name="Normal 2 4 3 2" xfId="2333" xr:uid="{00000000-0005-0000-0000-00008B8B0000}"/>
    <cellStyle name="Normal 2 4 3 2 2" xfId="17612" xr:uid="{00000000-0005-0000-0000-00008C8B0000}"/>
    <cellStyle name="Normal 2 4 3 2 2 2" xfId="35772" xr:uid="{00000000-0005-0000-0000-00008D8B0000}"/>
    <cellStyle name="Normal 2 4 3 2 3" xfId="9702" xr:uid="{00000000-0005-0000-0000-00008E8B0000}"/>
    <cellStyle name="Normal 2 4 3 2 3 2" xfId="28771" xr:uid="{00000000-0005-0000-0000-00008F8B0000}"/>
    <cellStyle name="Normal 2 4 3 2 4" xfId="22386" xr:uid="{00000000-0005-0000-0000-0000908B0000}"/>
    <cellStyle name="Normal 2 4 3 3" xfId="15513" xr:uid="{00000000-0005-0000-0000-0000918B0000}"/>
    <cellStyle name="Normal 2 4 3 3 2" xfId="33679" xr:uid="{00000000-0005-0000-0000-0000928B0000}"/>
    <cellStyle name="Normal 2 4 3 4" xfId="7422" xr:uid="{00000000-0005-0000-0000-0000938B0000}"/>
    <cellStyle name="Normal 2 4 3 4 2" xfId="26677" xr:uid="{00000000-0005-0000-0000-0000948B0000}"/>
    <cellStyle name="Normal 2 4 3 5" xfId="22385" xr:uid="{00000000-0005-0000-0000-0000958B0000}"/>
    <cellStyle name="Normal 2 4 4" xfId="2334" xr:uid="{00000000-0005-0000-0000-0000968B0000}"/>
    <cellStyle name="Normal 2 4 4 2" xfId="2335" xr:uid="{00000000-0005-0000-0000-0000978B0000}"/>
    <cellStyle name="Normal 2 4 4 2 2" xfId="16238" xr:uid="{00000000-0005-0000-0000-0000988B0000}"/>
    <cellStyle name="Normal 2 4 4 2 2 2" xfId="34398" xr:uid="{00000000-0005-0000-0000-0000998B0000}"/>
    <cellStyle name="Normal 2 4 4 2 3" xfId="22388" xr:uid="{00000000-0005-0000-0000-00009A8B0000}"/>
    <cellStyle name="Normal 2 4 4 3" xfId="8321" xr:uid="{00000000-0005-0000-0000-00009B8B0000}"/>
    <cellStyle name="Normal 2 4 4 3 2" xfId="27397" xr:uid="{00000000-0005-0000-0000-00009C8B0000}"/>
    <cellStyle name="Normal 2 4 4 4" xfId="22387" xr:uid="{00000000-0005-0000-0000-00009D8B0000}"/>
    <cellStyle name="Normal 2 4 5" xfId="2336" xr:uid="{00000000-0005-0000-0000-00009E8B0000}"/>
    <cellStyle name="Normal 2 4 5 2" xfId="2337" xr:uid="{00000000-0005-0000-0000-00009F8B0000}"/>
    <cellStyle name="Normal 2 4 5 2 2" xfId="15511" xr:uid="{00000000-0005-0000-0000-0000A08B0000}"/>
    <cellStyle name="Normal 2 4 5 2 2 2" xfId="33677" xr:uid="{00000000-0005-0000-0000-0000A18B0000}"/>
    <cellStyle name="Normal 2 4 5 2 3" xfId="22390" xr:uid="{00000000-0005-0000-0000-0000A28B0000}"/>
    <cellStyle name="Normal 2 4 5 3" xfId="7420" xr:uid="{00000000-0005-0000-0000-0000A38B0000}"/>
    <cellStyle name="Normal 2 4 5 3 2" xfId="26675" xr:uid="{00000000-0005-0000-0000-0000A48B0000}"/>
    <cellStyle name="Normal 2 4 5 4" xfId="22389" xr:uid="{00000000-0005-0000-0000-0000A58B0000}"/>
    <cellStyle name="Normal 2 4 6" xfId="2338" xr:uid="{00000000-0005-0000-0000-0000A68B0000}"/>
    <cellStyle name="Normal 2 4 6 2" xfId="2339" xr:uid="{00000000-0005-0000-0000-0000A78B0000}"/>
    <cellStyle name="Normal 2 4 6 2 2" xfId="22392" xr:uid="{00000000-0005-0000-0000-0000A88B0000}"/>
    <cellStyle name="Normal 2 4 6 3" xfId="22391" xr:uid="{00000000-0005-0000-0000-0000A98B0000}"/>
    <cellStyle name="Normal 2 4 7" xfId="2340" xr:uid="{00000000-0005-0000-0000-0000AA8B0000}"/>
    <cellStyle name="Normal 2 4 7 2" xfId="2341" xr:uid="{00000000-0005-0000-0000-0000AB8B0000}"/>
    <cellStyle name="Normal 2 4 7 2 2" xfId="22394" xr:uid="{00000000-0005-0000-0000-0000AC8B0000}"/>
    <cellStyle name="Normal 2 4 7 3" xfId="22393" xr:uid="{00000000-0005-0000-0000-0000AD8B0000}"/>
    <cellStyle name="Normal 2 4 8" xfId="3458" xr:uid="{00000000-0005-0000-0000-0000AE8B0000}"/>
    <cellStyle name="Normal 2 5" xfId="854" xr:uid="{00000000-0005-0000-0000-0000AF8B0000}"/>
    <cellStyle name="Normal 2 5 2" xfId="2342" xr:uid="{00000000-0005-0000-0000-0000B08B0000}"/>
    <cellStyle name="Normal 2 5 2 2" xfId="2343" xr:uid="{00000000-0005-0000-0000-0000B18B0000}"/>
    <cellStyle name="Normal 2 5 2 2 2" xfId="2344" xr:uid="{00000000-0005-0000-0000-0000B28B0000}"/>
    <cellStyle name="Normal 2 5 2 2 2 2" xfId="22397" xr:uid="{00000000-0005-0000-0000-0000B38B0000}"/>
    <cellStyle name="Normal 2 5 2 2 3" xfId="22396" xr:uid="{00000000-0005-0000-0000-0000B48B0000}"/>
    <cellStyle name="Normal 2 5 2 3" xfId="2345" xr:uid="{00000000-0005-0000-0000-0000B58B0000}"/>
    <cellStyle name="Normal 2 5 2 3 2" xfId="2346" xr:uid="{00000000-0005-0000-0000-0000B68B0000}"/>
    <cellStyle name="Normal 2 5 2 3 2 2" xfId="22399" xr:uid="{00000000-0005-0000-0000-0000B78B0000}"/>
    <cellStyle name="Normal 2 5 2 3 3" xfId="22398" xr:uid="{00000000-0005-0000-0000-0000B88B0000}"/>
    <cellStyle name="Normal 2 5 2 4" xfId="2347" xr:uid="{00000000-0005-0000-0000-0000B98B0000}"/>
    <cellStyle name="Normal 2 5 2 4 2" xfId="22400" xr:uid="{00000000-0005-0000-0000-0000BA8B0000}"/>
    <cellStyle name="Normal 2 5 2 5" xfId="11103" xr:uid="{00000000-0005-0000-0000-0000BB8B0000}"/>
    <cellStyle name="Normal 2 5 2 6" xfId="22395" xr:uid="{00000000-0005-0000-0000-0000BC8B0000}"/>
    <cellStyle name="Normal 2 5 3" xfId="2348" xr:uid="{00000000-0005-0000-0000-0000BD8B0000}"/>
    <cellStyle name="Normal 2 5 3 2" xfId="2349" xr:uid="{00000000-0005-0000-0000-0000BE8B0000}"/>
    <cellStyle name="Normal 2 5 3 2 2" xfId="22402" xr:uid="{00000000-0005-0000-0000-0000BF8B0000}"/>
    <cellStyle name="Normal 2 5 3 3" xfId="22401" xr:uid="{00000000-0005-0000-0000-0000C08B0000}"/>
    <cellStyle name="Normal 2 5 4" xfId="2350" xr:uid="{00000000-0005-0000-0000-0000C18B0000}"/>
    <cellStyle name="Normal 2 5 4 2" xfId="2351" xr:uid="{00000000-0005-0000-0000-0000C28B0000}"/>
    <cellStyle name="Normal 2 5 4 2 2" xfId="22404" xr:uid="{00000000-0005-0000-0000-0000C38B0000}"/>
    <cellStyle name="Normal 2 5 4 3" xfId="22403" xr:uid="{00000000-0005-0000-0000-0000C48B0000}"/>
    <cellStyle name="Normal 2 5 5" xfId="2352" xr:uid="{00000000-0005-0000-0000-0000C58B0000}"/>
    <cellStyle name="Normal 2 5 5 2" xfId="2353" xr:uid="{00000000-0005-0000-0000-0000C68B0000}"/>
    <cellStyle name="Normal 2 5 5 2 2" xfId="22406" xr:uid="{00000000-0005-0000-0000-0000C78B0000}"/>
    <cellStyle name="Normal 2 5 5 3" xfId="22405" xr:uid="{00000000-0005-0000-0000-0000C88B0000}"/>
    <cellStyle name="Normal 2 5 6" xfId="2354" xr:uid="{00000000-0005-0000-0000-0000C98B0000}"/>
    <cellStyle name="Normal 2 5 6 2" xfId="2355" xr:uid="{00000000-0005-0000-0000-0000CA8B0000}"/>
    <cellStyle name="Normal 2 5 6 2 2" xfId="22408" xr:uid="{00000000-0005-0000-0000-0000CB8B0000}"/>
    <cellStyle name="Normal 2 5 6 3" xfId="22407" xr:uid="{00000000-0005-0000-0000-0000CC8B0000}"/>
    <cellStyle name="Normal 2 5 7" xfId="7423" xr:uid="{00000000-0005-0000-0000-0000CD8B0000}"/>
    <cellStyle name="Normal 2 6" xfId="855" xr:uid="{00000000-0005-0000-0000-0000CE8B0000}"/>
    <cellStyle name="Normal 2 6 2" xfId="2356" xr:uid="{00000000-0005-0000-0000-0000CF8B0000}"/>
    <cellStyle name="Normal 2 6 2 2" xfId="2357" xr:uid="{00000000-0005-0000-0000-0000D08B0000}"/>
    <cellStyle name="Normal 2 6 2 2 2" xfId="2358" xr:uid="{00000000-0005-0000-0000-0000D18B0000}"/>
    <cellStyle name="Normal 2 6 2 2 2 2" xfId="18722" xr:uid="{00000000-0005-0000-0000-0000D28B0000}"/>
    <cellStyle name="Normal 2 6 2 2 2 2 2" xfId="36882" xr:uid="{00000000-0005-0000-0000-0000D38B0000}"/>
    <cellStyle name="Normal 2 6 2 2 2 3" xfId="22411" xr:uid="{00000000-0005-0000-0000-0000D48B0000}"/>
    <cellStyle name="Normal 2 6 2 2 3" xfId="10836" xr:uid="{00000000-0005-0000-0000-0000D58B0000}"/>
    <cellStyle name="Normal 2 6 2 2 3 2" xfId="29881" xr:uid="{00000000-0005-0000-0000-0000D68B0000}"/>
    <cellStyle name="Normal 2 6 2 2 4" xfId="22410" xr:uid="{00000000-0005-0000-0000-0000D78B0000}"/>
    <cellStyle name="Normal 2 6 2 3" xfId="2359" xr:uid="{00000000-0005-0000-0000-0000D88B0000}"/>
    <cellStyle name="Normal 2 6 2 3 2" xfId="2360" xr:uid="{00000000-0005-0000-0000-0000D98B0000}"/>
    <cellStyle name="Normal 2 6 2 3 2 2" xfId="22413" xr:uid="{00000000-0005-0000-0000-0000DA8B0000}"/>
    <cellStyle name="Normal 2 6 2 3 3" xfId="15515" xr:uid="{00000000-0005-0000-0000-0000DB8B0000}"/>
    <cellStyle name="Normal 2 6 2 3 3 2" xfId="33681" xr:uid="{00000000-0005-0000-0000-0000DC8B0000}"/>
    <cellStyle name="Normal 2 6 2 3 4" xfId="22412" xr:uid="{00000000-0005-0000-0000-0000DD8B0000}"/>
    <cellStyle name="Normal 2 6 2 4" xfId="2361" xr:uid="{00000000-0005-0000-0000-0000DE8B0000}"/>
    <cellStyle name="Normal 2 6 2 4 2" xfId="22414" xr:uid="{00000000-0005-0000-0000-0000DF8B0000}"/>
    <cellStyle name="Normal 2 6 2 5" xfId="7425" xr:uid="{00000000-0005-0000-0000-0000E08B0000}"/>
    <cellStyle name="Normal 2 6 2 5 2" xfId="26679" xr:uid="{00000000-0005-0000-0000-0000E18B0000}"/>
    <cellStyle name="Normal 2 6 2 6" xfId="22409" xr:uid="{00000000-0005-0000-0000-0000E28B0000}"/>
    <cellStyle name="Normal 2 6 3" xfId="2362" xr:uid="{00000000-0005-0000-0000-0000E38B0000}"/>
    <cellStyle name="Normal 2 6 3 2" xfId="2363" xr:uid="{00000000-0005-0000-0000-0000E48B0000}"/>
    <cellStyle name="Normal 2 6 3 2 2" xfId="16234" xr:uid="{00000000-0005-0000-0000-0000E58B0000}"/>
    <cellStyle name="Normal 2 6 3 2 2 2" xfId="34394" xr:uid="{00000000-0005-0000-0000-0000E68B0000}"/>
    <cellStyle name="Normal 2 6 3 2 3" xfId="22416" xr:uid="{00000000-0005-0000-0000-0000E78B0000}"/>
    <cellStyle name="Normal 2 6 3 3" xfId="8317" xr:uid="{00000000-0005-0000-0000-0000E88B0000}"/>
    <cellStyle name="Normal 2 6 3 3 2" xfId="27393" xr:uid="{00000000-0005-0000-0000-0000E98B0000}"/>
    <cellStyle name="Normal 2 6 3 4" xfId="22415" xr:uid="{00000000-0005-0000-0000-0000EA8B0000}"/>
    <cellStyle name="Normal 2 6 4" xfId="2364" xr:uid="{00000000-0005-0000-0000-0000EB8B0000}"/>
    <cellStyle name="Normal 2 6 4 2" xfId="2365" xr:uid="{00000000-0005-0000-0000-0000EC8B0000}"/>
    <cellStyle name="Normal 2 6 4 2 2" xfId="22418" xr:uid="{00000000-0005-0000-0000-0000ED8B0000}"/>
    <cellStyle name="Normal 2 6 4 3" xfId="15514" xr:uid="{00000000-0005-0000-0000-0000EE8B0000}"/>
    <cellStyle name="Normal 2 6 4 3 2" xfId="33680" xr:uid="{00000000-0005-0000-0000-0000EF8B0000}"/>
    <cellStyle name="Normal 2 6 4 4" xfId="22417" xr:uid="{00000000-0005-0000-0000-0000F08B0000}"/>
    <cellStyle name="Normal 2 6 5" xfId="2366" xr:uid="{00000000-0005-0000-0000-0000F18B0000}"/>
    <cellStyle name="Normal 2 6 5 2" xfId="2367" xr:uid="{00000000-0005-0000-0000-0000F28B0000}"/>
    <cellStyle name="Normal 2 6 5 2 2" xfId="22420" xr:uid="{00000000-0005-0000-0000-0000F38B0000}"/>
    <cellStyle name="Normal 2 6 5 3" xfId="22419" xr:uid="{00000000-0005-0000-0000-0000F48B0000}"/>
    <cellStyle name="Normal 2 6 6" xfId="2368" xr:uid="{00000000-0005-0000-0000-0000F58B0000}"/>
    <cellStyle name="Normal 2 6 6 2" xfId="2369" xr:uid="{00000000-0005-0000-0000-0000F68B0000}"/>
    <cellStyle name="Normal 2 6 6 2 2" xfId="22422" xr:uid="{00000000-0005-0000-0000-0000F78B0000}"/>
    <cellStyle name="Normal 2 6 6 3" xfId="22421" xr:uid="{00000000-0005-0000-0000-0000F88B0000}"/>
    <cellStyle name="Normal 2 6 7" xfId="7424" xr:uid="{00000000-0005-0000-0000-0000F98B0000}"/>
    <cellStyle name="Normal 2 6 7 2" xfId="26678" xr:uid="{00000000-0005-0000-0000-0000FA8B0000}"/>
    <cellStyle name="Normal 2 7" xfId="2370" xr:uid="{00000000-0005-0000-0000-0000FB8B0000}"/>
    <cellStyle name="Normal 2 7 2" xfId="2371" xr:uid="{00000000-0005-0000-0000-0000FC8B0000}"/>
    <cellStyle name="Normal 2 7 2 2" xfId="2372" xr:uid="{00000000-0005-0000-0000-0000FD8B0000}"/>
    <cellStyle name="Normal 2 7 2 2 2" xfId="2373" xr:uid="{00000000-0005-0000-0000-0000FE8B0000}"/>
    <cellStyle name="Normal 2 7 2 2 2 2" xfId="22426" xr:uid="{00000000-0005-0000-0000-0000FF8B0000}"/>
    <cellStyle name="Normal 2 7 2 2 3" xfId="22425" xr:uid="{00000000-0005-0000-0000-0000008C0000}"/>
    <cellStyle name="Normal 2 7 2 3" xfId="2374" xr:uid="{00000000-0005-0000-0000-0000018C0000}"/>
    <cellStyle name="Normal 2 7 2 3 2" xfId="2375" xr:uid="{00000000-0005-0000-0000-0000028C0000}"/>
    <cellStyle name="Normal 2 7 2 3 2 2" xfId="22428" xr:uid="{00000000-0005-0000-0000-0000038C0000}"/>
    <cellStyle name="Normal 2 7 2 3 3" xfId="22427" xr:uid="{00000000-0005-0000-0000-0000048C0000}"/>
    <cellStyle name="Normal 2 7 2 4" xfId="2376" xr:uid="{00000000-0005-0000-0000-0000058C0000}"/>
    <cellStyle name="Normal 2 7 2 4 2" xfId="22429" xr:uid="{00000000-0005-0000-0000-0000068C0000}"/>
    <cellStyle name="Normal 2 7 2 5" xfId="22424" xr:uid="{00000000-0005-0000-0000-0000078C0000}"/>
    <cellStyle name="Normal 2 7 3" xfId="2377" xr:uid="{00000000-0005-0000-0000-0000088C0000}"/>
    <cellStyle name="Normal 2 7 3 2" xfId="2378" xr:uid="{00000000-0005-0000-0000-0000098C0000}"/>
    <cellStyle name="Normal 2 7 3 2 2" xfId="22431" xr:uid="{00000000-0005-0000-0000-00000A8C0000}"/>
    <cellStyle name="Normal 2 7 3 3" xfId="22430" xr:uid="{00000000-0005-0000-0000-00000B8C0000}"/>
    <cellStyle name="Normal 2 7 4" xfId="2379" xr:uid="{00000000-0005-0000-0000-00000C8C0000}"/>
    <cellStyle name="Normal 2 7 4 2" xfId="2380" xr:uid="{00000000-0005-0000-0000-00000D8C0000}"/>
    <cellStyle name="Normal 2 7 4 2 2" xfId="22433" xr:uid="{00000000-0005-0000-0000-00000E8C0000}"/>
    <cellStyle name="Normal 2 7 4 3" xfId="22432" xr:uid="{00000000-0005-0000-0000-00000F8C0000}"/>
    <cellStyle name="Normal 2 7 5" xfId="2381" xr:uid="{00000000-0005-0000-0000-0000108C0000}"/>
    <cellStyle name="Normal 2 7 5 2" xfId="2382" xr:uid="{00000000-0005-0000-0000-0000118C0000}"/>
    <cellStyle name="Normal 2 7 5 2 2" xfId="22435" xr:uid="{00000000-0005-0000-0000-0000128C0000}"/>
    <cellStyle name="Normal 2 7 5 3" xfId="22434" xr:uid="{00000000-0005-0000-0000-0000138C0000}"/>
    <cellStyle name="Normal 2 7 6" xfId="2383" xr:uid="{00000000-0005-0000-0000-0000148C0000}"/>
    <cellStyle name="Normal 2 7 6 2" xfId="22436" xr:uid="{00000000-0005-0000-0000-0000158C0000}"/>
    <cellStyle name="Normal 2 7 7" xfId="7426" xr:uid="{00000000-0005-0000-0000-0000168C0000}"/>
    <cellStyle name="Normal 2 7 8" xfId="22423" xr:uid="{00000000-0005-0000-0000-0000178C0000}"/>
    <cellStyle name="Normal 2 8" xfId="2384" xr:uid="{00000000-0005-0000-0000-0000188C0000}"/>
    <cellStyle name="Normal 2 8 2" xfId="2385" xr:uid="{00000000-0005-0000-0000-0000198C0000}"/>
    <cellStyle name="Normal 2 8 2 2" xfId="2386" xr:uid="{00000000-0005-0000-0000-00001A8C0000}"/>
    <cellStyle name="Normal 2 8 2 2 2" xfId="2387" xr:uid="{00000000-0005-0000-0000-00001B8C0000}"/>
    <cellStyle name="Normal 2 8 2 2 2 2" xfId="22440" xr:uid="{00000000-0005-0000-0000-00001C8C0000}"/>
    <cellStyle name="Normal 2 8 2 2 3" xfId="22439" xr:uid="{00000000-0005-0000-0000-00001D8C0000}"/>
    <cellStyle name="Normal 2 8 2 3" xfId="2388" xr:uid="{00000000-0005-0000-0000-00001E8C0000}"/>
    <cellStyle name="Normal 2 8 2 3 2" xfId="2389" xr:uid="{00000000-0005-0000-0000-00001F8C0000}"/>
    <cellStyle name="Normal 2 8 2 3 2 2" xfId="22442" xr:uid="{00000000-0005-0000-0000-0000208C0000}"/>
    <cellStyle name="Normal 2 8 2 3 3" xfId="22441" xr:uid="{00000000-0005-0000-0000-0000218C0000}"/>
    <cellStyle name="Normal 2 8 2 4" xfId="2390" xr:uid="{00000000-0005-0000-0000-0000228C0000}"/>
    <cellStyle name="Normal 2 8 2 4 2" xfId="22443" xr:uid="{00000000-0005-0000-0000-0000238C0000}"/>
    <cellStyle name="Normal 2 8 2 5" xfId="15502" xr:uid="{00000000-0005-0000-0000-0000248C0000}"/>
    <cellStyle name="Normal 2 8 2 5 2" xfId="33668" xr:uid="{00000000-0005-0000-0000-0000258C0000}"/>
    <cellStyle name="Normal 2 8 2 6" xfId="22438" xr:uid="{00000000-0005-0000-0000-0000268C0000}"/>
    <cellStyle name="Normal 2 8 3" xfId="2391" xr:uid="{00000000-0005-0000-0000-0000278C0000}"/>
    <cellStyle name="Normal 2 8 3 2" xfId="2392" xr:uid="{00000000-0005-0000-0000-0000288C0000}"/>
    <cellStyle name="Normal 2 8 3 2 2" xfId="22445" xr:uid="{00000000-0005-0000-0000-0000298C0000}"/>
    <cellStyle name="Normal 2 8 3 3" xfId="22444" xr:uid="{00000000-0005-0000-0000-00002A8C0000}"/>
    <cellStyle name="Normal 2 8 4" xfId="2393" xr:uid="{00000000-0005-0000-0000-00002B8C0000}"/>
    <cellStyle name="Normal 2 8 4 2" xfId="2394" xr:uid="{00000000-0005-0000-0000-00002C8C0000}"/>
    <cellStyle name="Normal 2 8 4 2 2" xfId="22447" xr:uid="{00000000-0005-0000-0000-00002D8C0000}"/>
    <cellStyle name="Normal 2 8 4 3" xfId="22446" xr:uid="{00000000-0005-0000-0000-00002E8C0000}"/>
    <cellStyle name="Normal 2 8 5" xfId="2395" xr:uid="{00000000-0005-0000-0000-00002F8C0000}"/>
    <cellStyle name="Normal 2 8 5 2" xfId="2396" xr:uid="{00000000-0005-0000-0000-0000308C0000}"/>
    <cellStyle name="Normal 2 8 5 2 2" xfId="22449" xr:uid="{00000000-0005-0000-0000-0000318C0000}"/>
    <cellStyle name="Normal 2 8 5 3" xfId="22448" xr:uid="{00000000-0005-0000-0000-0000328C0000}"/>
    <cellStyle name="Normal 2 8 6" xfId="2397" xr:uid="{00000000-0005-0000-0000-0000338C0000}"/>
    <cellStyle name="Normal 2 8 6 2" xfId="22450" xr:uid="{00000000-0005-0000-0000-0000348C0000}"/>
    <cellStyle name="Normal 2 8 7" xfId="7406" xr:uid="{00000000-0005-0000-0000-0000358C0000}"/>
    <cellStyle name="Normal 2 8 7 2" xfId="26666" xr:uid="{00000000-0005-0000-0000-0000368C0000}"/>
    <cellStyle name="Normal 2 8 8" xfId="22437" xr:uid="{00000000-0005-0000-0000-0000378C0000}"/>
    <cellStyle name="Normal 2 9" xfId="2398" xr:uid="{00000000-0005-0000-0000-0000388C0000}"/>
    <cellStyle name="Normal 2 9 2" xfId="2399" xr:uid="{00000000-0005-0000-0000-0000398C0000}"/>
    <cellStyle name="Normal 2 9 2 2" xfId="2400" xr:uid="{00000000-0005-0000-0000-00003A8C0000}"/>
    <cellStyle name="Normal 2 9 2 2 2" xfId="2401" xr:uid="{00000000-0005-0000-0000-00003B8C0000}"/>
    <cellStyle name="Normal 2 9 2 2 2 2" xfId="22454" xr:uid="{00000000-0005-0000-0000-00003C8C0000}"/>
    <cellStyle name="Normal 2 9 2 2 3" xfId="22453" xr:uid="{00000000-0005-0000-0000-00003D8C0000}"/>
    <cellStyle name="Normal 2 9 2 3" xfId="2402" xr:uid="{00000000-0005-0000-0000-00003E8C0000}"/>
    <cellStyle name="Normal 2 9 2 3 2" xfId="2403" xr:uid="{00000000-0005-0000-0000-00003F8C0000}"/>
    <cellStyle name="Normal 2 9 2 3 2 2" xfId="22456" xr:uid="{00000000-0005-0000-0000-0000408C0000}"/>
    <cellStyle name="Normal 2 9 2 3 3" xfId="22455" xr:uid="{00000000-0005-0000-0000-0000418C0000}"/>
    <cellStyle name="Normal 2 9 2 4" xfId="2404" xr:uid="{00000000-0005-0000-0000-0000428C0000}"/>
    <cellStyle name="Normal 2 9 2 4 2" xfId="22457" xr:uid="{00000000-0005-0000-0000-0000438C0000}"/>
    <cellStyle name="Normal 2 9 2 5" xfId="12373" xr:uid="{00000000-0005-0000-0000-0000448C0000}"/>
    <cellStyle name="Normal 2 9 2 5 2" xfId="30540" xr:uid="{00000000-0005-0000-0000-0000458C0000}"/>
    <cellStyle name="Normal 2 9 2 6" xfId="22452" xr:uid="{00000000-0005-0000-0000-0000468C0000}"/>
    <cellStyle name="Normal 2 9 3" xfId="2405" xr:uid="{00000000-0005-0000-0000-0000478C0000}"/>
    <cellStyle name="Normal 2 9 3 2" xfId="2406" xr:uid="{00000000-0005-0000-0000-0000488C0000}"/>
    <cellStyle name="Normal 2 9 3 2 2" xfId="22459" xr:uid="{00000000-0005-0000-0000-0000498C0000}"/>
    <cellStyle name="Normal 2 9 3 3" xfId="22458" xr:uid="{00000000-0005-0000-0000-00004A8C0000}"/>
    <cellStyle name="Normal 2 9 4" xfId="2407" xr:uid="{00000000-0005-0000-0000-00004B8C0000}"/>
    <cellStyle name="Normal 2 9 4 2" xfId="2408" xr:uid="{00000000-0005-0000-0000-00004C8C0000}"/>
    <cellStyle name="Normal 2 9 4 2 2" xfId="22461" xr:uid="{00000000-0005-0000-0000-00004D8C0000}"/>
    <cellStyle name="Normal 2 9 4 3" xfId="22460" xr:uid="{00000000-0005-0000-0000-00004E8C0000}"/>
    <cellStyle name="Normal 2 9 5" xfId="2409" xr:uid="{00000000-0005-0000-0000-00004F8C0000}"/>
    <cellStyle name="Normal 2 9 5 2" xfId="22462" xr:uid="{00000000-0005-0000-0000-0000508C0000}"/>
    <cellStyle name="Normal 2 9 6" xfId="3817" xr:uid="{00000000-0005-0000-0000-0000518C0000}"/>
    <cellStyle name="Normal 2 9 6 2" xfId="23538" xr:uid="{00000000-0005-0000-0000-0000528C0000}"/>
    <cellStyle name="Normal 2 9 7" xfId="22451" xr:uid="{00000000-0005-0000-0000-0000538C0000}"/>
    <cellStyle name="Normal 20" xfId="2410" xr:uid="{00000000-0005-0000-0000-0000548C0000}"/>
    <cellStyle name="Normal 20 2" xfId="2411" xr:uid="{00000000-0005-0000-0000-0000558C0000}"/>
    <cellStyle name="Normal 20 2 2" xfId="11145" xr:uid="{00000000-0005-0000-0000-0000568C0000}"/>
    <cellStyle name="Normal 20 2 3" xfId="10847" xr:uid="{00000000-0005-0000-0000-0000578C0000}"/>
    <cellStyle name="Normal 20 2 4" xfId="22464" xr:uid="{00000000-0005-0000-0000-0000588C0000}"/>
    <cellStyle name="Normal 20 3" xfId="11104" xr:uid="{00000000-0005-0000-0000-0000598C0000}"/>
    <cellStyle name="Normal 20 4" xfId="7427" xr:uid="{00000000-0005-0000-0000-00005A8C0000}"/>
    <cellStyle name="Normal 20 5" xfId="22463" xr:uid="{00000000-0005-0000-0000-00005B8C0000}"/>
    <cellStyle name="Normal 21" xfId="2412" xr:uid="{00000000-0005-0000-0000-00005C8C0000}"/>
    <cellStyle name="Normal 21 2" xfId="2413" xr:uid="{00000000-0005-0000-0000-00005D8C0000}"/>
    <cellStyle name="Normal 21 2 2" xfId="11074" xr:uid="{00000000-0005-0000-0000-00005E8C0000}"/>
    <cellStyle name="Normal 21 2 3" xfId="22466" xr:uid="{00000000-0005-0000-0000-00005F8C0000}"/>
    <cellStyle name="Normal 21 3" xfId="3826" xr:uid="{00000000-0005-0000-0000-0000608C0000}"/>
    <cellStyle name="Normal 21 4" xfId="22465" xr:uid="{00000000-0005-0000-0000-0000618C0000}"/>
    <cellStyle name="Normal 22" xfId="2414" xr:uid="{00000000-0005-0000-0000-0000628C0000}"/>
    <cellStyle name="Normal 22 2" xfId="2415" xr:uid="{00000000-0005-0000-0000-0000638C0000}"/>
    <cellStyle name="Normal 22 2 2" xfId="18914" xr:uid="{00000000-0005-0000-0000-0000648C0000}"/>
    <cellStyle name="Normal 22 2 2 2" xfId="37074" xr:uid="{00000000-0005-0000-0000-0000658C0000}"/>
    <cellStyle name="Normal 22 2 3" xfId="22468" xr:uid="{00000000-0005-0000-0000-0000668C0000}"/>
    <cellStyle name="Normal 22 3" xfId="11065" xr:uid="{00000000-0005-0000-0000-0000678C0000}"/>
    <cellStyle name="Normal 22 3 2" xfId="30073" xr:uid="{00000000-0005-0000-0000-0000688C0000}"/>
    <cellStyle name="Normal 22 4" xfId="22467" xr:uid="{00000000-0005-0000-0000-0000698C0000}"/>
    <cellStyle name="Normal 23" xfId="2416" xr:uid="{00000000-0005-0000-0000-00006A8C0000}"/>
    <cellStyle name="Normal 23 2" xfId="2417" xr:uid="{00000000-0005-0000-0000-00006B8C0000}"/>
    <cellStyle name="Normal 23 2 2" xfId="11146" xr:uid="{00000000-0005-0000-0000-00006C8C0000}"/>
    <cellStyle name="Normal 23 2 3" xfId="22470" xr:uid="{00000000-0005-0000-0000-00006D8C0000}"/>
    <cellStyle name="Normal 23 3" xfId="3814" xr:uid="{00000000-0005-0000-0000-00006E8C0000}"/>
    <cellStyle name="Normal 23 4" xfId="22469" xr:uid="{00000000-0005-0000-0000-00006F8C0000}"/>
    <cellStyle name="Normal 24" xfId="2418" xr:uid="{00000000-0005-0000-0000-0000708C0000}"/>
    <cellStyle name="Normal 24 2" xfId="11150" xr:uid="{00000000-0005-0000-0000-0000718C0000}"/>
    <cellStyle name="Normal 24 3" xfId="11071" xr:uid="{00000000-0005-0000-0000-0000728C0000}"/>
    <cellStyle name="Normal 25" xfId="2419" xr:uid="{00000000-0005-0000-0000-0000738C0000}"/>
    <cellStyle name="Normal 25 2" xfId="11147" xr:uid="{00000000-0005-0000-0000-0000748C0000}"/>
    <cellStyle name="Normal 26" xfId="2420" xr:uid="{00000000-0005-0000-0000-0000758C0000}"/>
    <cellStyle name="Normal 26 2" xfId="12369" xr:uid="{00000000-0005-0000-0000-0000768C0000}"/>
    <cellStyle name="Normal 26 2 2" xfId="30536" xr:uid="{00000000-0005-0000-0000-0000778C0000}"/>
    <cellStyle name="Normal 26 3" xfId="3811" xr:uid="{00000000-0005-0000-0000-0000788C0000}"/>
    <cellStyle name="Normal 26 3 2" xfId="23534" xr:uid="{00000000-0005-0000-0000-0000798C0000}"/>
    <cellStyle name="Normal 27" xfId="2421" xr:uid="{00000000-0005-0000-0000-00007A8C0000}"/>
    <cellStyle name="Normal 27 2" xfId="18964" xr:uid="{00000000-0005-0000-0000-00007B8C0000}"/>
    <cellStyle name="Normal 27 2 2" xfId="37123" xr:uid="{00000000-0005-0000-0000-00007C8C0000}"/>
    <cellStyle name="Normal 27 3" xfId="11191" xr:uid="{00000000-0005-0000-0000-00007D8C0000}"/>
    <cellStyle name="Normal 27 3 2" xfId="30122" xr:uid="{00000000-0005-0000-0000-00007E8C0000}"/>
    <cellStyle name="Normal 28" xfId="2422" xr:uid="{00000000-0005-0000-0000-00007F8C0000}"/>
    <cellStyle name="Normal 28 2" xfId="11954" xr:uid="{00000000-0005-0000-0000-0000808C0000}"/>
    <cellStyle name="Normal 29" xfId="2423" xr:uid="{00000000-0005-0000-0000-0000818C0000}"/>
    <cellStyle name="Normal 29 2" xfId="11930" xr:uid="{00000000-0005-0000-0000-0000828C0000}"/>
    <cellStyle name="Normal 29 2 2" xfId="30129" xr:uid="{00000000-0005-0000-0000-0000838C0000}"/>
    <cellStyle name="Normal 3" xfId="856" xr:uid="{00000000-0005-0000-0000-0000848C0000}"/>
    <cellStyle name="Normal 3 10" xfId="2424" xr:uid="{00000000-0005-0000-0000-0000858C0000}"/>
    <cellStyle name="Normal 3 10 2" xfId="2425" xr:uid="{00000000-0005-0000-0000-0000868C0000}"/>
    <cellStyle name="Normal 3 10 2 2" xfId="2426" xr:uid="{00000000-0005-0000-0000-0000878C0000}"/>
    <cellStyle name="Normal 3 10 2 2 2" xfId="22473" xr:uid="{00000000-0005-0000-0000-0000888C0000}"/>
    <cellStyle name="Normal 3 10 2 3" xfId="22472" xr:uid="{00000000-0005-0000-0000-0000898C0000}"/>
    <cellStyle name="Normal 3 10 3" xfId="2427" xr:uid="{00000000-0005-0000-0000-00008A8C0000}"/>
    <cellStyle name="Normal 3 10 3 2" xfId="22474" xr:uid="{00000000-0005-0000-0000-00008B8C0000}"/>
    <cellStyle name="Normal 3 10 4" xfId="11932" xr:uid="{00000000-0005-0000-0000-00008C8C0000}"/>
    <cellStyle name="Normal 3 10 4 2" xfId="30130" xr:uid="{00000000-0005-0000-0000-00008D8C0000}"/>
    <cellStyle name="Normal 3 10 5" xfId="22471" xr:uid="{00000000-0005-0000-0000-00008E8C0000}"/>
    <cellStyle name="Normal 3 11" xfId="2428" xr:uid="{00000000-0005-0000-0000-00008F8C0000}"/>
    <cellStyle name="Normal 3 11 2" xfId="2429" xr:uid="{00000000-0005-0000-0000-0000908C0000}"/>
    <cellStyle name="Normal 3 11 2 2" xfId="22476" xr:uid="{00000000-0005-0000-0000-0000918C0000}"/>
    <cellStyle name="Normal 3 11 3" xfId="19712" xr:uid="{00000000-0005-0000-0000-0000928C0000}"/>
    <cellStyle name="Normal 3 11 4" xfId="22475" xr:uid="{00000000-0005-0000-0000-0000938C0000}"/>
    <cellStyle name="Normal 3 12" xfId="2430" xr:uid="{00000000-0005-0000-0000-0000948C0000}"/>
    <cellStyle name="Normal 3 12 2" xfId="2431" xr:uid="{00000000-0005-0000-0000-0000958C0000}"/>
    <cellStyle name="Normal 3 12 2 2" xfId="22478" xr:uid="{00000000-0005-0000-0000-0000968C0000}"/>
    <cellStyle name="Normal 3 12 3" xfId="22477" xr:uid="{00000000-0005-0000-0000-0000978C0000}"/>
    <cellStyle name="Normal 3 13" xfId="2432" xr:uid="{00000000-0005-0000-0000-0000988C0000}"/>
    <cellStyle name="Normal 3 13 2" xfId="2433" xr:uid="{00000000-0005-0000-0000-0000998C0000}"/>
    <cellStyle name="Normal 3 13 2 2" xfId="22480" xr:uid="{00000000-0005-0000-0000-00009A8C0000}"/>
    <cellStyle name="Normal 3 13 3" xfId="22479" xr:uid="{00000000-0005-0000-0000-00009B8C0000}"/>
    <cellStyle name="Normal 3 14" xfId="2434" xr:uid="{00000000-0005-0000-0000-00009C8C0000}"/>
    <cellStyle name="Normal 3 14 2" xfId="2435" xr:uid="{00000000-0005-0000-0000-00009D8C0000}"/>
    <cellStyle name="Normal 3 14 2 2" xfId="22482" xr:uid="{00000000-0005-0000-0000-00009E8C0000}"/>
    <cellStyle name="Normal 3 14 3" xfId="22481" xr:uid="{00000000-0005-0000-0000-00009F8C0000}"/>
    <cellStyle name="Normal 3 15" xfId="3447" xr:uid="{00000000-0005-0000-0000-0000A08C0000}"/>
    <cellStyle name="Normal 3 15 2" xfId="23447" xr:uid="{00000000-0005-0000-0000-0000A18C0000}"/>
    <cellStyle name="Normal 3 16" xfId="21778" xr:uid="{00000000-0005-0000-0000-0000A28C0000}"/>
    <cellStyle name="Normal 3 17" xfId="39351" xr:uid="{00000000-0005-0000-0000-0000A38C0000}"/>
    <cellStyle name="Normal 3 18" xfId="39931" xr:uid="{00000000-0005-0000-0000-0000A48C0000}"/>
    <cellStyle name="Normal 3 19" xfId="40417" xr:uid="{00000000-0005-0000-0000-0000A58C0000}"/>
    <cellStyle name="Normal 3 2" xfId="857" xr:uid="{00000000-0005-0000-0000-0000A68C0000}"/>
    <cellStyle name="Normal 3 2 10" xfId="3448" xr:uid="{00000000-0005-0000-0000-0000A78C0000}"/>
    <cellStyle name="Normal 3 2 10 2" xfId="23448" xr:uid="{00000000-0005-0000-0000-0000A88C0000}"/>
    <cellStyle name="Normal 3 2 11" xfId="21779" xr:uid="{00000000-0005-0000-0000-0000A98C0000}"/>
    <cellStyle name="Normal 3 2 12" xfId="38629" xr:uid="{00000000-0005-0000-0000-0000AA8C0000}"/>
    <cellStyle name="Normal 3 2 13" xfId="39352" xr:uid="{00000000-0005-0000-0000-0000AB8C0000}"/>
    <cellStyle name="Normal 3 2 14" xfId="39932" xr:uid="{00000000-0005-0000-0000-0000AC8C0000}"/>
    <cellStyle name="Normal 3 2 15" xfId="40418" xr:uid="{00000000-0005-0000-0000-0000AD8C0000}"/>
    <cellStyle name="Normal 3 2 2" xfId="858" xr:uid="{00000000-0005-0000-0000-0000AE8C0000}"/>
    <cellStyle name="Normal 3 2 2 10" xfId="40419" xr:uid="{00000000-0005-0000-0000-0000AF8C0000}"/>
    <cellStyle name="Normal 3 2 2 2" xfId="2436" xr:uid="{00000000-0005-0000-0000-0000B08C0000}"/>
    <cellStyle name="Normal 3 2 2 2 2" xfId="2437" xr:uid="{00000000-0005-0000-0000-0000B18C0000}"/>
    <cellStyle name="Normal 3 2 2 2 2 2" xfId="11106" xr:uid="{00000000-0005-0000-0000-0000B28C0000}"/>
    <cellStyle name="Normal 3 2 2 2 2 3" xfId="22484" xr:uid="{00000000-0005-0000-0000-0000B38C0000}"/>
    <cellStyle name="Normal 3 2 2 2 3" xfId="11186" xr:uid="{00000000-0005-0000-0000-0000B48C0000}"/>
    <cellStyle name="Normal 3 2 2 2 3 2" xfId="18960" xr:uid="{00000000-0005-0000-0000-0000B58C0000}"/>
    <cellStyle name="Normal 3 2 2 2 3 2 2" xfId="37119" xr:uid="{00000000-0005-0000-0000-0000B68C0000}"/>
    <cellStyle name="Normal 3 2 2 2 3 3" xfId="30118" xr:uid="{00000000-0005-0000-0000-0000B78C0000}"/>
    <cellStyle name="Normal 3 2 2 2 4" xfId="12362" xr:uid="{00000000-0005-0000-0000-0000B88C0000}"/>
    <cellStyle name="Normal 3 2 2 2 4 2" xfId="30532" xr:uid="{00000000-0005-0000-0000-0000B98C0000}"/>
    <cellStyle name="Normal 3 2 2 2 5" xfId="3602" xr:uid="{00000000-0005-0000-0000-0000BA8C0000}"/>
    <cellStyle name="Normal 3 2 2 2 5 2" xfId="23530" xr:uid="{00000000-0005-0000-0000-0000BB8C0000}"/>
    <cellStyle name="Normal 3 2 2 2 6" xfId="22483" xr:uid="{00000000-0005-0000-0000-0000BC8C0000}"/>
    <cellStyle name="Normal 3 2 2 2 7" xfId="39446" xr:uid="{00000000-0005-0000-0000-0000BD8C0000}"/>
    <cellStyle name="Normal 3 2 2 3" xfId="2438" xr:uid="{00000000-0005-0000-0000-0000BE8C0000}"/>
    <cellStyle name="Normal 3 2 2 3 2" xfId="2439" xr:uid="{00000000-0005-0000-0000-0000BF8C0000}"/>
    <cellStyle name="Normal 3 2 2 3 2 2" xfId="21234" xr:uid="{00000000-0005-0000-0000-0000C08C0000}"/>
    <cellStyle name="Normal 3 2 2 3 2 2 2" xfId="38081" xr:uid="{00000000-0005-0000-0000-0000C18C0000}"/>
    <cellStyle name="Normal 3 2 2 3 2 3" xfId="22486" xr:uid="{00000000-0005-0000-0000-0000C28C0000}"/>
    <cellStyle name="Normal 3 2 2 3 3" xfId="7430" xr:uid="{00000000-0005-0000-0000-0000C38C0000}"/>
    <cellStyle name="Normal 3 2 2 3 4" xfId="22485" xr:uid="{00000000-0005-0000-0000-0000C48C0000}"/>
    <cellStyle name="Normal 3 2 2 3 5" xfId="39036" xr:uid="{00000000-0005-0000-0000-0000C58C0000}"/>
    <cellStyle name="Normal 3 2 2 4" xfId="2440" xr:uid="{00000000-0005-0000-0000-0000C68C0000}"/>
    <cellStyle name="Normal 3 2 2 4 2" xfId="2441" xr:uid="{00000000-0005-0000-0000-0000C78C0000}"/>
    <cellStyle name="Normal 3 2 2 4 2 2" xfId="18929" xr:uid="{00000000-0005-0000-0000-0000C88C0000}"/>
    <cellStyle name="Normal 3 2 2 4 2 2 2" xfId="37088" xr:uid="{00000000-0005-0000-0000-0000C98C0000}"/>
    <cellStyle name="Normal 3 2 2 4 2 3" xfId="22488" xr:uid="{00000000-0005-0000-0000-0000CA8C0000}"/>
    <cellStyle name="Normal 3 2 2 4 3" xfId="11154" xr:uid="{00000000-0005-0000-0000-0000CB8C0000}"/>
    <cellStyle name="Normal 3 2 2 4 3 2" xfId="30087" xr:uid="{00000000-0005-0000-0000-0000CC8C0000}"/>
    <cellStyle name="Normal 3 2 2 4 4" xfId="22487" xr:uid="{00000000-0005-0000-0000-0000CD8C0000}"/>
    <cellStyle name="Normal 3 2 2 5" xfId="2442" xr:uid="{00000000-0005-0000-0000-0000CE8C0000}"/>
    <cellStyle name="Normal 3 2 2 5 2" xfId="12267" xr:uid="{00000000-0005-0000-0000-0000CF8C0000}"/>
    <cellStyle name="Normal 3 2 2 5 2 2" xfId="30452" xr:uid="{00000000-0005-0000-0000-0000D08C0000}"/>
    <cellStyle name="Normal 3 2 2 5 3" xfId="22489" xr:uid="{00000000-0005-0000-0000-0000D18C0000}"/>
    <cellStyle name="Normal 3 2 2 6" xfId="3449" xr:uid="{00000000-0005-0000-0000-0000D28C0000}"/>
    <cellStyle name="Normal 3 2 2 6 2" xfId="23449" xr:uid="{00000000-0005-0000-0000-0000D38C0000}"/>
    <cellStyle name="Normal 3 2 2 7" xfId="21780" xr:uid="{00000000-0005-0000-0000-0000D48C0000}"/>
    <cellStyle name="Normal 3 2 2 8" xfId="39353" xr:uid="{00000000-0005-0000-0000-0000D58C0000}"/>
    <cellStyle name="Normal 3 2 2 9" xfId="39933" xr:uid="{00000000-0005-0000-0000-0000D68C0000}"/>
    <cellStyle name="Normal 3 2 3" xfId="2443" xr:uid="{00000000-0005-0000-0000-0000D78C0000}"/>
    <cellStyle name="Normal 3 2 3 10" xfId="39445" xr:uid="{00000000-0005-0000-0000-0000D88C0000}"/>
    <cellStyle name="Normal 3 2 3 2" xfId="2444" xr:uid="{00000000-0005-0000-0000-0000D98C0000}"/>
    <cellStyle name="Normal 3 2 3 2 2" xfId="18822" xr:uid="{00000000-0005-0000-0000-0000DA8C0000}"/>
    <cellStyle name="Normal 3 2 3 2 2 2" xfId="36982" xr:uid="{00000000-0005-0000-0000-0000DB8C0000}"/>
    <cellStyle name="Normal 3 2 3 2 3" xfId="21212" xr:uid="{00000000-0005-0000-0000-0000DC8C0000}"/>
    <cellStyle name="Normal 3 2 3 2 3 2" xfId="38063" xr:uid="{00000000-0005-0000-0000-0000DD8C0000}"/>
    <cellStyle name="Normal 3 2 3 2 4" xfId="10942" xr:uid="{00000000-0005-0000-0000-0000DE8C0000}"/>
    <cellStyle name="Normal 3 2 3 2 4 2" xfId="29981" xr:uid="{00000000-0005-0000-0000-0000DF8C0000}"/>
    <cellStyle name="Normal 3 2 3 2 5" xfId="22491" xr:uid="{00000000-0005-0000-0000-0000E08C0000}"/>
    <cellStyle name="Normal 3 2 3 2 6" xfId="39018" xr:uid="{00000000-0005-0000-0000-0000E18C0000}"/>
    <cellStyle name="Normal 3 2 3 3" xfId="7431" xr:uid="{00000000-0005-0000-0000-0000E28C0000}"/>
    <cellStyle name="Normal 3 2 3 3 2" xfId="15517" xr:uid="{00000000-0005-0000-0000-0000E38C0000}"/>
    <cellStyle name="Normal 3 2 3 3 2 2" xfId="33683" xr:uid="{00000000-0005-0000-0000-0000E48C0000}"/>
    <cellStyle name="Normal 3 2 3 3 3" xfId="26681" xr:uid="{00000000-0005-0000-0000-0000E58C0000}"/>
    <cellStyle name="Normal 3 2 3 4" xfId="11185" xr:uid="{00000000-0005-0000-0000-0000E68C0000}"/>
    <cellStyle name="Normal 3 2 3 4 2" xfId="18959" xr:uid="{00000000-0005-0000-0000-0000E78C0000}"/>
    <cellStyle name="Normal 3 2 3 4 2 2" xfId="37118" xr:uid="{00000000-0005-0000-0000-0000E88C0000}"/>
    <cellStyle name="Normal 3 2 3 4 3" xfId="30117" xr:uid="{00000000-0005-0000-0000-0000E98C0000}"/>
    <cellStyle name="Normal 3 2 3 5" xfId="12361" xr:uid="{00000000-0005-0000-0000-0000EA8C0000}"/>
    <cellStyle name="Normal 3 2 3 5 2" xfId="30531" xr:uid="{00000000-0005-0000-0000-0000EB8C0000}"/>
    <cellStyle name="Normal 3 2 3 6" xfId="20727" xr:uid="{00000000-0005-0000-0000-0000EC8C0000}"/>
    <cellStyle name="Normal 3 2 3 6 2" xfId="38043" xr:uid="{00000000-0005-0000-0000-0000ED8C0000}"/>
    <cellStyle name="Normal 3 2 3 7" xfId="3601" xr:uid="{00000000-0005-0000-0000-0000EE8C0000}"/>
    <cellStyle name="Normal 3 2 3 7 2" xfId="23529" xr:uid="{00000000-0005-0000-0000-0000EF8C0000}"/>
    <cellStyle name="Normal 3 2 3 8" xfId="22490" xr:uid="{00000000-0005-0000-0000-0000F08C0000}"/>
    <cellStyle name="Normal 3 2 3 9" xfId="38998" xr:uid="{00000000-0005-0000-0000-0000F18C0000}"/>
    <cellStyle name="Normal 3 2 4" xfId="2445" xr:uid="{00000000-0005-0000-0000-0000F28C0000}"/>
    <cellStyle name="Normal 3 2 4 2" xfId="2446" xr:uid="{00000000-0005-0000-0000-0000F38C0000}"/>
    <cellStyle name="Normal 3 2 4 2 2" xfId="16239" xr:uid="{00000000-0005-0000-0000-0000F48C0000}"/>
    <cellStyle name="Normal 3 2 4 2 2 2" xfId="34399" xr:uid="{00000000-0005-0000-0000-0000F58C0000}"/>
    <cellStyle name="Normal 3 2 4 2 3" xfId="22493" xr:uid="{00000000-0005-0000-0000-0000F68C0000}"/>
    <cellStyle name="Normal 3 2 4 3" xfId="21228" xr:uid="{00000000-0005-0000-0000-0000F78C0000}"/>
    <cellStyle name="Normal 3 2 4 3 2" xfId="38077" xr:uid="{00000000-0005-0000-0000-0000F88C0000}"/>
    <cellStyle name="Normal 3 2 4 4" xfId="8322" xr:uid="{00000000-0005-0000-0000-0000F98C0000}"/>
    <cellStyle name="Normal 3 2 4 4 2" xfId="27398" xr:uid="{00000000-0005-0000-0000-0000FA8C0000}"/>
    <cellStyle name="Normal 3 2 4 5" xfId="22492" xr:uid="{00000000-0005-0000-0000-0000FB8C0000}"/>
    <cellStyle name="Normal 3 2 4 6" xfId="39032" xr:uid="{00000000-0005-0000-0000-0000FC8C0000}"/>
    <cellStyle name="Normal 3 2 5" xfId="2447" xr:uid="{00000000-0005-0000-0000-0000FD8C0000}"/>
    <cellStyle name="Normal 3 2 5 2" xfId="2448" xr:uid="{00000000-0005-0000-0000-0000FE8C0000}"/>
    <cellStyle name="Normal 3 2 5 2 2" xfId="15516" xr:uid="{00000000-0005-0000-0000-0000FF8C0000}"/>
    <cellStyle name="Normal 3 2 5 2 2 2" xfId="33682" xr:uid="{00000000-0005-0000-0000-0000008D0000}"/>
    <cellStyle name="Normal 3 2 5 2 3" xfId="22495" xr:uid="{00000000-0005-0000-0000-0000018D0000}"/>
    <cellStyle name="Normal 3 2 5 3" xfId="21193" xr:uid="{00000000-0005-0000-0000-0000028D0000}"/>
    <cellStyle name="Normal 3 2 5 3 2" xfId="38053" xr:uid="{00000000-0005-0000-0000-0000038D0000}"/>
    <cellStyle name="Normal 3 2 5 4" xfId="7429" xr:uid="{00000000-0005-0000-0000-0000048D0000}"/>
    <cellStyle name="Normal 3 2 5 4 2" xfId="26680" xr:uid="{00000000-0005-0000-0000-0000058D0000}"/>
    <cellStyle name="Normal 3 2 5 5" xfId="22494" xr:uid="{00000000-0005-0000-0000-0000068D0000}"/>
    <cellStyle name="Normal 3 2 5 6" xfId="39008" xr:uid="{00000000-0005-0000-0000-0000078D0000}"/>
    <cellStyle name="Normal 3 2 6" xfId="2449" xr:uid="{00000000-0005-0000-0000-0000088D0000}"/>
    <cellStyle name="Normal 3 2 6 2" xfId="2450" xr:uid="{00000000-0005-0000-0000-0000098D0000}"/>
    <cellStyle name="Normal 3 2 6 2 2" xfId="18928" xr:uid="{00000000-0005-0000-0000-00000A8D0000}"/>
    <cellStyle name="Normal 3 2 6 2 2 2" xfId="37087" xr:uid="{00000000-0005-0000-0000-00000B8D0000}"/>
    <cellStyle name="Normal 3 2 6 2 3" xfId="22497" xr:uid="{00000000-0005-0000-0000-00000C8D0000}"/>
    <cellStyle name="Normal 3 2 6 3" xfId="11153" xr:uid="{00000000-0005-0000-0000-00000D8D0000}"/>
    <cellStyle name="Normal 3 2 6 3 2" xfId="30086" xr:uid="{00000000-0005-0000-0000-00000E8D0000}"/>
    <cellStyle name="Normal 3 2 6 4" xfId="22496" xr:uid="{00000000-0005-0000-0000-00000F8D0000}"/>
    <cellStyle name="Normal 3 2 7" xfId="2451" xr:uid="{00000000-0005-0000-0000-0000108D0000}"/>
    <cellStyle name="Normal 3 2 7 2" xfId="2452" xr:uid="{00000000-0005-0000-0000-0000118D0000}"/>
    <cellStyle name="Normal 3 2 7 2 2" xfId="18967" xr:uid="{00000000-0005-0000-0000-0000128D0000}"/>
    <cellStyle name="Normal 3 2 7 2 2 2" xfId="37125" xr:uid="{00000000-0005-0000-0000-0000138D0000}"/>
    <cellStyle name="Normal 3 2 7 2 3" xfId="22499" xr:uid="{00000000-0005-0000-0000-0000148D0000}"/>
    <cellStyle name="Normal 3 2 7 3" xfId="11708" xr:uid="{00000000-0005-0000-0000-0000158D0000}"/>
    <cellStyle name="Normal 3 2 7 3 2" xfId="30124" xr:uid="{00000000-0005-0000-0000-0000168D0000}"/>
    <cellStyle name="Normal 3 2 7 4" xfId="22498" xr:uid="{00000000-0005-0000-0000-0000178D0000}"/>
    <cellStyle name="Normal 3 2 8" xfId="2453" xr:uid="{00000000-0005-0000-0000-0000188D0000}"/>
    <cellStyle name="Normal 3 2 8 2" xfId="11933" xr:uid="{00000000-0005-0000-0000-0000198D0000}"/>
    <cellStyle name="Normal 3 2 8 2 2" xfId="30131" xr:uid="{00000000-0005-0000-0000-00001A8D0000}"/>
    <cellStyle name="Normal 3 2 9" xfId="19713" xr:uid="{00000000-0005-0000-0000-00001B8D0000}"/>
    <cellStyle name="Normal 3 2 9 2" xfId="37674" xr:uid="{00000000-0005-0000-0000-00001C8D0000}"/>
    <cellStyle name="Normal 3 3" xfId="859" xr:uid="{00000000-0005-0000-0000-00001D8D0000}"/>
    <cellStyle name="Normal 3 3 2" xfId="2454" xr:uid="{00000000-0005-0000-0000-00001E8D0000}"/>
    <cellStyle name="Normal 3 3 2 2" xfId="2455" xr:uid="{00000000-0005-0000-0000-00001F8D0000}"/>
    <cellStyle name="Normal 3 3 2 2 2" xfId="2456" xr:uid="{00000000-0005-0000-0000-0000208D0000}"/>
    <cellStyle name="Normal 3 3 2 2 2 2" xfId="22502" xr:uid="{00000000-0005-0000-0000-0000218D0000}"/>
    <cellStyle name="Normal 3 3 2 2 3" xfId="21213" xr:uid="{00000000-0005-0000-0000-0000228D0000}"/>
    <cellStyle name="Normal 3 3 2 2 3 2" xfId="38064" xr:uid="{00000000-0005-0000-0000-0000238D0000}"/>
    <cellStyle name="Normal 3 3 2 2 4" xfId="22501" xr:uid="{00000000-0005-0000-0000-0000248D0000}"/>
    <cellStyle name="Normal 3 3 2 2 5" xfId="39019" xr:uid="{00000000-0005-0000-0000-0000258D0000}"/>
    <cellStyle name="Normal 3 3 2 3" xfId="2457" xr:uid="{00000000-0005-0000-0000-0000268D0000}"/>
    <cellStyle name="Normal 3 3 2 3 2" xfId="2458" xr:uid="{00000000-0005-0000-0000-0000278D0000}"/>
    <cellStyle name="Normal 3 3 2 3 2 2" xfId="22504" xr:uid="{00000000-0005-0000-0000-0000288D0000}"/>
    <cellStyle name="Normal 3 3 2 3 3" xfId="20728" xr:uid="{00000000-0005-0000-0000-0000298D0000}"/>
    <cellStyle name="Normal 3 3 2 3 3 2" xfId="38044" xr:uid="{00000000-0005-0000-0000-00002A8D0000}"/>
    <cellStyle name="Normal 3 3 2 3 4" xfId="22503" xr:uid="{00000000-0005-0000-0000-00002B8D0000}"/>
    <cellStyle name="Normal 3 3 2 4" xfId="2459" xr:uid="{00000000-0005-0000-0000-00002C8D0000}"/>
    <cellStyle name="Normal 3 3 2 4 2" xfId="22505" xr:uid="{00000000-0005-0000-0000-00002D8D0000}"/>
    <cellStyle name="Normal 3 3 2 5" xfId="11107" xr:uid="{00000000-0005-0000-0000-00002E8D0000}"/>
    <cellStyle name="Normal 3 3 2 6" xfId="22500" xr:uid="{00000000-0005-0000-0000-00002F8D0000}"/>
    <cellStyle name="Normal 3 3 2 7" xfId="38999" xr:uid="{00000000-0005-0000-0000-0000308D0000}"/>
    <cellStyle name="Normal 3 3 3" xfId="2460" xr:uid="{00000000-0005-0000-0000-0000318D0000}"/>
    <cellStyle name="Normal 3 3 3 2" xfId="2461" xr:uid="{00000000-0005-0000-0000-0000328D0000}"/>
    <cellStyle name="Normal 3 3 3 2 2" xfId="21233" xr:uid="{00000000-0005-0000-0000-0000338D0000}"/>
    <cellStyle name="Normal 3 3 3 2 2 2" xfId="38080" xr:uid="{00000000-0005-0000-0000-0000348D0000}"/>
    <cellStyle name="Normal 3 3 3 2 3" xfId="22507" xr:uid="{00000000-0005-0000-0000-0000358D0000}"/>
    <cellStyle name="Normal 3 3 3 3" xfId="7432" xr:uid="{00000000-0005-0000-0000-0000368D0000}"/>
    <cellStyle name="Normal 3 3 3 4" xfId="22506" xr:uid="{00000000-0005-0000-0000-0000378D0000}"/>
    <cellStyle name="Normal 3 3 3 5" xfId="39035" xr:uid="{00000000-0005-0000-0000-0000388D0000}"/>
    <cellStyle name="Normal 3 3 4" xfId="2462" xr:uid="{00000000-0005-0000-0000-0000398D0000}"/>
    <cellStyle name="Normal 3 3 4 2" xfId="2463" xr:uid="{00000000-0005-0000-0000-00003A8D0000}"/>
    <cellStyle name="Normal 3 3 4 2 2" xfId="22509" xr:uid="{00000000-0005-0000-0000-00003B8D0000}"/>
    <cellStyle name="Normal 3 3 4 3" xfId="21194" xr:uid="{00000000-0005-0000-0000-00003C8D0000}"/>
    <cellStyle name="Normal 3 3 4 3 2" xfId="38054" xr:uid="{00000000-0005-0000-0000-00003D8D0000}"/>
    <cellStyle name="Normal 3 3 4 4" xfId="22508" xr:uid="{00000000-0005-0000-0000-00003E8D0000}"/>
    <cellStyle name="Normal 3 3 4 5" xfId="39009" xr:uid="{00000000-0005-0000-0000-00003F8D0000}"/>
    <cellStyle name="Normal 3 3 5" xfId="2464" xr:uid="{00000000-0005-0000-0000-0000408D0000}"/>
    <cellStyle name="Normal 3 3 5 2" xfId="2465" xr:uid="{00000000-0005-0000-0000-0000418D0000}"/>
    <cellStyle name="Normal 3 3 5 2 2" xfId="22511" xr:uid="{00000000-0005-0000-0000-0000428D0000}"/>
    <cellStyle name="Normal 3 3 5 3" xfId="19714" xr:uid="{00000000-0005-0000-0000-0000438D0000}"/>
    <cellStyle name="Normal 3 3 5 3 2" xfId="37675" xr:uid="{00000000-0005-0000-0000-0000448D0000}"/>
    <cellStyle name="Normal 3 3 5 4" xfId="22510" xr:uid="{00000000-0005-0000-0000-0000458D0000}"/>
    <cellStyle name="Normal 3 3 6" xfId="2466" xr:uid="{00000000-0005-0000-0000-0000468D0000}"/>
    <cellStyle name="Normal 3 3 6 2" xfId="2467" xr:uid="{00000000-0005-0000-0000-0000478D0000}"/>
    <cellStyle name="Normal 3 3 6 2 2" xfId="22513" xr:uid="{00000000-0005-0000-0000-0000488D0000}"/>
    <cellStyle name="Normal 3 3 6 3" xfId="22512" xr:uid="{00000000-0005-0000-0000-0000498D0000}"/>
    <cellStyle name="Normal 3 3 7" xfId="2468" xr:uid="{00000000-0005-0000-0000-00004A8D0000}"/>
    <cellStyle name="Normal 3 3 7 2" xfId="22514" xr:uid="{00000000-0005-0000-0000-00004B8D0000}"/>
    <cellStyle name="Normal 3 3 8" xfId="38630" xr:uid="{00000000-0005-0000-0000-00004C8D0000}"/>
    <cellStyle name="Normal 3 4" xfId="2469" xr:uid="{00000000-0005-0000-0000-00004D8D0000}"/>
    <cellStyle name="Normal 3 4 10" xfId="39031" xr:uid="{00000000-0005-0000-0000-00004E8D0000}"/>
    <cellStyle name="Normal 3 4 11" xfId="39371" xr:uid="{00000000-0005-0000-0000-00004F8D0000}"/>
    <cellStyle name="Normal 3 4 2" xfId="2470" xr:uid="{00000000-0005-0000-0000-0000508D0000}"/>
    <cellStyle name="Normal 3 4 2 2" xfId="2471" xr:uid="{00000000-0005-0000-0000-0000518D0000}"/>
    <cellStyle name="Normal 3 4 2 2 2" xfId="2472" xr:uid="{00000000-0005-0000-0000-0000528D0000}"/>
    <cellStyle name="Normal 3 4 2 2 2 2" xfId="22518" xr:uid="{00000000-0005-0000-0000-0000538D0000}"/>
    <cellStyle name="Normal 3 4 2 2 3" xfId="22517" xr:uid="{00000000-0005-0000-0000-0000548D0000}"/>
    <cellStyle name="Normal 3 4 2 3" xfId="2473" xr:uid="{00000000-0005-0000-0000-0000558D0000}"/>
    <cellStyle name="Normal 3 4 2 3 2" xfId="2474" xr:uid="{00000000-0005-0000-0000-0000568D0000}"/>
    <cellStyle name="Normal 3 4 2 3 2 2" xfId="22520" xr:uid="{00000000-0005-0000-0000-0000578D0000}"/>
    <cellStyle name="Normal 3 4 2 3 3" xfId="22519" xr:uid="{00000000-0005-0000-0000-0000588D0000}"/>
    <cellStyle name="Normal 3 4 2 4" xfId="2475" xr:uid="{00000000-0005-0000-0000-0000598D0000}"/>
    <cellStyle name="Normal 3 4 2 4 2" xfId="22521" xr:uid="{00000000-0005-0000-0000-00005A8D0000}"/>
    <cellStyle name="Normal 3 4 2 5" xfId="11105" xr:uid="{00000000-0005-0000-0000-00005B8D0000}"/>
    <cellStyle name="Normal 3 4 2 6" xfId="22516" xr:uid="{00000000-0005-0000-0000-00005C8D0000}"/>
    <cellStyle name="Normal 3 4 3" xfId="2476" xr:uid="{00000000-0005-0000-0000-00005D8D0000}"/>
    <cellStyle name="Normal 3 4 3 2" xfId="2477" xr:uid="{00000000-0005-0000-0000-00005E8D0000}"/>
    <cellStyle name="Normal 3 4 3 2 2" xfId="22523" xr:uid="{00000000-0005-0000-0000-00005F8D0000}"/>
    <cellStyle name="Normal 3 4 3 3" xfId="7428" xr:uid="{00000000-0005-0000-0000-0000608D0000}"/>
    <cellStyle name="Normal 3 4 3 4" xfId="22522" xr:uid="{00000000-0005-0000-0000-0000618D0000}"/>
    <cellStyle name="Normal 3 4 4" xfId="2478" xr:uid="{00000000-0005-0000-0000-0000628D0000}"/>
    <cellStyle name="Normal 3 4 4 2" xfId="2479" xr:uid="{00000000-0005-0000-0000-0000638D0000}"/>
    <cellStyle name="Normal 3 4 4 2 2" xfId="18947" xr:uid="{00000000-0005-0000-0000-0000648D0000}"/>
    <cellStyle name="Normal 3 4 4 2 2 2" xfId="37106" xr:uid="{00000000-0005-0000-0000-0000658D0000}"/>
    <cellStyle name="Normal 3 4 4 2 3" xfId="22525" xr:uid="{00000000-0005-0000-0000-0000668D0000}"/>
    <cellStyle name="Normal 3 4 4 3" xfId="11173" xr:uid="{00000000-0005-0000-0000-0000678D0000}"/>
    <cellStyle name="Normal 3 4 4 3 2" xfId="30105" xr:uid="{00000000-0005-0000-0000-0000688D0000}"/>
    <cellStyle name="Normal 3 4 4 4" xfId="22524" xr:uid="{00000000-0005-0000-0000-0000698D0000}"/>
    <cellStyle name="Normal 3 4 5" xfId="2480" xr:uid="{00000000-0005-0000-0000-00006A8D0000}"/>
    <cellStyle name="Normal 3 4 5 2" xfId="2481" xr:uid="{00000000-0005-0000-0000-00006B8D0000}"/>
    <cellStyle name="Normal 3 4 5 2 2" xfId="22527" xr:uid="{00000000-0005-0000-0000-00006C8D0000}"/>
    <cellStyle name="Normal 3 4 5 3" xfId="12286" xr:uid="{00000000-0005-0000-0000-00006D8D0000}"/>
    <cellStyle name="Normal 3 4 5 3 2" xfId="30457" xr:uid="{00000000-0005-0000-0000-00006E8D0000}"/>
    <cellStyle name="Normal 3 4 5 4" xfId="22526" xr:uid="{00000000-0005-0000-0000-00006F8D0000}"/>
    <cellStyle name="Normal 3 4 6" xfId="2482" xr:uid="{00000000-0005-0000-0000-0000708D0000}"/>
    <cellStyle name="Normal 3 4 6 2" xfId="2483" xr:uid="{00000000-0005-0000-0000-0000718D0000}"/>
    <cellStyle name="Normal 3 4 6 2 2" xfId="22529" xr:uid="{00000000-0005-0000-0000-0000728D0000}"/>
    <cellStyle name="Normal 3 4 6 3" xfId="21227" xr:uid="{00000000-0005-0000-0000-0000738D0000}"/>
    <cellStyle name="Normal 3 4 6 3 2" xfId="38076" xr:uid="{00000000-0005-0000-0000-0000748D0000}"/>
    <cellStyle name="Normal 3 4 6 4" xfId="22528" xr:uid="{00000000-0005-0000-0000-0000758D0000}"/>
    <cellStyle name="Normal 3 4 7" xfId="2484" xr:uid="{00000000-0005-0000-0000-0000768D0000}"/>
    <cellStyle name="Normal 3 4 7 2" xfId="22530" xr:uid="{00000000-0005-0000-0000-0000778D0000}"/>
    <cellStyle name="Normal 3 4 8" xfId="3466" xr:uid="{00000000-0005-0000-0000-0000788D0000}"/>
    <cellStyle name="Normal 3 4 8 2" xfId="23455" xr:uid="{00000000-0005-0000-0000-0000798D0000}"/>
    <cellStyle name="Normal 3 4 9" xfId="22515" xr:uid="{00000000-0005-0000-0000-00007A8D0000}"/>
    <cellStyle name="Normal 3 5" xfId="2485" xr:uid="{00000000-0005-0000-0000-00007B8D0000}"/>
    <cellStyle name="Normal 3 5 2" xfId="2486" xr:uid="{00000000-0005-0000-0000-00007C8D0000}"/>
    <cellStyle name="Normal 3 5 2 2" xfId="2487" xr:uid="{00000000-0005-0000-0000-00007D8D0000}"/>
    <cellStyle name="Normal 3 5 2 2 2" xfId="2488" xr:uid="{00000000-0005-0000-0000-00007E8D0000}"/>
    <cellStyle name="Normal 3 5 2 2 2 2" xfId="22534" xr:uid="{00000000-0005-0000-0000-00007F8D0000}"/>
    <cellStyle name="Normal 3 5 2 2 3" xfId="22533" xr:uid="{00000000-0005-0000-0000-0000808D0000}"/>
    <cellStyle name="Normal 3 5 2 3" xfId="2489" xr:uid="{00000000-0005-0000-0000-0000818D0000}"/>
    <cellStyle name="Normal 3 5 2 3 2" xfId="2490" xr:uid="{00000000-0005-0000-0000-0000828D0000}"/>
    <cellStyle name="Normal 3 5 2 3 2 2" xfId="22536" xr:uid="{00000000-0005-0000-0000-0000838D0000}"/>
    <cellStyle name="Normal 3 5 2 3 3" xfId="22535" xr:uid="{00000000-0005-0000-0000-0000848D0000}"/>
    <cellStyle name="Normal 3 5 2 4" xfId="2491" xr:uid="{00000000-0005-0000-0000-0000858D0000}"/>
    <cellStyle name="Normal 3 5 2 4 2" xfId="22537" xr:uid="{00000000-0005-0000-0000-0000868D0000}"/>
    <cellStyle name="Normal 3 5 2 5" xfId="22532" xr:uid="{00000000-0005-0000-0000-0000878D0000}"/>
    <cellStyle name="Normal 3 5 3" xfId="2492" xr:uid="{00000000-0005-0000-0000-0000888D0000}"/>
    <cellStyle name="Normal 3 5 3 2" xfId="2493" xr:uid="{00000000-0005-0000-0000-0000898D0000}"/>
    <cellStyle name="Normal 3 5 3 2 2" xfId="22539" xr:uid="{00000000-0005-0000-0000-00008A8D0000}"/>
    <cellStyle name="Normal 3 5 3 3" xfId="22538" xr:uid="{00000000-0005-0000-0000-00008B8D0000}"/>
    <cellStyle name="Normal 3 5 4" xfId="2494" xr:uid="{00000000-0005-0000-0000-00008C8D0000}"/>
    <cellStyle name="Normal 3 5 4 2" xfId="2495" xr:uid="{00000000-0005-0000-0000-00008D8D0000}"/>
    <cellStyle name="Normal 3 5 4 2 2" xfId="22541" xr:uid="{00000000-0005-0000-0000-00008E8D0000}"/>
    <cellStyle name="Normal 3 5 4 3" xfId="22540" xr:uid="{00000000-0005-0000-0000-00008F8D0000}"/>
    <cellStyle name="Normal 3 5 5" xfId="2496" xr:uid="{00000000-0005-0000-0000-0000908D0000}"/>
    <cellStyle name="Normal 3 5 5 2" xfId="2497" xr:uid="{00000000-0005-0000-0000-0000918D0000}"/>
    <cellStyle name="Normal 3 5 5 2 2" xfId="22543" xr:uid="{00000000-0005-0000-0000-0000928D0000}"/>
    <cellStyle name="Normal 3 5 5 3" xfId="22542" xr:uid="{00000000-0005-0000-0000-0000938D0000}"/>
    <cellStyle name="Normal 3 5 6" xfId="2498" xr:uid="{00000000-0005-0000-0000-0000948D0000}"/>
    <cellStyle name="Normal 3 5 6 2" xfId="22544" xr:uid="{00000000-0005-0000-0000-0000958D0000}"/>
    <cellStyle name="Normal 3 5 7" xfId="3484" xr:uid="{00000000-0005-0000-0000-0000968D0000}"/>
    <cellStyle name="Normal 3 5 8" xfId="22531" xr:uid="{00000000-0005-0000-0000-0000978D0000}"/>
    <cellStyle name="Normal 3 6" xfId="2499" xr:uid="{00000000-0005-0000-0000-0000988D0000}"/>
    <cellStyle name="Normal 3 6 2" xfId="2500" xr:uid="{00000000-0005-0000-0000-0000998D0000}"/>
    <cellStyle name="Normal 3 6 2 2" xfId="2501" xr:uid="{00000000-0005-0000-0000-00009A8D0000}"/>
    <cellStyle name="Normal 3 6 2 2 2" xfId="2502" xr:uid="{00000000-0005-0000-0000-00009B8D0000}"/>
    <cellStyle name="Normal 3 6 2 2 2 2" xfId="22548" xr:uid="{00000000-0005-0000-0000-00009C8D0000}"/>
    <cellStyle name="Normal 3 6 2 2 3" xfId="18958" xr:uid="{00000000-0005-0000-0000-00009D8D0000}"/>
    <cellStyle name="Normal 3 6 2 2 3 2" xfId="37117" xr:uid="{00000000-0005-0000-0000-00009E8D0000}"/>
    <cellStyle name="Normal 3 6 2 2 4" xfId="22547" xr:uid="{00000000-0005-0000-0000-00009F8D0000}"/>
    <cellStyle name="Normal 3 6 2 3" xfId="2503" xr:uid="{00000000-0005-0000-0000-0000A08D0000}"/>
    <cellStyle name="Normal 3 6 2 3 2" xfId="2504" xr:uid="{00000000-0005-0000-0000-0000A18D0000}"/>
    <cellStyle name="Normal 3 6 2 3 2 2" xfId="22550" xr:uid="{00000000-0005-0000-0000-0000A28D0000}"/>
    <cellStyle name="Normal 3 6 2 3 3" xfId="22549" xr:uid="{00000000-0005-0000-0000-0000A38D0000}"/>
    <cellStyle name="Normal 3 6 2 4" xfId="2505" xr:uid="{00000000-0005-0000-0000-0000A48D0000}"/>
    <cellStyle name="Normal 3 6 2 4 2" xfId="22551" xr:uid="{00000000-0005-0000-0000-0000A58D0000}"/>
    <cellStyle name="Normal 3 6 2 5" xfId="11184" xr:uid="{00000000-0005-0000-0000-0000A68D0000}"/>
    <cellStyle name="Normal 3 6 2 5 2" xfId="30116" xr:uid="{00000000-0005-0000-0000-0000A78D0000}"/>
    <cellStyle name="Normal 3 6 2 6" xfId="22546" xr:uid="{00000000-0005-0000-0000-0000A88D0000}"/>
    <cellStyle name="Normal 3 6 3" xfId="2506" xr:uid="{00000000-0005-0000-0000-0000A98D0000}"/>
    <cellStyle name="Normal 3 6 3 2" xfId="2507" xr:uid="{00000000-0005-0000-0000-0000AA8D0000}"/>
    <cellStyle name="Normal 3 6 3 2 2" xfId="22553" xr:uid="{00000000-0005-0000-0000-0000AB8D0000}"/>
    <cellStyle name="Normal 3 6 3 3" xfId="12360" xr:uid="{00000000-0005-0000-0000-0000AC8D0000}"/>
    <cellStyle name="Normal 3 6 3 3 2" xfId="30530" xr:uid="{00000000-0005-0000-0000-0000AD8D0000}"/>
    <cellStyle name="Normal 3 6 3 4" xfId="22552" xr:uid="{00000000-0005-0000-0000-0000AE8D0000}"/>
    <cellStyle name="Normal 3 6 4" xfId="2508" xr:uid="{00000000-0005-0000-0000-0000AF8D0000}"/>
    <cellStyle name="Normal 3 6 4 2" xfId="2509" xr:uid="{00000000-0005-0000-0000-0000B08D0000}"/>
    <cellStyle name="Normal 3 6 4 2 2" xfId="22555" xr:uid="{00000000-0005-0000-0000-0000B18D0000}"/>
    <cellStyle name="Normal 3 6 4 3" xfId="22554" xr:uid="{00000000-0005-0000-0000-0000B28D0000}"/>
    <cellStyle name="Normal 3 6 5" xfId="2510" xr:uid="{00000000-0005-0000-0000-0000B38D0000}"/>
    <cellStyle name="Normal 3 6 5 2" xfId="2511" xr:uid="{00000000-0005-0000-0000-0000B48D0000}"/>
    <cellStyle name="Normal 3 6 5 2 2" xfId="22557" xr:uid="{00000000-0005-0000-0000-0000B58D0000}"/>
    <cellStyle name="Normal 3 6 5 3" xfId="22556" xr:uid="{00000000-0005-0000-0000-0000B68D0000}"/>
    <cellStyle name="Normal 3 6 6" xfId="2512" xr:uid="{00000000-0005-0000-0000-0000B78D0000}"/>
    <cellStyle name="Normal 3 6 6 2" xfId="22558" xr:uid="{00000000-0005-0000-0000-0000B88D0000}"/>
    <cellStyle name="Normal 3 6 7" xfId="3600" xr:uid="{00000000-0005-0000-0000-0000B98D0000}"/>
    <cellStyle name="Normal 3 6 7 2" xfId="23528" xr:uid="{00000000-0005-0000-0000-0000BA8D0000}"/>
    <cellStyle name="Normal 3 6 8" xfId="22545" xr:uid="{00000000-0005-0000-0000-0000BB8D0000}"/>
    <cellStyle name="Normal 3 6 9" xfId="39444" xr:uid="{00000000-0005-0000-0000-0000BC8D0000}"/>
    <cellStyle name="Normal 3 7" xfId="2513" xr:uid="{00000000-0005-0000-0000-0000BD8D0000}"/>
    <cellStyle name="Normal 3 7 2" xfId="2514" xr:uid="{00000000-0005-0000-0000-0000BE8D0000}"/>
    <cellStyle name="Normal 3 7 2 2" xfId="2515" xr:uid="{00000000-0005-0000-0000-0000BF8D0000}"/>
    <cellStyle name="Normal 3 7 2 2 2" xfId="2516" xr:uid="{00000000-0005-0000-0000-0000C08D0000}"/>
    <cellStyle name="Normal 3 7 2 2 2 2" xfId="22562" xr:uid="{00000000-0005-0000-0000-0000C18D0000}"/>
    <cellStyle name="Normal 3 7 2 2 3" xfId="22561" xr:uid="{00000000-0005-0000-0000-0000C28D0000}"/>
    <cellStyle name="Normal 3 7 2 3" xfId="2517" xr:uid="{00000000-0005-0000-0000-0000C38D0000}"/>
    <cellStyle name="Normal 3 7 2 3 2" xfId="2518" xr:uid="{00000000-0005-0000-0000-0000C48D0000}"/>
    <cellStyle name="Normal 3 7 2 3 2 2" xfId="22564" xr:uid="{00000000-0005-0000-0000-0000C58D0000}"/>
    <cellStyle name="Normal 3 7 2 3 3" xfId="22563" xr:uid="{00000000-0005-0000-0000-0000C68D0000}"/>
    <cellStyle name="Normal 3 7 2 4" xfId="2519" xr:uid="{00000000-0005-0000-0000-0000C78D0000}"/>
    <cellStyle name="Normal 3 7 2 4 2" xfId="22565" xr:uid="{00000000-0005-0000-0000-0000C88D0000}"/>
    <cellStyle name="Normal 3 7 2 5" xfId="12375" xr:uid="{00000000-0005-0000-0000-0000C98D0000}"/>
    <cellStyle name="Normal 3 7 2 5 2" xfId="30542" xr:uid="{00000000-0005-0000-0000-0000CA8D0000}"/>
    <cellStyle name="Normal 3 7 2 6" xfId="22560" xr:uid="{00000000-0005-0000-0000-0000CB8D0000}"/>
    <cellStyle name="Normal 3 7 3" xfId="2520" xr:uid="{00000000-0005-0000-0000-0000CC8D0000}"/>
    <cellStyle name="Normal 3 7 3 2" xfId="2521" xr:uid="{00000000-0005-0000-0000-0000CD8D0000}"/>
    <cellStyle name="Normal 3 7 3 2 2" xfId="22567" xr:uid="{00000000-0005-0000-0000-0000CE8D0000}"/>
    <cellStyle name="Normal 3 7 3 3" xfId="22566" xr:uid="{00000000-0005-0000-0000-0000CF8D0000}"/>
    <cellStyle name="Normal 3 7 4" xfId="2522" xr:uid="{00000000-0005-0000-0000-0000D08D0000}"/>
    <cellStyle name="Normal 3 7 4 2" xfId="2523" xr:uid="{00000000-0005-0000-0000-0000D18D0000}"/>
    <cellStyle name="Normal 3 7 4 2 2" xfId="22569" xr:uid="{00000000-0005-0000-0000-0000D28D0000}"/>
    <cellStyle name="Normal 3 7 4 3" xfId="22568" xr:uid="{00000000-0005-0000-0000-0000D38D0000}"/>
    <cellStyle name="Normal 3 7 5" xfId="2524" xr:uid="{00000000-0005-0000-0000-0000D48D0000}"/>
    <cellStyle name="Normal 3 7 5 2" xfId="2525" xr:uid="{00000000-0005-0000-0000-0000D58D0000}"/>
    <cellStyle name="Normal 3 7 5 2 2" xfId="22571" xr:uid="{00000000-0005-0000-0000-0000D68D0000}"/>
    <cellStyle name="Normal 3 7 5 3" xfId="22570" xr:uid="{00000000-0005-0000-0000-0000D78D0000}"/>
    <cellStyle name="Normal 3 7 6" xfId="2526" xr:uid="{00000000-0005-0000-0000-0000D88D0000}"/>
    <cellStyle name="Normal 3 7 6 2" xfId="22572" xr:uid="{00000000-0005-0000-0000-0000D98D0000}"/>
    <cellStyle name="Normal 3 7 7" xfId="3819" xr:uid="{00000000-0005-0000-0000-0000DA8D0000}"/>
    <cellStyle name="Normal 3 7 7 2" xfId="23540" xr:uid="{00000000-0005-0000-0000-0000DB8D0000}"/>
    <cellStyle name="Normal 3 7 8" xfId="22559" xr:uid="{00000000-0005-0000-0000-0000DC8D0000}"/>
    <cellStyle name="Normal 3 8" xfId="2527" xr:uid="{00000000-0005-0000-0000-0000DD8D0000}"/>
    <cellStyle name="Normal 3 8 2" xfId="2528" xr:uid="{00000000-0005-0000-0000-0000DE8D0000}"/>
    <cellStyle name="Normal 3 8 2 2" xfId="2529" xr:uid="{00000000-0005-0000-0000-0000DF8D0000}"/>
    <cellStyle name="Normal 3 8 2 2 2" xfId="2530" xr:uid="{00000000-0005-0000-0000-0000E08D0000}"/>
    <cellStyle name="Normal 3 8 2 2 2 2" xfId="22576" xr:uid="{00000000-0005-0000-0000-0000E18D0000}"/>
    <cellStyle name="Normal 3 8 2 2 3" xfId="22575" xr:uid="{00000000-0005-0000-0000-0000E28D0000}"/>
    <cellStyle name="Normal 3 8 2 3" xfId="2531" xr:uid="{00000000-0005-0000-0000-0000E38D0000}"/>
    <cellStyle name="Normal 3 8 2 3 2" xfId="2532" xr:uid="{00000000-0005-0000-0000-0000E48D0000}"/>
    <cellStyle name="Normal 3 8 2 3 2 2" xfId="22578" xr:uid="{00000000-0005-0000-0000-0000E58D0000}"/>
    <cellStyle name="Normal 3 8 2 3 3" xfId="22577" xr:uid="{00000000-0005-0000-0000-0000E68D0000}"/>
    <cellStyle name="Normal 3 8 2 4" xfId="2533" xr:uid="{00000000-0005-0000-0000-0000E78D0000}"/>
    <cellStyle name="Normal 3 8 2 4 2" xfId="22579" xr:uid="{00000000-0005-0000-0000-0000E88D0000}"/>
    <cellStyle name="Normal 3 8 2 5" xfId="18927" xr:uid="{00000000-0005-0000-0000-0000E98D0000}"/>
    <cellStyle name="Normal 3 8 2 5 2" xfId="37086" xr:uid="{00000000-0005-0000-0000-0000EA8D0000}"/>
    <cellStyle name="Normal 3 8 2 6" xfId="22574" xr:uid="{00000000-0005-0000-0000-0000EB8D0000}"/>
    <cellStyle name="Normal 3 8 3" xfId="2534" xr:uid="{00000000-0005-0000-0000-0000EC8D0000}"/>
    <cellStyle name="Normal 3 8 3 2" xfId="2535" xr:uid="{00000000-0005-0000-0000-0000ED8D0000}"/>
    <cellStyle name="Normal 3 8 3 2 2" xfId="22581" xr:uid="{00000000-0005-0000-0000-0000EE8D0000}"/>
    <cellStyle name="Normal 3 8 3 3" xfId="22580" xr:uid="{00000000-0005-0000-0000-0000EF8D0000}"/>
    <cellStyle name="Normal 3 8 4" xfId="2536" xr:uid="{00000000-0005-0000-0000-0000F08D0000}"/>
    <cellStyle name="Normal 3 8 4 2" xfId="2537" xr:uid="{00000000-0005-0000-0000-0000F18D0000}"/>
    <cellStyle name="Normal 3 8 4 2 2" xfId="22583" xr:uid="{00000000-0005-0000-0000-0000F28D0000}"/>
    <cellStyle name="Normal 3 8 4 3" xfId="22582" xr:uid="{00000000-0005-0000-0000-0000F38D0000}"/>
    <cellStyle name="Normal 3 8 5" xfId="2538" xr:uid="{00000000-0005-0000-0000-0000F48D0000}"/>
    <cellStyle name="Normal 3 8 5 2" xfId="2539" xr:uid="{00000000-0005-0000-0000-0000F58D0000}"/>
    <cellStyle name="Normal 3 8 5 2 2" xfId="22585" xr:uid="{00000000-0005-0000-0000-0000F68D0000}"/>
    <cellStyle name="Normal 3 8 5 3" xfId="22584" xr:uid="{00000000-0005-0000-0000-0000F78D0000}"/>
    <cellStyle name="Normal 3 8 6" xfId="2540" xr:uid="{00000000-0005-0000-0000-0000F88D0000}"/>
    <cellStyle name="Normal 3 8 6 2" xfId="22586" xr:uid="{00000000-0005-0000-0000-0000F98D0000}"/>
    <cellStyle name="Normal 3 8 7" xfId="11152" xr:uid="{00000000-0005-0000-0000-0000FA8D0000}"/>
    <cellStyle name="Normal 3 8 7 2" xfId="30085" xr:uid="{00000000-0005-0000-0000-0000FB8D0000}"/>
    <cellStyle name="Normal 3 8 8" xfId="22573" xr:uid="{00000000-0005-0000-0000-0000FC8D0000}"/>
    <cellStyle name="Normal 3 9" xfId="2541" xr:uid="{00000000-0005-0000-0000-0000FD8D0000}"/>
    <cellStyle name="Normal 3 9 2" xfId="2542" xr:uid="{00000000-0005-0000-0000-0000FE8D0000}"/>
    <cellStyle name="Normal 3 9 2 2" xfId="2543" xr:uid="{00000000-0005-0000-0000-0000FF8D0000}"/>
    <cellStyle name="Normal 3 9 2 2 2" xfId="22589" xr:uid="{00000000-0005-0000-0000-0000008E0000}"/>
    <cellStyle name="Normal 3 9 2 3" xfId="18966" xr:uid="{00000000-0005-0000-0000-0000018E0000}"/>
    <cellStyle name="Normal 3 9 2 3 2" xfId="37124" xr:uid="{00000000-0005-0000-0000-0000028E0000}"/>
    <cellStyle name="Normal 3 9 2 4" xfId="22588" xr:uid="{00000000-0005-0000-0000-0000038E0000}"/>
    <cellStyle name="Normal 3 9 3" xfId="2544" xr:uid="{00000000-0005-0000-0000-0000048E0000}"/>
    <cellStyle name="Normal 3 9 3 2" xfId="2545" xr:uid="{00000000-0005-0000-0000-0000058E0000}"/>
    <cellStyle name="Normal 3 9 3 2 2" xfId="22591" xr:uid="{00000000-0005-0000-0000-0000068E0000}"/>
    <cellStyle name="Normal 3 9 3 3" xfId="22590" xr:uid="{00000000-0005-0000-0000-0000078E0000}"/>
    <cellStyle name="Normal 3 9 4" xfId="2546" xr:uid="{00000000-0005-0000-0000-0000088E0000}"/>
    <cellStyle name="Normal 3 9 4 2" xfId="22592" xr:uid="{00000000-0005-0000-0000-0000098E0000}"/>
    <cellStyle name="Normal 3 9 5" xfId="11707" xr:uid="{00000000-0005-0000-0000-00000A8E0000}"/>
    <cellStyle name="Normal 3 9 5 2" xfId="30123" xr:uid="{00000000-0005-0000-0000-00000B8E0000}"/>
    <cellStyle name="Normal 3 9 6" xfId="22587" xr:uid="{00000000-0005-0000-0000-00000C8E0000}"/>
    <cellStyle name="Normal 30" xfId="2547" xr:uid="{00000000-0005-0000-0000-00000D8E0000}"/>
    <cellStyle name="Normal 31" xfId="2548" xr:uid="{00000000-0005-0000-0000-00000E8E0000}"/>
    <cellStyle name="Normal 32" xfId="2549" xr:uid="{00000000-0005-0000-0000-00000F8E0000}"/>
    <cellStyle name="Normal 33" xfId="39038" xr:uid="{00000000-0005-0000-0000-0000108E0000}"/>
    <cellStyle name="Normal 34" xfId="39039" xr:uid="{00000000-0005-0000-0000-0000118E0000}"/>
    <cellStyle name="Normal 35" xfId="39040" xr:uid="{00000000-0005-0000-0000-0000128E0000}"/>
    <cellStyle name="Normal 36" xfId="39041" xr:uid="{00000000-0005-0000-0000-0000138E0000}"/>
    <cellStyle name="Normal 37" xfId="39042" xr:uid="{00000000-0005-0000-0000-0000148E0000}"/>
    <cellStyle name="Normal 38" xfId="39043" xr:uid="{00000000-0005-0000-0000-0000158E0000}"/>
    <cellStyle name="Normal 39" xfId="39044" xr:uid="{00000000-0005-0000-0000-0000168E0000}"/>
    <cellStyle name="Normal 4" xfId="860" xr:uid="{00000000-0005-0000-0000-0000178E0000}"/>
    <cellStyle name="Normal 4 2" xfId="861" xr:uid="{00000000-0005-0000-0000-0000188E0000}"/>
    <cellStyle name="Normal 4 2 10" xfId="21781" xr:uid="{00000000-0005-0000-0000-0000198E0000}"/>
    <cellStyle name="Normal 4 2 11" xfId="39354" xr:uid="{00000000-0005-0000-0000-00001A8E0000}"/>
    <cellStyle name="Normal 4 2 12" xfId="39934" xr:uid="{00000000-0005-0000-0000-00001B8E0000}"/>
    <cellStyle name="Normal 4 2 13" xfId="40420" xr:uid="{00000000-0005-0000-0000-00001C8E0000}"/>
    <cellStyle name="Normal 4 2 2" xfId="2550" xr:uid="{00000000-0005-0000-0000-00001D8E0000}"/>
    <cellStyle name="Normal 4 2 2 2" xfId="7435" xr:uid="{00000000-0005-0000-0000-00001E8E0000}"/>
    <cellStyle name="Normal 4 2 2 3" xfId="11187" xr:uid="{00000000-0005-0000-0000-00001F8E0000}"/>
    <cellStyle name="Normal 4 2 2 3 2" xfId="18961" xr:uid="{00000000-0005-0000-0000-0000208E0000}"/>
    <cellStyle name="Normal 4 2 2 3 2 2" xfId="37120" xr:uid="{00000000-0005-0000-0000-0000218E0000}"/>
    <cellStyle name="Normal 4 2 2 3 3" xfId="30119" xr:uid="{00000000-0005-0000-0000-0000228E0000}"/>
    <cellStyle name="Normal 4 2 2 4" xfId="12363" xr:uid="{00000000-0005-0000-0000-0000238E0000}"/>
    <cellStyle name="Normal 4 2 2 4 2" xfId="30533" xr:uid="{00000000-0005-0000-0000-0000248E0000}"/>
    <cellStyle name="Normal 4 2 2 5" xfId="20729" xr:uid="{00000000-0005-0000-0000-0000258E0000}"/>
    <cellStyle name="Normal 4 2 2 6" xfId="3603" xr:uid="{00000000-0005-0000-0000-0000268E0000}"/>
    <cellStyle name="Normal 4 2 2 6 2" xfId="23531" xr:uid="{00000000-0005-0000-0000-0000278E0000}"/>
    <cellStyle name="Normal 4 2 2 7" xfId="39447" xr:uid="{00000000-0005-0000-0000-0000288E0000}"/>
    <cellStyle name="Normal 4 2 3" xfId="7436" xr:uid="{00000000-0005-0000-0000-0000298E0000}"/>
    <cellStyle name="Normal 4 2 3 2" xfId="10624" xr:uid="{00000000-0005-0000-0000-00002A8E0000}"/>
    <cellStyle name="Normal 4 2 3 2 2" xfId="18517" xr:uid="{00000000-0005-0000-0000-00002B8E0000}"/>
    <cellStyle name="Normal 4 2 3 2 2 2" xfId="36677" xr:uid="{00000000-0005-0000-0000-00002C8E0000}"/>
    <cellStyle name="Normal 4 2 3 2 3" xfId="29676" xr:uid="{00000000-0005-0000-0000-00002D8E0000}"/>
    <cellStyle name="Normal 4 2 3 3" xfId="15519" xr:uid="{00000000-0005-0000-0000-00002E8E0000}"/>
    <cellStyle name="Normal 4 2 3 3 2" xfId="33685" xr:uid="{00000000-0005-0000-0000-00002F8E0000}"/>
    <cellStyle name="Normal 4 2 3 4" xfId="26683" xr:uid="{00000000-0005-0000-0000-0000308E0000}"/>
    <cellStyle name="Normal 4 2 4" xfId="8323" xr:uid="{00000000-0005-0000-0000-0000318E0000}"/>
    <cellStyle name="Normal 4 2 4 2" xfId="16240" xr:uid="{00000000-0005-0000-0000-0000328E0000}"/>
    <cellStyle name="Normal 4 2 4 2 2" xfId="34400" xr:uid="{00000000-0005-0000-0000-0000338E0000}"/>
    <cellStyle name="Normal 4 2 4 3" xfId="27399" xr:uid="{00000000-0005-0000-0000-0000348E0000}"/>
    <cellStyle name="Normal 4 2 5" xfId="7434" xr:uid="{00000000-0005-0000-0000-0000358E0000}"/>
    <cellStyle name="Normal 4 2 5 2" xfId="15518" xr:uid="{00000000-0005-0000-0000-0000368E0000}"/>
    <cellStyle name="Normal 4 2 5 2 2" xfId="33684" xr:uid="{00000000-0005-0000-0000-0000378E0000}"/>
    <cellStyle name="Normal 4 2 5 3" xfId="26682" xr:uid="{00000000-0005-0000-0000-0000388E0000}"/>
    <cellStyle name="Normal 4 2 6" xfId="11155" xr:uid="{00000000-0005-0000-0000-0000398E0000}"/>
    <cellStyle name="Normal 4 2 6 2" xfId="18930" xr:uid="{00000000-0005-0000-0000-00003A8E0000}"/>
    <cellStyle name="Normal 4 2 6 2 2" xfId="37089" xr:uid="{00000000-0005-0000-0000-00003B8E0000}"/>
    <cellStyle name="Normal 4 2 6 3" xfId="30088" xr:uid="{00000000-0005-0000-0000-00003C8E0000}"/>
    <cellStyle name="Normal 4 2 7" xfId="12268" xr:uid="{00000000-0005-0000-0000-00003D8E0000}"/>
    <cellStyle name="Normal 4 2 7 2" xfId="30453" xr:uid="{00000000-0005-0000-0000-00003E8E0000}"/>
    <cellStyle name="Normal 4 2 8" xfId="19715" xr:uid="{00000000-0005-0000-0000-00003F8E0000}"/>
    <cellStyle name="Normal 4 2 9" xfId="3450" xr:uid="{00000000-0005-0000-0000-0000408E0000}"/>
    <cellStyle name="Normal 4 2 9 2" xfId="23450" xr:uid="{00000000-0005-0000-0000-0000418E0000}"/>
    <cellStyle name="Normal 4 3" xfId="2551" xr:uid="{00000000-0005-0000-0000-0000428E0000}"/>
    <cellStyle name="Normal 4 3 2" xfId="2552" xr:uid="{00000000-0005-0000-0000-0000438E0000}"/>
    <cellStyle name="Normal 4 3 2 2" xfId="2553" xr:uid="{00000000-0005-0000-0000-0000448E0000}"/>
    <cellStyle name="Normal 4 3 2 2 2" xfId="22595" xr:uid="{00000000-0005-0000-0000-0000458E0000}"/>
    <cellStyle name="Normal 4 3 2 3" xfId="7437" xr:uid="{00000000-0005-0000-0000-0000468E0000}"/>
    <cellStyle name="Normal 4 3 2 4" xfId="22594" xr:uid="{00000000-0005-0000-0000-0000478E0000}"/>
    <cellStyle name="Normal 4 3 3" xfId="2554" xr:uid="{00000000-0005-0000-0000-0000488E0000}"/>
    <cellStyle name="Normal 4 3 3 2" xfId="2555" xr:uid="{00000000-0005-0000-0000-0000498E0000}"/>
    <cellStyle name="Normal 4 3 3 2 2" xfId="18948" xr:uid="{00000000-0005-0000-0000-00004A8E0000}"/>
    <cellStyle name="Normal 4 3 3 2 2 2" xfId="37107" xr:uid="{00000000-0005-0000-0000-00004B8E0000}"/>
    <cellStyle name="Normal 4 3 3 2 3" xfId="22597" xr:uid="{00000000-0005-0000-0000-00004C8E0000}"/>
    <cellStyle name="Normal 4 3 3 3" xfId="11174" xr:uid="{00000000-0005-0000-0000-00004D8E0000}"/>
    <cellStyle name="Normal 4 3 3 3 2" xfId="30106" xr:uid="{00000000-0005-0000-0000-00004E8E0000}"/>
    <cellStyle name="Normal 4 3 3 4" xfId="22596" xr:uid="{00000000-0005-0000-0000-00004F8E0000}"/>
    <cellStyle name="Normal 4 3 4" xfId="2556" xr:uid="{00000000-0005-0000-0000-0000508E0000}"/>
    <cellStyle name="Normal 4 3 4 2" xfId="12287" xr:uid="{00000000-0005-0000-0000-0000518E0000}"/>
    <cellStyle name="Normal 4 3 4 2 2" xfId="30458" xr:uid="{00000000-0005-0000-0000-0000528E0000}"/>
    <cellStyle name="Normal 4 3 5" xfId="2557" xr:uid="{00000000-0005-0000-0000-0000538E0000}"/>
    <cellStyle name="Normal 4 3 5 2" xfId="22598" xr:uid="{00000000-0005-0000-0000-0000548E0000}"/>
    <cellStyle name="Normal 4 3 6" xfId="3467" xr:uid="{00000000-0005-0000-0000-0000558E0000}"/>
    <cellStyle name="Normal 4 3 6 2" xfId="23456" xr:uid="{00000000-0005-0000-0000-0000568E0000}"/>
    <cellStyle name="Normal 4 3 7" xfId="22593" xr:uid="{00000000-0005-0000-0000-0000578E0000}"/>
    <cellStyle name="Normal 4 3 8" xfId="39372" xr:uid="{00000000-0005-0000-0000-0000588E0000}"/>
    <cellStyle name="Normal 4 4" xfId="2558" xr:uid="{00000000-0005-0000-0000-0000598E0000}"/>
    <cellStyle name="Normal 4 4 2" xfId="2559" xr:uid="{00000000-0005-0000-0000-00005A8E0000}"/>
    <cellStyle name="Normal 4 4 2 2" xfId="11108" xr:uid="{00000000-0005-0000-0000-00005B8E0000}"/>
    <cellStyle name="Normal 4 4 2 3" xfId="22600" xr:uid="{00000000-0005-0000-0000-00005C8E0000}"/>
    <cellStyle name="Normal 4 4 3" xfId="7433" xr:uid="{00000000-0005-0000-0000-00005D8E0000}"/>
    <cellStyle name="Normal 4 4 4" xfId="22599" xr:uid="{00000000-0005-0000-0000-00005E8E0000}"/>
    <cellStyle name="Normal 4 5" xfId="2560" xr:uid="{00000000-0005-0000-0000-00005F8E0000}"/>
    <cellStyle name="Normal 4 5 2" xfId="2561" xr:uid="{00000000-0005-0000-0000-0000608E0000}"/>
    <cellStyle name="Normal 4 5 2 2" xfId="12376" xr:uid="{00000000-0005-0000-0000-0000618E0000}"/>
    <cellStyle name="Normal 4 5 2 2 2" xfId="30543" xr:uid="{00000000-0005-0000-0000-0000628E0000}"/>
    <cellStyle name="Normal 4 5 2 3" xfId="22602" xr:uid="{00000000-0005-0000-0000-0000638E0000}"/>
    <cellStyle name="Normal 4 5 3" xfId="3820" xr:uid="{00000000-0005-0000-0000-0000648E0000}"/>
    <cellStyle name="Normal 4 5 3 2" xfId="23541" xr:uid="{00000000-0005-0000-0000-0000658E0000}"/>
    <cellStyle name="Normal 4 5 4" xfId="22601" xr:uid="{00000000-0005-0000-0000-0000668E0000}"/>
    <cellStyle name="Normal 4 6" xfId="2562" xr:uid="{00000000-0005-0000-0000-0000678E0000}"/>
    <cellStyle name="Normal 4 7" xfId="2563" xr:uid="{00000000-0005-0000-0000-0000688E0000}"/>
    <cellStyle name="Normal 4 7 2" xfId="22603" xr:uid="{00000000-0005-0000-0000-0000698E0000}"/>
    <cellStyle name="Normal 40" xfId="40426"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_CBA Femer Bælt" xfId="40424" xr:uid="{00000000-0005-0000-0000-0000C7910000}"/>
    <cellStyle name="Normal_PERS93" xfId="40425" xr:uid="{00000000-0005-0000-0000-0000C8910000}"/>
    <cellStyle name="Normale 10" xfId="876" xr:uid="{00000000-0005-0000-0000-0000C9910000}"/>
    <cellStyle name="Normale 10 2" xfId="877" xr:uid="{00000000-0005-0000-0000-0000CA910000}"/>
    <cellStyle name="Normale 10 2 2" xfId="3607" xr:uid="{00000000-0005-0000-0000-0000CB910000}"/>
    <cellStyle name="Normale 10 3" xfId="878" xr:uid="{00000000-0005-0000-0000-0000CC910000}"/>
    <cellStyle name="Normale 10 3 2" xfId="3608" xr:uid="{00000000-0005-0000-0000-0000CD910000}"/>
    <cellStyle name="Normale 10 4" xfId="3606" xr:uid="{00000000-0005-0000-0000-0000CE910000}"/>
    <cellStyle name="Normale 10_EDEN industria 2008 rev" xfId="879" xr:uid="{00000000-0005-0000-0000-0000CF910000}"/>
    <cellStyle name="Normale 11" xfId="880" xr:uid="{00000000-0005-0000-0000-0000D0910000}"/>
    <cellStyle name="Normale 11 2" xfId="881" xr:uid="{00000000-0005-0000-0000-0000D1910000}"/>
    <cellStyle name="Normale 11 2 2" xfId="3610" xr:uid="{00000000-0005-0000-0000-0000D2910000}"/>
    <cellStyle name="Normale 11 3" xfId="882" xr:uid="{00000000-0005-0000-0000-0000D3910000}"/>
    <cellStyle name="Normale 11 3 2" xfId="3611" xr:uid="{00000000-0005-0000-0000-0000D4910000}"/>
    <cellStyle name="Normale 11 4" xfId="3609" xr:uid="{00000000-0005-0000-0000-0000D5910000}"/>
    <cellStyle name="Normale 11_EDEN industria 2008 rev" xfId="883" xr:uid="{00000000-0005-0000-0000-0000D6910000}"/>
    <cellStyle name="Normale 12" xfId="884" xr:uid="{00000000-0005-0000-0000-0000D7910000}"/>
    <cellStyle name="Normale 12 2" xfId="885" xr:uid="{00000000-0005-0000-0000-0000D8910000}"/>
    <cellStyle name="Normale 12 2 2" xfId="3613" xr:uid="{00000000-0005-0000-0000-0000D9910000}"/>
    <cellStyle name="Normale 12 3" xfId="886" xr:uid="{00000000-0005-0000-0000-0000DA910000}"/>
    <cellStyle name="Normale 12 3 2" xfId="3614" xr:uid="{00000000-0005-0000-0000-0000DB910000}"/>
    <cellStyle name="Normale 12 4" xfId="3612" xr:uid="{00000000-0005-0000-0000-0000DC910000}"/>
    <cellStyle name="Normale 12_EDEN industria 2008 rev" xfId="887" xr:uid="{00000000-0005-0000-0000-0000DD910000}"/>
    <cellStyle name="Normale 13" xfId="888" xr:uid="{00000000-0005-0000-0000-0000DE910000}"/>
    <cellStyle name="Normale 13 2" xfId="889" xr:uid="{00000000-0005-0000-0000-0000DF910000}"/>
    <cellStyle name="Normale 13 2 2" xfId="3616" xr:uid="{00000000-0005-0000-0000-0000E0910000}"/>
    <cellStyle name="Normale 13 3" xfId="890" xr:uid="{00000000-0005-0000-0000-0000E1910000}"/>
    <cellStyle name="Normale 13 3 2" xfId="3617" xr:uid="{00000000-0005-0000-0000-0000E2910000}"/>
    <cellStyle name="Normale 13 4" xfId="3615" xr:uid="{00000000-0005-0000-0000-0000E3910000}"/>
    <cellStyle name="Normale 13_EDEN industria 2008 rev" xfId="891" xr:uid="{00000000-0005-0000-0000-0000E4910000}"/>
    <cellStyle name="Normale 14" xfId="892" xr:uid="{00000000-0005-0000-0000-0000E5910000}"/>
    <cellStyle name="Normale 14 2" xfId="893" xr:uid="{00000000-0005-0000-0000-0000E6910000}"/>
    <cellStyle name="Normale 14 2 2" xfId="3619" xr:uid="{00000000-0005-0000-0000-0000E7910000}"/>
    <cellStyle name="Normale 14 3" xfId="894" xr:uid="{00000000-0005-0000-0000-0000E8910000}"/>
    <cellStyle name="Normale 14 3 2" xfId="3620" xr:uid="{00000000-0005-0000-0000-0000E9910000}"/>
    <cellStyle name="Normale 14 4" xfId="3618" xr:uid="{00000000-0005-0000-0000-0000EA910000}"/>
    <cellStyle name="Normale 14_EDEN industria 2008 rev" xfId="895" xr:uid="{00000000-0005-0000-0000-0000EB910000}"/>
    <cellStyle name="Normale 15" xfId="896" xr:uid="{00000000-0005-0000-0000-0000EC910000}"/>
    <cellStyle name="Normale 15 2" xfId="897" xr:uid="{00000000-0005-0000-0000-0000ED910000}"/>
    <cellStyle name="Normale 15 2 2" xfId="3622" xr:uid="{00000000-0005-0000-0000-0000EE910000}"/>
    <cellStyle name="Normale 15 3" xfId="898" xr:uid="{00000000-0005-0000-0000-0000EF910000}"/>
    <cellStyle name="Normale 15 3 2" xfId="3623" xr:uid="{00000000-0005-0000-0000-0000F0910000}"/>
    <cellStyle name="Normale 15 4" xfId="3621" xr:uid="{00000000-0005-0000-0000-0000F1910000}"/>
    <cellStyle name="Normale 15_EDEN industria 2008 rev" xfId="899" xr:uid="{00000000-0005-0000-0000-0000F2910000}"/>
    <cellStyle name="Normale 16" xfId="900" xr:uid="{00000000-0005-0000-0000-0000F3910000}"/>
    <cellStyle name="Normale 16 2" xfId="3624" xr:uid="{00000000-0005-0000-0000-0000F4910000}"/>
    <cellStyle name="Normale 17" xfId="901" xr:uid="{00000000-0005-0000-0000-0000F5910000}"/>
    <cellStyle name="Normale 17 2" xfId="3625" xr:uid="{00000000-0005-0000-0000-0000F6910000}"/>
    <cellStyle name="Normale 18" xfId="902" xr:uid="{00000000-0005-0000-0000-0000F7910000}"/>
    <cellStyle name="Normale 19" xfId="903" xr:uid="{00000000-0005-0000-0000-0000F8910000}"/>
    <cellStyle name="Normale 2" xfId="904" xr:uid="{00000000-0005-0000-0000-0000F9910000}"/>
    <cellStyle name="Normale 2 2" xfId="905" xr:uid="{00000000-0005-0000-0000-0000FA910000}"/>
    <cellStyle name="Normale 2 2 2" xfId="3627" xr:uid="{00000000-0005-0000-0000-0000FB910000}"/>
    <cellStyle name="Normale 2 3" xfId="3626" xr:uid="{00000000-0005-0000-0000-0000FC910000}"/>
    <cellStyle name="Normale 2_EDEN industria 2008 rev" xfId="906" xr:uid="{00000000-0005-0000-0000-0000FD910000}"/>
    <cellStyle name="Normale 20" xfId="907" xr:uid="{00000000-0005-0000-0000-0000FE910000}"/>
    <cellStyle name="Normale 20 2" xfId="3628" xr:uid="{00000000-0005-0000-0000-0000FF910000}"/>
    <cellStyle name="Normale 21" xfId="908" xr:uid="{00000000-0005-0000-0000-000000920000}"/>
    <cellStyle name="Normale 21 2" xfId="3629" xr:uid="{00000000-0005-0000-0000-000001920000}"/>
    <cellStyle name="Normale 22" xfId="909" xr:uid="{00000000-0005-0000-0000-000002920000}"/>
    <cellStyle name="Normale 22 2" xfId="3630" xr:uid="{00000000-0005-0000-0000-000003920000}"/>
    <cellStyle name="Normale 23" xfId="910" xr:uid="{00000000-0005-0000-0000-000004920000}"/>
    <cellStyle name="Normale 23 2" xfId="3631" xr:uid="{00000000-0005-0000-0000-000005920000}"/>
    <cellStyle name="Normale 24" xfId="911" xr:uid="{00000000-0005-0000-0000-000006920000}"/>
    <cellStyle name="Normale 24 2" xfId="3632" xr:uid="{00000000-0005-0000-0000-000007920000}"/>
    <cellStyle name="Normale 25" xfId="912" xr:uid="{00000000-0005-0000-0000-000008920000}"/>
    <cellStyle name="Normale 25 2" xfId="3633" xr:uid="{00000000-0005-0000-0000-000009920000}"/>
    <cellStyle name="Normale 26" xfId="913" xr:uid="{00000000-0005-0000-0000-00000A920000}"/>
    <cellStyle name="Normale 26 2" xfId="3634" xr:uid="{00000000-0005-0000-0000-00000B920000}"/>
    <cellStyle name="Normale 27" xfId="914" xr:uid="{00000000-0005-0000-0000-00000C920000}"/>
    <cellStyle name="Normale 27 2" xfId="3635" xr:uid="{00000000-0005-0000-0000-00000D920000}"/>
    <cellStyle name="Normale 28" xfId="915" xr:uid="{00000000-0005-0000-0000-00000E920000}"/>
    <cellStyle name="Normale 28 2" xfId="3636" xr:uid="{00000000-0005-0000-0000-00000F920000}"/>
    <cellStyle name="Normale 29" xfId="916" xr:uid="{00000000-0005-0000-0000-000010920000}"/>
    <cellStyle name="Normale 29 2" xfId="3637" xr:uid="{00000000-0005-0000-0000-000011920000}"/>
    <cellStyle name="Normale 3" xfId="917" xr:uid="{00000000-0005-0000-0000-000012920000}"/>
    <cellStyle name="Normale 3 2" xfId="918" xr:uid="{00000000-0005-0000-0000-000013920000}"/>
    <cellStyle name="Normale 3 2 2" xfId="3639" xr:uid="{00000000-0005-0000-0000-000014920000}"/>
    <cellStyle name="Normale 3 3" xfId="919" xr:uid="{00000000-0005-0000-0000-000015920000}"/>
    <cellStyle name="Normale 3 3 2" xfId="3640" xr:uid="{00000000-0005-0000-0000-000016920000}"/>
    <cellStyle name="Normale 3 4" xfId="3638" xr:uid="{00000000-0005-0000-0000-000017920000}"/>
    <cellStyle name="Normale 3_EDEN industria 2008 rev" xfId="920" xr:uid="{00000000-0005-0000-0000-000018920000}"/>
    <cellStyle name="Normale 30" xfId="921" xr:uid="{00000000-0005-0000-0000-000019920000}"/>
    <cellStyle name="Normale 30 2" xfId="3641" xr:uid="{00000000-0005-0000-0000-00001A920000}"/>
    <cellStyle name="Normale 31" xfId="922" xr:uid="{00000000-0005-0000-0000-00001B920000}"/>
    <cellStyle name="Normale 31 2" xfId="3642" xr:uid="{00000000-0005-0000-0000-00001C920000}"/>
    <cellStyle name="Normale 32" xfId="923" xr:uid="{00000000-0005-0000-0000-00001D920000}"/>
    <cellStyle name="Normale 32 2" xfId="3643" xr:uid="{00000000-0005-0000-0000-00001E920000}"/>
    <cellStyle name="Normale 33" xfId="924" xr:uid="{00000000-0005-0000-0000-00001F920000}"/>
    <cellStyle name="Normale 33 2" xfId="3644" xr:uid="{00000000-0005-0000-0000-000020920000}"/>
    <cellStyle name="Normale 34" xfId="925" xr:uid="{00000000-0005-0000-0000-000021920000}"/>
    <cellStyle name="Normale 34 2" xfId="3645" xr:uid="{00000000-0005-0000-0000-000022920000}"/>
    <cellStyle name="Normale 35" xfId="926" xr:uid="{00000000-0005-0000-0000-000023920000}"/>
    <cellStyle name="Normale 35 2" xfId="3646" xr:uid="{00000000-0005-0000-0000-000024920000}"/>
    <cellStyle name="Normale 36" xfId="927" xr:uid="{00000000-0005-0000-0000-000025920000}"/>
    <cellStyle name="Normale 36 2" xfId="3647" xr:uid="{00000000-0005-0000-0000-000026920000}"/>
    <cellStyle name="Normale 37" xfId="928" xr:uid="{00000000-0005-0000-0000-000027920000}"/>
    <cellStyle name="Normale 37 2" xfId="3648" xr:uid="{00000000-0005-0000-0000-000028920000}"/>
    <cellStyle name="Normale 38" xfId="929" xr:uid="{00000000-0005-0000-0000-000029920000}"/>
    <cellStyle name="Normale 38 2" xfId="3649" xr:uid="{00000000-0005-0000-0000-00002A920000}"/>
    <cellStyle name="Normale 39" xfId="930" xr:uid="{00000000-0005-0000-0000-00002B920000}"/>
    <cellStyle name="Normale 39 2" xfId="3650" xr:uid="{00000000-0005-0000-0000-00002C920000}"/>
    <cellStyle name="Normale 4" xfId="931" xr:uid="{00000000-0005-0000-0000-00002D920000}"/>
    <cellStyle name="Normale 4 2" xfId="932" xr:uid="{00000000-0005-0000-0000-00002E920000}"/>
    <cellStyle name="Normale 4 2 2" xfId="3652" xr:uid="{00000000-0005-0000-0000-00002F920000}"/>
    <cellStyle name="Normale 4 3" xfId="933" xr:uid="{00000000-0005-0000-0000-000030920000}"/>
    <cellStyle name="Normale 4 3 2" xfId="3653" xr:uid="{00000000-0005-0000-0000-000031920000}"/>
    <cellStyle name="Normale 4 4" xfId="3651" xr:uid="{00000000-0005-0000-0000-000032920000}"/>
    <cellStyle name="Normale 4_EDEN industria 2008 rev" xfId="934" xr:uid="{00000000-0005-0000-0000-000033920000}"/>
    <cellStyle name="Normale 40" xfId="935" xr:uid="{00000000-0005-0000-0000-000034920000}"/>
    <cellStyle name="Normale 40 2" xfId="3654" xr:uid="{00000000-0005-0000-0000-000035920000}"/>
    <cellStyle name="Normale 41" xfId="936" xr:uid="{00000000-0005-0000-0000-000036920000}"/>
    <cellStyle name="Normale 41 2" xfId="3655" xr:uid="{00000000-0005-0000-0000-000037920000}"/>
    <cellStyle name="Normale 42" xfId="937" xr:uid="{00000000-0005-0000-0000-000038920000}"/>
    <cellStyle name="Normale 42 2" xfId="3656" xr:uid="{00000000-0005-0000-0000-000039920000}"/>
    <cellStyle name="Normale 43" xfId="938" xr:uid="{00000000-0005-0000-0000-00003A920000}"/>
    <cellStyle name="Normale 43 2" xfId="3657" xr:uid="{00000000-0005-0000-0000-00003B920000}"/>
    <cellStyle name="Normale 44" xfId="939" xr:uid="{00000000-0005-0000-0000-00003C920000}"/>
    <cellStyle name="Normale 44 2" xfId="3658" xr:uid="{00000000-0005-0000-0000-00003D920000}"/>
    <cellStyle name="Normale 45" xfId="940" xr:uid="{00000000-0005-0000-0000-00003E920000}"/>
    <cellStyle name="Normale 45 2" xfId="3659" xr:uid="{00000000-0005-0000-0000-00003F920000}"/>
    <cellStyle name="Normale 46" xfId="941" xr:uid="{00000000-0005-0000-0000-000040920000}"/>
    <cellStyle name="Normale 46 2" xfId="3660" xr:uid="{00000000-0005-0000-0000-000041920000}"/>
    <cellStyle name="Normale 47" xfId="942" xr:uid="{00000000-0005-0000-0000-000042920000}"/>
    <cellStyle name="Normale 47 2" xfId="3661" xr:uid="{00000000-0005-0000-0000-000043920000}"/>
    <cellStyle name="Normale 48" xfId="943" xr:uid="{00000000-0005-0000-0000-000044920000}"/>
    <cellStyle name="Normale 48 2" xfId="3662" xr:uid="{00000000-0005-0000-0000-000045920000}"/>
    <cellStyle name="Normale 49" xfId="944" xr:uid="{00000000-0005-0000-0000-000046920000}"/>
    <cellStyle name="Normale 49 2" xfId="3663" xr:uid="{00000000-0005-0000-0000-000047920000}"/>
    <cellStyle name="Normale 5" xfId="945" xr:uid="{00000000-0005-0000-0000-000048920000}"/>
    <cellStyle name="Normale 5 2" xfId="946" xr:uid="{00000000-0005-0000-0000-000049920000}"/>
    <cellStyle name="Normale 5 2 2" xfId="3665" xr:uid="{00000000-0005-0000-0000-00004A920000}"/>
    <cellStyle name="Normale 5 3" xfId="947" xr:uid="{00000000-0005-0000-0000-00004B920000}"/>
    <cellStyle name="Normale 5 3 2" xfId="3666" xr:uid="{00000000-0005-0000-0000-00004C920000}"/>
    <cellStyle name="Normale 5 4" xfId="3664" xr:uid="{00000000-0005-0000-0000-00004D920000}"/>
    <cellStyle name="Normale 5_EDEN industria 2008 rev" xfId="948" xr:uid="{00000000-0005-0000-0000-00004E920000}"/>
    <cellStyle name="Normale 50" xfId="949" xr:uid="{00000000-0005-0000-0000-00004F920000}"/>
    <cellStyle name="Normale 50 2" xfId="3667" xr:uid="{00000000-0005-0000-0000-000050920000}"/>
    <cellStyle name="Normale 51" xfId="950" xr:uid="{00000000-0005-0000-0000-000051920000}"/>
    <cellStyle name="Normale 51 2" xfId="3668" xr:uid="{00000000-0005-0000-0000-000052920000}"/>
    <cellStyle name="Normale 52" xfId="951" xr:uid="{00000000-0005-0000-0000-000053920000}"/>
    <cellStyle name="Normale 52 2" xfId="3669" xr:uid="{00000000-0005-0000-0000-000054920000}"/>
    <cellStyle name="Normale 53" xfId="952" xr:uid="{00000000-0005-0000-0000-000055920000}"/>
    <cellStyle name="Normale 53 2" xfId="3670" xr:uid="{00000000-0005-0000-0000-000056920000}"/>
    <cellStyle name="Normale 54" xfId="953" xr:uid="{00000000-0005-0000-0000-000057920000}"/>
    <cellStyle name="Normale 54 2" xfId="3671" xr:uid="{00000000-0005-0000-0000-000058920000}"/>
    <cellStyle name="Normale 55" xfId="954" xr:uid="{00000000-0005-0000-0000-000059920000}"/>
    <cellStyle name="Normale 55 2" xfId="3672" xr:uid="{00000000-0005-0000-0000-00005A920000}"/>
    <cellStyle name="Normale 56" xfId="955" xr:uid="{00000000-0005-0000-0000-00005B920000}"/>
    <cellStyle name="Normale 56 2" xfId="3673" xr:uid="{00000000-0005-0000-0000-00005C920000}"/>
    <cellStyle name="Normale 57" xfId="956" xr:uid="{00000000-0005-0000-0000-00005D920000}"/>
    <cellStyle name="Normale 57 2" xfId="3674" xr:uid="{00000000-0005-0000-0000-00005E920000}"/>
    <cellStyle name="Normale 58" xfId="957" xr:uid="{00000000-0005-0000-0000-00005F920000}"/>
    <cellStyle name="Normale 58 2" xfId="3675" xr:uid="{00000000-0005-0000-0000-000060920000}"/>
    <cellStyle name="Normale 59" xfId="958" xr:uid="{00000000-0005-0000-0000-000061920000}"/>
    <cellStyle name="Normale 59 2" xfId="3676" xr:uid="{00000000-0005-0000-0000-000062920000}"/>
    <cellStyle name="Normale 6" xfId="959" xr:uid="{00000000-0005-0000-0000-000063920000}"/>
    <cellStyle name="Normale 6 2" xfId="960" xr:uid="{00000000-0005-0000-0000-000064920000}"/>
    <cellStyle name="Normale 6 2 2" xfId="3678" xr:uid="{00000000-0005-0000-0000-000065920000}"/>
    <cellStyle name="Normale 6 3" xfId="961" xr:uid="{00000000-0005-0000-0000-000066920000}"/>
    <cellStyle name="Normale 6 3 2" xfId="3679" xr:uid="{00000000-0005-0000-0000-000067920000}"/>
    <cellStyle name="Normale 6 4" xfId="3677" xr:uid="{00000000-0005-0000-0000-000068920000}"/>
    <cellStyle name="Normale 6_EDEN industria 2008 rev" xfId="962" xr:uid="{00000000-0005-0000-0000-000069920000}"/>
    <cellStyle name="Normale 60" xfId="963" xr:uid="{00000000-0005-0000-0000-00006A920000}"/>
    <cellStyle name="Normale 60 2" xfId="3680" xr:uid="{00000000-0005-0000-0000-00006B920000}"/>
    <cellStyle name="Normale 61" xfId="964" xr:uid="{00000000-0005-0000-0000-00006C920000}"/>
    <cellStyle name="Normale 61 2" xfId="3681" xr:uid="{00000000-0005-0000-0000-00006D920000}"/>
    <cellStyle name="Normale 62" xfId="965" xr:uid="{00000000-0005-0000-0000-00006E920000}"/>
    <cellStyle name="Normale 62 2" xfId="3682" xr:uid="{00000000-0005-0000-0000-00006F920000}"/>
    <cellStyle name="Normale 63" xfId="966" xr:uid="{00000000-0005-0000-0000-000070920000}"/>
    <cellStyle name="Normale 63 2" xfId="3683" xr:uid="{00000000-0005-0000-0000-000071920000}"/>
    <cellStyle name="Normale 64" xfId="967" xr:uid="{00000000-0005-0000-0000-000072920000}"/>
    <cellStyle name="Normale 64 2" xfId="3684" xr:uid="{00000000-0005-0000-0000-000073920000}"/>
    <cellStyle name="Normale 65" xfId="968" xr:uid="{00000000-0005-0000-0000-000074920000}"/>
    <cellStyle name="Normale 65 2" xfId="3685" xr:uid="{00000000-0005-0000-0000-000075920000}"/>
    <cellStyle name="Normale 7" xfId="969" xr:uid="{00000000-0005-0000-0000-000076920000}"/>
    <cellStyle name="Normale 7 2" xfId="970" xr:uid="{00000000-0005-0000-0000-000077920000}"/>
    <cellStyle name="Normale 7 2 2" xfId="3687" xr:uid="{00000000-0005-0000-0000-000078920000}"/>
    <cellStyle name="Normale 7 3" xfId="971" xr:uid="{00000000-0005-0000-0000-000079920000}"/>
    <cellStyle name="Normale 7 3 2" xfId="3688" xr:uid="{00000000-0005-0000-0000-00007A920000}"/>
    <cellStyle name="Normale 7 4" xfId="3686" xr:uid="{00000000-0005-0000-0000-00007B920000}"/>
    <cellStyle name="Normale 7_EDEN industria 2008 rev" xfId="972" xr:uid="{00000000-0005-0000-0000-00007C920000}"/>
    <cellStyle name="Normale 8" xfId="973" xr:uid="{00000000-0005-0000-0000-00007D920000}"/>
    <cellStyle name="Normale 8 2" xfId="974" xr:uid="{00000000-0005-0000-0000-00007E920000}"/>
    <cellStyle name="Normale 8 2 2" xfId="3690" xr:uid="{00000000-0005-0000-0000-00007F920000}"/>
    <cellStyle name="Normale 8 3" xfId="975" xr:uid="{00000000-0005-0000-0000-000080920000}"/>
    <cellStyle name="Normale 8 3 2" xfId="3691" xr:uid="{00000000-0005-0000-0000-000081920000}"/>
    <cellStyle name="Normale 8 4" xfId="3689" xr:uid="{00000000-0005-0000-0000-000082920000}"/>
    <cellStyle name="Normale 8_EDEN industria 2008 rev" xfId="976" xr:uid="{00000000-0005-0000-0000-000083920000}"/>
    <cellStyle name="Normale 9" xfId="977" xr:uid="{00000000-0005-0000-0000-000084920000}"/>
    <cellStyle name="Normale 9 2" xfId="978" xr:uid="{00000000-0005-0000-0000-000085920000}"/>
    <cellStyle name="Normale 9 2 2" xfId="3693" xr:uid="{00000000-0005-0000-0000-000086920000}"/>
    <cellStyle name="Normale 9 3" xfId="979" xr:uid="{00000000-0005-0000-0000-000087920000}"/>
    <cellStyle name="Normale 9 3 2" xfId="3694" xr:uid="{00000000-0005-0000-0000-000088920000}"/>
    <cellStyle name="Normale 9 4" xfId="3692" xr:uid="{00000000-0005-0000-0000-000089920000}"/>
    <cellStyle name="Normale 9_EDEN industria 2008 rev" xfId="980" xr:uid="{00000000-0005-0000-0000-00008A920000}"/>
    <cellStyle name="Normale_B2020" xfId="981" xr:uid="{00000000-0005-0000-0000-00008B920000}"/>
    <cellStyle name="Nota" xfId="982" xr:uid="{00000000-0005-0000-0000-00008C920000}"/>
    <cellStyle name="Nota 2" xfId="983" xr:uid="{00000000-0005-0000-0000-00008D920000}"/>
    <cellStyle name="Nota 2 2" xfId="3695" xr:uid="{00000000-0005-0000-0000-00008E920000}"/>
    <cellStyle name="Nota 2 2 2" xfId="12365" xr:uid="{00000000-0005-0000-0000-00008F920000}"/>
    <cellStyle name="Nota 2 2 3" xfId="20734" xr:uid="{00000000-0005-0000-0000-000090920000}"/>
    <cellStyle name="Nota 2 2 4" xfId="21240" xr:uid="{00000000-0005-0000-0000-000091920000}"/>
    <cellStyle name="Nota 2 3" xfId="12273" xr:uid="{00000000-0005-0000-0000-000092920000}"/>
    <cellStyle name="Nota 2 4" xfId="11940" xr:uid="{00000000-0005-0000-0000-000093920000}"/>
    <cellStyle name="Nota 2 5" xfId="19722" xr:uid="{00000000-0005-0000-0000-000094920000}"/>
    <cellStyle name="Nota 3" xfId="984" xr:uid="{00000000-0005-0000-0000-000095920000}"/>
    <cellStyle name="Nota 3 2" xfId="985" xr:uid="{00000000-0005-0000-0000-000096920000}"/>
    <cellStyle name="Nota 3 2 2" xfId="12275" xr:uid="{00000000-0005-0000-0000-000097920000}"/>
    <cellStyle name="Nota 3 2 3" xfId="11938" xr:uid="{00000000-0005-0000-0000-000098920000}"/>
    <cellStyle name="Nota 3 2 4" xfId="19724" xr:uid="{00000000-0005-0000-0000-000099920000}"/>
    <cellStyle name="Nota 3 3" xfId="12274" xr:uid="{00000000-0005-0000-0000-00009A920000}"/>
    <cellStyle name="Nota 3 3 2" xfId="20736" xr:uid="{00000000-0005-0000-0000-00009B920000}"/>
    <cellStyle name="Nota 3 3 2 2" xfId="21242" xr:uid="{00000000-0005-0000-0000-00009C920000}"/>
    <cellStyle name="Nota 3 3 3" xfId="19725" xr:uid="{00000000-0005-0000-0000-00009D920000}"/>
    <cellStyle name="Nota 3 3 4" xfId="21237" xr:uid="{00000000-0005-0000-0000-00009E920000}"/>
    <cellStyle name="Nota 3 4" xfId="11939" xr:uid="{00000000-0005-0000-0000-00009F920000}"/>
    <cellStyle name="Nota 3 4 2" xfId="20735" xr:uid="{00000000-0005-0000-0000-0000A0920000}"/>
    <cellStyle name="Nota 3 4 3" xfId="21241" xr:uid="{00000000-0005-0000-0000-0000A1920000}"/>
    <cellStyle name="Nota 3 5" xfId="19723" xr:uid="{00000000-0005-0000-0000-0000A2920000}"/>
    <cellStyle name="Nota 3 6" xfId="21236" xr:uid="{00000000-0005-0000-0000-0000A3920000}"/>
    <cellStyle name="Nota 4" xfId="986" xr:uid="{00000000-0005-0000-0000-0000A4920000}"/>
    <cellStyle name="Nota 4 2" xfId="18969" xr:uid="{00000000-0005-0000-0000-0000A5920000}"/>
    <cellStyle name="Nota 4 2 2" xfId="20738" xr:uid="{00000000-0005-0000-0000-0000A6920000}"/>
    <cellStyle name="Nota 4 2 2 2" xfId="21244" xr:uid="{00000000-0005-0000-0000-0000A7920000}"/>
    <cellStyle name="Nota 4 2 3" xfId="19727" xr:uid="{00000000-0005-0000-0000-0000A8920000}"/>
    <cellStyle name="Nota 4 2 4" xfId="21239" xr:uid="{00000000-0005-0000-0000-0000A9920000}"/>
    <cellStyle name="Nota 4 3" xfId="11937" xr:uid="{00000000-0005-0000-0000-0000AA920000}"/>
    <cellStyle name="Nota 4 3 2" xfId="20737" xr:uid="{00000000-0005-0000-0000-0000AB920000}"/>
    <cellStyle name="Nota 4 3 3" xfId="21243" xr:uid="{00000000-0005-0000-0000-0000AC920000}"/>
    <cellStyle name="Nota 4 4" xfId="19726" xr:uid="{00000000-0005-0000-0000-0000AD920000}"/>
    <cellStyle name="Nota 4 5" xfId="21238" xr:uid="{00000000-0005-0000-0000-0000AE920000}"/>
    <cellStyle name="Nota 4 6" xfId="11711" xr:uid="{00000000-0005-0000-0000-0000AF920000}"/>
    <cellStyle name="Nota 4 6 2" xfId="30126" xr:uid="{00000000-0005-0000-0000-0000B0920000}"/>
    <cellStyle name="Nota 5" xfId="987" xr:uid="{00000000-0005-0000-0000-0000B1920000}"/>
    <cellStyle name="Nota 5 2" xfId="18970" xr:uid="{00000000-0005-0000-0000-0000B2920000}"/>
    <cellStyle name="Nota 5 3" xfId="11936" xr:uid="{00000000-0005-0000-0000-0000B3920000}"/>
    <cellStyle name="Nota 5 4" xfId="19728" xr:uid="{00000000-0005-0000-0000-0000B4920000}"/>
    <cellStyle name="Nota 5 5" xfId="11712" xr:uid="{00000000-0005-0000-0000-0000B5920000}"/>
    <cellStyle name="Nota 5 5 2" xfId="30127" xr:uid="{00000000-0005-0000-0000-0000B6920000}"/>
    <cellStyle name="Nota 6" xfId="988" xr:uid="{00000000-0005-0000-0000-0000B7920000}"/>
    <cellStyle name="Nota 6 2" xfId="12272" xr:uid="{00000000-0005-0000-0000-0000B8920000}"/>
    <cellStyle name="Nota 7" xfId="12366" xr:uid="{00000000-0005-0000-0000-0000B9920000}"/>
    <cellStyle name="Nota 8" xfId="19721" xr:uid="{00000000-0005-0000-0000-0000BA920000}"/>
    <cellStyle name="Note 2" xfId="2853" xr:uid="{00000000-0005-0000-0000-0000BB920000}"/>
    <cellStyle name="Note 2 2" xfId="2854" xr:uid="{00000000-0005-0000-0000-0000BC920000}"/>
    <cellStyle name="Note 2 2 2" xfId="7466" xr:uid="{00000000-0005-0000-0000-0000BD920000}"/>
    <cellStyle name="Note 2 2 3" xfId="22891" xr:uid="{00000000-0005-0000-0000-0000BE920000}"/>
    <cellStyle name="Note 2 3" xfId="7465" xr:uid="{00000000-0005-0000-0000-0000BF920000}"/>
    <cellStyle name="Note 2 4" xfId="11172" xr:uid="{00000000-0005-0000-0000-0000C0920000}"/>
    <cellStyle name="Note 2 4 2" xfId="18946" xr:uid="{00000000-0005-0000-0000-0000C1920000}"/>
    <cellStyle name="Note 2 4 2 2" xfId="37105" xr:uid="{00000000-0005-0000-0000-0000C2920000}"/>
    <cellStyle name="Note 2 4 3" xfId="30104" xr:uid="{00000000-0005-0000-0000-0000C3920000}"/>
    <cellStyle name="Note 2 5" xfId="12285" xr:uid="{00000000-0005-0000-0000-0000C4920000}"/>
    <cellStyle name="Note 2 5 2" xfId="30456" xr:uid="{00000000-0005-0000-0000-0000C5920000}"/>
    <cellStyle name="Note 2 6" xfId="3465" xr:uid="{00000000-0005-0000-0000-0000C6920000}"/>
    <cellStyle name="Note 2 6 2" xfId="23454" xr:uid="{00000000-0005-0000-0000-0000C7920000}"/>
    <cellStyle name="Note 2 7" xfId="22890" xr:uid="{00000000-0005-0000-0000-0000C8920000}"/>
    <cellStyle name="Note 2 8" xfId="39370" xr:uid="{00000000-0005-0000-0000-0000C9920000}"/>
    <cellStyle name="Note 3" xfId="11190" xr:uid="{00000000-0005-0000-0000-0000CA920000}"/>
    <cellStyle name="Note 4" xfId="12368" xr:uid="{00000000-0005-0000-0000-0000CB920000}"/>
    <cellStyle name="Note 5" xfId="3810" xr:uid="{00000000-0005-0000-0000-0000CC920000}"/>
    <cellStyle name="Nuovo" xfId="989" xr:uid="{00000000-0005-0000-0000-0000CD920000}"/>
    <cellStyle name="Nuovo 10" xfId="990" xr:uid="{00000000-0005-0000-0000-0000CE920000}"/>
    <cellStyle name="Nuovo 10 2" xfId="991" xr:uid="{00000000-0005-0000-0000-0000CF920000}"/>
    <cellStyle name="Nuovo 10 2 2" xfId="3696" xr:uid="{00000000-0005-0000-0000-0000D0920000}"/>
    <cellStyle name="Nuovo 10 3" xfId="992" xr:uid="{00000000-0005-0000-0000-0000D1920000}"/>
    <cellStyle name="Nuovo 10 3 2" xfId="993" xr:uid="{00000000-0005-0000-0000-0000D2920000}"/>
    <cellStyle name="Nuovo 10 3 3" xfId="19730" xr:uid="{00000000-0005-0000-0000-0000D3920000}"/>
    <cellStyle name="Nuovo 10 3 3 2" xfId="20740" xr:uid="{00000000-0005-0000-0000-0000D4920000}"/>
    <cellStyle name="Nuovo 10 3 4" xfId="20739" xr:uid="{00000000-0005-0000-0000-0000D5920000}"/>
    <cellStyle name="Nuovo 10 3 5" xfId="19729" xr:uid="{00000000-0005-0000-0000-0000D6920000}"/>
    <cellStyle name="Nuovo 10 4" xfId="994" xr:uid="{00000000-0005-0000-0000-0000D7920000}"/>
    <cellStyle name="Nuovo 10 4 2" xfId="19732" xr:uid="{00000000-0005-0000-0000-0000D8920000}"/>
    <cellStyle name="Nuovo 10 4 2 2" xfId="20742" xr:uid="{00000000-0005-0000-0000-0000D9920000}"/>
    <cellStyle name="Nuovo 10 4 3" xfId="20741" xr:uid="{00000000-0005-0000-0000-0000DA920000}"/>
    <cellStyle name="Nuovo 10 4 4" xfId="19731" xr:uid="{00000000-0005-0000-0000-0000DB920000}"/>
    <cellStyle name="Nuovo 10 4 5" xfId="11713" xr:uid="{00000000-0005-0000-0000-0000DC920000}"/>
    <cellStyle name="Nuovo 10 5" xfId="995" xr:uid="{00000000-0005-0000-0000-0000DD920000}"/>
    <cellStyle name="Nuovo 10 5 2" xfId="11714" xr:uid="{00000000-0005-0000-0000-0000DE920000}"/>
    <cellStyle name="Nuovo 10 6" xfId="996" xr:uid="{00000000-0005-0000-0000-0000DF920000}"/>
    <cellStyle name="Nuovo 10 6 2" xfId="21783" xr:uid="{00000000-0005-0000-0000-0000E0920000}"/>
    <cellStyle name="Nuovo 11" xfId="997" xr:uid="{00000000-0005-0000-0000-0000E1920000}"/>
    <cellStyle name="Nuovo 11 2" xfId="998" xr:uid="{00000000-0005-0000-0000-0000E2920000}"/>
    <cellStyle name="Nuovo 11 2 2" xfId="3697" xr:uid="{00000000-0005-0000-0000-0000E3920000}"/>
    <cellStyle name="Nuovo 11 3" xfId="999" xr:uid="{00000000-0005-0000-0000-0000E4920000}"/>
    <cellStyle name="Nuovo 11 3 2" xfId="1000" xr:uid="{00000000-0005-0000-0000-0000E5920000}"/>
    <cellStyle name="Nuovo 11 3 3" xfId="19734" xr:uid="{00000000-0005-0000-0000-0000E6920000}"/>
    <cellStyle name="Nuovo 11 3 3 2" xfId="20744" xr:uid="{00000000-0005-0000-0000-0000E7920000}"/>
    <cellStyle name="Nuovo 11 3 4" xfId="20743" xr:uid="{00000000-0005-0000-0000-0000E8920000}"/>
    <cellStyle name="Nuovo 11 3 5" xfId="19733" xr:uid="{00000000-0005-0000-0000-0000E9920000}"/>
    <cellStyle name="Nuovo 11 4" xfId="1001" xr:uid="{00000000-0005-0000-0000-0000EA920000}"/>
    <cellStyle name="Nuovo 11 4 2" xfId="19736" xr:uid="{00000000-0005-0000-0000-0000EB920000}"/>
    <cellStyle name="Nuovo 11 4 2 2" xfId="20746" xr:uid="{00000000-0005-0000-0000-0000EC920000}"/>
    <cellStyle name="Nuovo 11 4 3" xfId="20745" xr:uid="{00000000-0005-0000-0000-0000ED920000}"/>
    <cellStyle name="Nuovo 11 4 4" xfId="19735" xr:uid="{00000000-0005-0000-0000-0000EE920000}"/>
    <cellStyle name="Nuovo 11 4 5" xfId="11715" xr:uid="{00000000-0005-0000-0000-0000EF920000}"/>
    <cellStyle name="Nuovo 11 5" xfId="1002" xr:uid="{00000000-0005-0000-0000-0000F0920000}"/>
    <cellStyle name="Nuovo 11 5 2" xfId="11716" xr:uid="{00000000-0005-0000-0000-0000F1920000}"/>
    <cellStyle name="Nuovo 11 6" xfId="1003" xr:uid="{00000000-0005-0000-0000-0000F2920000}"/>
    <cellStyle name="Nuovo 11 6 2" xfId="21784" xr:uid="{00000000-0005-0000-0000-0000F3920000}"/>
    <cellStyle name="Nuovo 12" xfId="1004" xr:uid="{00000000-0005-0000-0000-0000F4920000}"/>
    <cellStyle name="Nuovo 12 2" xfId="1005" xr:uid="{00000000-0005-0000-0000-0000F5920000}"/>
    <cellStyle name="Nuovo 12 2 2" xfId="3698" xr:uid="{00000000-0005-0000-0000-0000F6920000}"/>
    <cellStyle name="Nuovo 12 3" xfId="1006" xr:uid="{00000000-0005-0000-0000-0000F7920000}"/>
    <cellStyle name="Nuovo 12 3 2" xfId="1007" xr:uid="{00000000-0005-0000-0000-0000F8920000}"/>
    <cellStyle name="Nuovo 12 3 3" xfId="19738" xr:uid="{00000000-0005-0000-0000-0000F9920000}"/>
    <cellStyle name="Nuovo 12 3 3 2" xfId="20748" xr:uid="{00000000-0005-0000-0000-0000FA920000}"/>
    <cellStyle name="Nuovo 12 3 4" xfId="20747" xr:uid="{00000000-0005-0000-0000-0000FB920000}"/>
    <cellStyle name="Nuovo 12 3 5" xfId="19737" xr:uid="{00000000-0005-0000-0000-0000FC920000}"/>
    <cellStyle name="Nuovo 12 4" xfId="1008" xr:uid="{00000000-0005-0000-0000-0000FD920000}"/>
    <cellStyle name="Nuovo 12 4 2" xfId="19740" xr:uid="{00000000-0005-0000-0000-0000FE920000}"/>
    <cellStyle name="Nuovo 12 4 2 2" xfId="20750" xr:uid="{00000000-0005-0000-0000-0000FF920000}"/>
    <cellStyle name="Nuovo 12 4 3" xfId="20749" xr:uid="{00000000-0005-0000-0000-000000930000}"/>
    <cellStyle name="Nuovo 12 4 4" xfId="19739" xr:uid="{00000000-0005-0000-0000-000001930000}"/>
    <cellStyle name="Nuovo 12 4 5" xfId="11717" xr:uid="{00000000-0005-0000-0000-000002930000}"/>
    <cellStyle name="Nuovo 12 5" xfId="1009" xr:uid="{00000000-0005-0000-0000-000003930000}"/>
    <cellStyle name="Nuovo 12 5 2" xfId="11718" xr:uid="{00000000-0005-0000-0000-000004930000}"/>
    <cellStyle name="Nuovo 12 6" xfId="1010" xr:uid="{00000000-0005-0000-0000-000005930000}"/>
    <cellStyle name="Nuovo 12 6 2" xfId="21785" xr:uid="{00000000-0005-0000-0000-000006930000}"/>
    <cellStyle name="Nuovo 13" xfId="1011" xr:uid="{00000000-0005-0000-0000-000007930000}"/>
    <cellStyle name="Nuovo 13 2" xfId="1012" xr:uid="{00000000-0005-0000-0000-000008930000}"/>
    <cellStyle name="Nuovo 13 2 2" xfId="3699" xr:uid="{00000000-0005-0000-0000-000009930000}"/>
    <cellStyle name="Nuovo 13 3" xfId="1013" xr:uid="{00000000-0005-0000-0000-00000A930000}"/>
    <cellStyle name="Nuovo 13 3 2" xfId="1014" xr:uid="{00000000-0005-0000-0000-00000B930000}"/>
    <cellStyle name="Nuovo 13 3 3" xfId="19742" xr:uid="{00000000-0005-0000-0000-00000C930000}"/>
    <cellStyle name="Nuovo 13 3 3 2" xfId="20752" xr:uid="{00000000-0005-0000-0000-00000D930000}"/>
    <cellStyle name="Nuovo 13 3 4" xfId="20751" xr:uid="{00000000-0005-0000-0000-00000E930000}"/>
    <cellStyle name="Nuovo 13 3 5" xfId="19741" xr:uid="{00000000-0005-0000-0000-00000F930000}"/>
    <cellStyle name="Nuovo 13 4" xfId="1015" xr:uid="{00000000-0005-0000-0000-000010930000}"/>
    <cellStyle name="Nuovo 13 4 2" xfId="19744" xr:uid="{00000000-0005-0000-0000-000011930000}"/>
    <cellStyle name="Nuovo 13 4 2 2" xfId="20754" xr:uid="{00000000-0005-0000-0000-000012930000}"/>
    <cellStyle name="Nuovo 13 4 3" xfId="20753" xr:uid="{00000000-0005-0000-0000-000013930000}"/>
    <cellStyle name="Nuovo 13 4 4" xfId="19743" xr:uid="{00000000-0005-0000-0000-000014930000}"/>
    <cellStyle name="Nuovo 13 4 5" xfId="11719" xr:uid="{00000000-0005-0000-0000-000015930000}"/>
    <cellStyle name="Nuovo 13 5" xfId="1016" xr:uid="{00000000-0005-0000-0000-000016930000}"/>
    <cellStyle name="Nuovo 13 5 2" xfId="11720" xr:uid="{00000000-0005-0000-0000-000017930000}"/>
    <cellStyle name="Nuovo 13 6" xfId="1017" xr:uid="{00000000-0005-0000-0000-000018930000}"/>
    <cellStyle name="Nuovo 13 6 2" xfId="21786" xr:uid="{00000000-0005-0000-0000-000019930000}"/>
    <cellStyle name="Nuovo 14" xfId="1018" xr:uid="{00000000-0005-0000-0000-00001A930000}"/>
    <cellStyle name="Nuovo 14 2" xfId="1019" xr:uid="{00000000-0005-0000-0000-00001B930000}"/>
    <cellStyle name="Nuovo 14 2 2" xfId="3700" xr:uid="{00000000-0005-0000-0000-00001C930000}"/>
    <cellStyle name="Nuovo 14 3" xfId="1020" xr:uid="{00000000-0005-0000-0000-00001D930000}"/>
    <cellStyle name="Nuovo 14 3 2" xfId="1021" xr:uid="{00000000-0005-0000-0000-00001E930000}"/>
    <cellStyle name="Nuovo 14 3 3" xfId="19746" xr:uid="{00000000-0005-0000-0000-00001F930000}"/>
    <cellStyle name="Nuovo 14 3 3 2" xfId="20756" xr:uid="{00000000-0005-0000-0000-000020930000}"/>
    <cellStyle name="Nuovo 14 3 4" xfId="20755" xr:uid="{00000000-0005-0000-0000-000021930000}"/>
    <cellStyle name="Nuovo 14 3 5" xfId="19745" xr:uid="{00000000-0005-0000-0000-000022930000}"/>
    <cellStyle name="Nuovo 14 4" xfId="1022" xr:uid="{00000000-0005-0000-0000-000023930000}"/>
    <cellStyle name="Nuovo 14 4 2" xfId="19748" xr:uid="{00000000-0005-0000-0000-000024930000}"/>
    <cellStyle name="Nuovo 14 4 2 2" xfId="20758" xr:uid="{00000000-0005-0000-0000-000025930000}"/>
    <cellStyle name="Nuovo 14 4 3" xfId="20757" xr:uid="{00000000-0005-0000-0000-000026930000}"/>
    <cellStyle name="Nuovo 14 4 4" xfId="19747" xr:uid="{00000000-0005-0000-0000-000027930000}"/>
    <cellStyle name="Nuovo 14 4 5" xfId="11721" xr:uid="{00000000-0005-0000-0000-000028930000}"/>
    <cellStyle name="Nuovo 14 5" xfId="1023" xr:uid="{00000000-0005-0000-0000-000029930000}"/>
    <cellStyle name="Nuovo 14 5 2" xfId="11722" xr:uid="{00000000-0005-0000-0000-00002A930000}"/>
    <cellStyle name="Nuovo 14 6" xfId="1024" xr:uid="{00000000-0005-0000-0000-00002B930000}"/>
    <cellStyle name="Nuovo 14 6 2" xfId="21787" xr:uid="{00000000-0005-0000-0000-00002C930000}"/>
    <cellStyle name="Nuovo 15" xfId="1025" xr:uid="{00000000-0005-0000-0000-00002D930000}"/>
    <cellStyle name="Nuovo 15 2" xfId="1026" xr:uid="{00000000-0005-0000-0000-00002E930000}"/>
    <cellStyle name="Nuovo 15 2 2" xfId="3701" xr:uid="{00000000-0005-0000-0000-00002F930000}"/>
    <cellStyle name="Nuovo 15 3" xfId="1027" xr:uid="{00000000-0005-0000-0000-000030930000}"/>
    <cellStyle name="Nuovo 15 3 2" xfId="1028" xr:uid="{00000000-0005-0000-0000-000031930000}"/>
    <cellStyle name="Nuovo 15 3 3" xfId="19750" xr:uid="{00000000-0005-0000-0000-000032930000}"/>
    <cellStyle name="Nuovo 15 3 3 2" xfId="20760" xr:uid="{00000000-0005-0000-0000-000033930000}"/>
    <cellStyle name="Nuovo 15 3 4" xfId="20759" xr:uid="{00000000-0005-0000-0000-000034930000}"/>
    <cellStyle name="Nuovo 15 3 5" xfId="19749" xr:uid="{00000000-0005-0000-0000-000035930000}"/>
    <cellStyle name="Nuovo 15 4" xfId="1029" xr:uid="{00000000-0005-0000-0000-000036930000}"/>
    <cellStyle name="Nuovo 15 4 2" xfId="19752" xr:uid="{00000000-0005-0000-0000-000037930000}"/>
    <cellStyle name="Nuovo 15 4 2 2" xfId="20762" xr:uid="{00000000-0005-0000-0000-000038930000}"/>
    <cellStyle name="Nuovo 15 4 3" xfId="20761" xr:uid="{00000000-0005-0000-0000-000039930000}"/>
    <cellStyle name="Nuovo 15 4 4" xfId="19751" xr:uid="{00000000-0005-0000-0000-00003A930000}"/>
    <cellStyle name="Nuovo 15 4 5" xfId="11723" xr:uid="{00000000-0005-0000-0000-00003B930000}"/>
    <cellStyle name="Nuovo 15 5" xfId="1030" xr:uid="{00000000-0005-0000-0000-00003C930000}"/>
    <cellStyle name="Nuovo 15 5 2" xfId="11724" xr:uid="{00000000-0005-0000-0000-00003D930000}"/>
    <cellStyle name="Nuovo 15 6" xfId="1031" xr:uid="{00000000-0005-0000-0000-00003E930000}"/>
    <cellStyle name="Nuovo 15 6 2" xfId="21788" xr:uid="{00000000-0005-0000-0000-00003F930000}"/>
    <cellStyle name="Nuovo 16" xfId="1032" xr:uid="{00000000-0005-0000-0000-000040930000}"/>
    <cellStyle name="Nuovo 16 2" xfId="1033" xr:uid="{00000000-0005-0000-0000-000041930000}"/>
    <cellStyle name="Nuovo 16 2 2" xfId="3702" xr:uid="{00000000-0005-0000-0000-000042930000}"/>
    <cellStyle name="Nuovo 16 3" xfId="1034" xr:uid="{00000000-0005-0000-0000-000043930000}"/>
    <cellStyle name="Nuovo 16 3 2" xfId="1035" xr:uid="{00000000-0005-0000-0000-000044930000}"/>
    <cellStyle name="Nuovo 16 3 3" xfId="19754" xr:uid="{00000000-0005-0000-0000-000045930000}"/>
    <cellStyle name="Nuovo 16 3 3 2" xfId="20764" xr:uid="{00000000-0005-0000-0000-000046930000}"/>
    <cellStyle name="Nuovo 16 3 4" xfId="20763" xr:uid="{00000000-0005-0000-0000-000047930000}"/>
    <cellStyle name="Nuovo 16 3 5" xfId="19753" xr:uid="{00000000-0005-0000-0000-000048930000}"/>
    <cellStyle name="Nuovo 16 4" xfId="1036" xr:uid="{00000000-0005-0000-0000-000049930000}"/>
    <cellStyle name="Nuovo 16 4 2" xfId="19756" xr:uid="{00000000-0005-0000-0000-00004A930000}"/>
    <cellStyle name="Nuovo 16 4 2 2" xfId="20766" xr:uid="{00000000-0005-0000-0000-00004B930000}"/>
    <cellStyle name="Nuovo 16 4 3" xfId="20765" xr:uid="{00000000-0005-0000-0000-00004C930000}"/>
    <cellStyle name="Nuovo 16 4 4" xfId="19755" xr:uid="{00000000-0005-0000-0000-00004D930000}"/>
    <cellStyle name="Nuovo 16 4 5" xfId="11725" xr:uid="{00000000-0005-0000-0000-00004E930000}"/>
    <cellStyle name="Nuovo 16 5" xfId="1037" xr:uid="{00000000-0005-0000-0000-00004F930000}"/>
    <cellStyle name="Nuovo 16 5 2" xfId="11726" xr:uid="{00000000-0005-0000-0000-000050930000}"/>
    <cellStyle name="Nuovo 16 6" xfId="1038" xr:uid="{00000000-0005-0000-0000-000051930000}"/>
    <cellStyle name="Nuovo 16 6 2" xfId="21789" xr:uid="{00000000-0005-0000-0000-000052930000}"/>
    <cellStyle name="Nuovo 17" xfId="1039" xr:uid="{00000000-0005-0000-0000-000053930000}"/>
    <cellStyle name="Nuovo 17 2" xfId="1040" xr:uid="{00000000-0005-0000-0000-000054930000}"/>
    <cellStyle name="Nuovo 17 2 2" xfId="3703" xr:uid="{00000000-0005-0000-0000-000055930000}"/>
    <cellStyle name="Nuovo 17 3" xfId="1041" xr:uid="{00000000-0005-0000-0000-000056930000}"/>
    <cellStyle name="Nuovo 17 3 2" xfId="1042" xr:uid="{00000000-0005-0000-0000-000057930000}"/>
    <cellStyle name="Nuovo 17 3 3" xfId="19758" xr:uid="{00000000-0005-0000-0000-000058930000}"/>
    <cellStyle name="Nuovo 17 3 3 2" xfId="20768" xr:uid="{00000000-0005-0000-0000-000059930000}"/>
    <cellStyle name="Nuovo 17 3 4" xfId="20767" xr:uid="{00000000-0005-0000-0000-00005A930000}"/>
    <cellStyle name="Nuovo 17 3 5" xfId="19757" xr:uid="{00000000-0005-0000-0000-00005B930000}"/>
    <cellStyle name="Nuovo 17 4" xfId="1043" xr:uid="{00000000-0005-0000-0000-00005C930000}"/>
    <cellStyle name="Nuovo 17 4 2" xfId="19760" xr:uid="{00000000-0005-0000-0000-00005D930000}"/>
    <cellStyle name="Nuovo 17 4 2 2" xfId="20770" xr:uid="{00000000-0005-0000-0000-00005E930000}"/>
    <cellStyle name="Nuovo 17 4 3" xfId="20769" xr:uid="{00000000-0005-0000-0000-00005F930000}"/>
    <cellStyle name="Nuovo 17 4 4" xfId="19759" xr:uid="{00000000-0005-0000-0000-000060930000}"/>
    <cellStyle name="Nuovo 17 4 5" xfId="11727" xr:uid="{00000000-0005-0000-0000-000061930000}"/>
    <cellStyle name="Nuovo 17 5" xfId="1044" xr:uid="{00000000-0005-0000-0000-000062930000}"/>
    <cellStyle name="Nuovo 17 5 2" xfId="11728" xr:uid="{00000000-0005-0000-0000-000063930000}"/>
    <cellStyle name="Nuovo 17 6" xfId="1045" xr:uid="{00000000-0005-0000-0000-000064930000}"/>
    <cellStyle name="Nuovo 17 6 2" xfId="21790" xr:uid="{00000000-0005-0000-0000-000065930000}"/>
    <cellStyle name="Nuovo 18" xfId="1046" xr:uid="{00000000-0005-0000-0000-000066930000}"/>
    <cellStyle name="Nuovo 18 2" xfId="1047" xr:uid="{00000000-0005-0000-0000-000067930000}"/>
    <cellStyle name="Nuovo 18 2 2" xfId="3704" xr:uid="{00000000-0005-0000-0000-000068930000}"/>
    <cellStyle name="Nuovo 18 3" xfId="1048" xr:uid="{00000000-0005-0000-0000-000069930000}"/>
    <cellStyle name="Nuovo 18 3 2" xfId="1049" xr:uid="{00000000-0005-0000-0000-00006A930000}"/>
    <cellStyle name="Nuovo 18 3 3" xfId="19762" xr:uid="{00000000-0005-0000-0000-00006B930000}"/>
    <cellStyle name="Nuovo 18 3 3 2" xfId="20772" xr:uid="{00000000-0005-0000-0000-00006C930000}"/>
    <cellStyle name="Nuovo 18 3 4" xfId="20771" xr:uid="{00000000-0005-0000-0000-00006D930000}"/>
    <cellStyle name="Nuovo 18 3 5" xfId="19761" xr:uid="{00000000-0005-0000-0000-00006E930000}"/>
    <cellStyle name="Nuovo 18 4" xfId="1050" xr:uid="{00000000-0005-0000-0000-00006F930000}"/>
    <cellStyle name="Nuovo 18 4 2" xfId="19764" xr:uid="{00000000-0005-0000-0000-000070930000}"/>
    <cellStyle name="Nuovo 18 4 2 2" xfId="20774" xr:uid="{00000000-0005-0000-0000-000071930000}"/>
    <cellStyle name="Nuovo 18 4 3" xfId="20773" xr:uid="{00000000-0005-0000-0000-000072930000}"/>
    <cellStyle name="Nuovo 18 4 4" xfId="19763" xr:uid="{00000000-0005-0000-0000-000073930000}"/>
    <cellStyle name="Nuovo 18 4 5" xfId="11729" xr:uid="{00000000-0005-0000-0000-000074930000}"/>
    <cellStyle name="Nuovo 18 5" xfId="1051" xr:uid="{00000000-0005-0000-0000-000075930000}"/>
    <cellStyle name="Nuovo 18 5 2" xfId="11730" xr:uid="{00000000-0005-0000-0000-000076930000}"/>
    <cellStyle name="Nuovo 18 6" xfId="1052" xr:uid="{00000000-0005-0000-0000-000077930000}"/>
    <cellStyle name="Nuovo 18 6 2" xfId="21791" xr:uid="{00000000-0005-0000-0000-000078930000}"/>
    <cellStyle name="Nuovo 19" xfId="1053" xr:uid="{00000000-0005-0000-0000-000079930000}"/>
    <cellStyle name="Nuovo 19 2" xfId="1054" xr:uid="{00000000-0005-0000-0000-00007A930000}"/>
    <cellStyle name="Nuovo 19 2 2" xfId="3705" xr:uid="{00000000-0005-0000-0000-00007B930000}"/>
    <cellStyle name="Nuovo 19 3" xfId="1055" xr:uid="{00000000-0005-0000-0000-00007C930000}"/>
    <cellStyle name="Nuovo 19 3 2" xfId="1056" xr:uid="{00000000-0005-0000-0000-00007D930000}"/>
    <cellStyle name="Nuovo 19 3 3" xfId="19766" xr:uid="{00000000-0005-0000-0000-00007E930000}"/>
    <cellStyle name="Nuovo 19 3 3 2" xfId="20776" xr:uid="{00000000-0005-0000-0000-00007F930000}"/>
    <cellStyle name="Nuovo 19 3 4" xfId="20775" xr:uid="{00000000-0005-0000-0000-000080930000}"/>
    <cellStyle name="Nuovo 19 3 5" xfId="19765" xr:uid="{00000000-0005-0000-0000-000081930000}"/>
    <cellStyle name="Nuovo 19 4" xfId="1057" xr:uid="{00000000-0005-0000-0000-000082930000}"/>
    <cellStyle name="Nuovo 19 4 2" xfId="19768" xr:uid="{00000000-0005-0000-0000-000083930000}"/>
    <cellStyle name="Nuovo 19 4 2 2" xfId="20778" xr:uid="{00000000-0005-0000-0000-000084930000}"/>
    <cellStyle name="Nuovo 19 4 3" xfId="20777" xr:uid="{00000000-0005-0000-0000-000085930000}"/>
    <cellStyle name="Nuovo 19 4 4" xfId="19767" xr:uid="{00000000-0005-0000-0000-000086930000}"/>
    <cellStyle name="Nuovo 19 4 5" xfId="11731" xr:uid="{00000000-0005-0000-0000-000087930000}"/>
    <cellStyle name="Nuovo 19 5" xfId="1058" xr:uid="{00000000-0005-0000-0000-000088930000}"/>
    <cellStyle name="Nuovo 19 5 2" xfId="11732" xr:uid="{00000000-0005-0000-0000-000089930000}"/>
    <cellStyle name="Nuovo 19 6" xfId="1059" xr:uid="{00000000-0005-0000-0000-00008A930000}"/>
    <cellStyle name="Nuovo 19 6 2" xfId="21792" xr:uid="{00000000-0005-0000-0000-00008B930000}"/>
    <cellStyle name="Nuovo 2" xfId="1060" xr:uid="{00000000-0005-0000-0000-00008C930000}"/>
    <cellStyle name="Nuovo 2 2" xfId="1061" xr:uid="{00000000-0005-0000-0000-00008D930000}"/>
    <cellStyle name="Nuovo 2 2 2" xfId="3706" xr:uid="{00000000-0005-0000-0000-00008E930000}"/>
    <cellStyle name="Nuovo 2 3" xfId="1062" xr:uid="{00000000-0005-0000-0000-00008F930000}"/>
    <cellStyle name="Nuovo 2 3 2" xfId="1063" xr:uid="{00000000-0005-0000-0000-000090930000}"/>
    <cellStyle name="Nuovo 2 3 3" xfId="19770" xr:uid="{00000000-0005-0000-0000-000091930000}"/>
    <cellStyle name="Nuovo 2 3 3 2" xfId="20780" xr:uid="{00000000-0005-0000-0000-000092930000}"/>
    <cellStyle name="Nuovo 2 3 4" xfId="20779" xr:uid="{00000000-0005-0000-0000-000093930000}"/>
    <cellStyle name="Nuovo 2 3 5" xfId="19769" xr:uid="{00000000-0005-0000-0000-000094930000}"/>
    <cellStyle name="Nuovo 2 4" xfId="1064" xr:uid="{00000000-0005-0000-0000-000095930000}"/>
    <cellStyle name="Nuovo 2 4 2" xfId="19772" xr:uid="{00000000-0005-0000-0000-000096930000}"/>
    <cellStyle name="Nuovo 2 4 2 2" xfId="20782" xr:uid="{00000000-0005-0000-0000-000097930000}"/>
    <cellStyle name="Nuovo 2 4 3" xfId="20781" xr:uid="{00000000-0005-0000-0000-000098930000}"/>
    <cellStyle name="Nuovo 2 4 4" xfId="19771" xr:uid="{00000000-0005-0000-0000-000099930000}"/>
    <cellStyle name="Nuovo 2 4 5" xfId="11733" xr:uid="{00000000-0005-0000-0000-00009A930000}"/>
    <cellStyle name="Nuovo 2 5" xfId="1065" xr:uid="{00000000-0005-0000-0000-00009B930000}"/>
    <cellStyle name="Nuovo 2 5 2" xfId="11734" xr:uid="{00000000-0005-0000-0000-00009C930000}"/>
    <cellStyle name="Nuovo 2 6" xfId="1066" xr:uid="{00000000-0005-0000-0000-00009D930000}"/>
    <cellStyle name="Nuovo 2 6 2" xfId="21793" xr:uid="{00000000-0005-0000-0000-00009E930000}"/>
    <cellStyle name="Nuovo 20" xfId="1067" xr:uid="{00000000-0005-0000-0000-00009F930000}"/>
    <cellStyle name="Nuovo 20 2" xfId="1068" xr:uid="{00000000-0005-0000-0000-0000A0930000}"/>
    <cellStyle name="Nuovo 20 2 2" xfId="3707" xr:uid="{00000000-0005-0000-0000-0000A1930000}"/>
    <cellStyle name="Nuovo 20 3" xfId="1069" xr:uid="{00000000-0005-0000-0000-0000A2930000}"/>
    <cellStyle name="Nuovo 20 3 2" xfId="1070" xr:uid="{00000000-0005-0000-0000-0000A3930000}"/>
    <cellStyle name="Nuovo 20 3 3" xfId="19774" xr:uid="{00000000-0005-0000-0000-0000A4930000}"/>
    <cellStyle name="Nuovo 20 3 3 2" xfId="20784" xr:uid="{00000000-0005-0000-0000-0000A5930000}"/>
    <cellStyle name="Nuovo 20 3 4" xfId="20783" xr:uid="{00000000-0005-0000-0000-0000A6930000}"/>
    <cellStyle name="Nuovo 20 3 5" xfId="19773" xr:uid="{00000000-0005-0000-0000-0000A7930000}"/>
    <cellStyle name="Nuovo 20 4" xfId="1071" xr:uid="{00000000-0005-0000-0000-0000A8930000}"/>
    <cellStyle name="Nuovo 20 4 2" xfId="19776" xr:uid="{00000000-0005-0000-0000-0000A9930000}"/>
    <cellStyle name="Nuovo 20 4 2 2" xfId="20786" xr:uid="{00000000-0005-0000-0000-0000AA930000}"/>
    <cellStyle name="Nuovo 20 4 3" xfId="20785" xr:uid="{00000000-0005-0000-0000-0000AB930000}"/>
    <cellStyle name="Nuovo 20 4 4" xfId="19775" xr:uid="{00000000-0005-0000-0000-0000AC930000}"/>
    <cellStyle name="Nuovo 20 4 5" xfId="11735" xr:uid="{00000000-0005-0000-0000-0000AD930000}"/>
    <cellStyle name="Nuovo 20 5" xfId="1072" xr:uid="{00000000-0005-0000-0000-0000AE930000}"/>
    <cellStyle name="Nuovo 20 5 2" xfId="11736" xr:uid="{00000000-0005-0000-0000-0000AF930000}"/>
    <cellStyle name="Nuovo 20 6" xfId="1073" xr:uid="{00000000-0005-0000-0000-0000B0930000}"/>
    <cellStyle name="Nuovo 20 6 2" xfId="21794" xr:uid="{00000000-0005-0000-0000-0000B1930000}"/>
    <cellStyle name="Nuovo 21" xfId="1074" xr:uid="{00000000-0005-0000-0000-0000B2930000}"/>
    <cellStyle name="Nuovo 21 2" xfId="1075" xr:uid="{00000000-0005-0000-0000-0000B3930000}"/>
    <cellStyle name="Nuovo 21 2 2" xfId="3708" xr:uid="{00000000-0005-0000-0000-0000B4930000}"/>
    <cellStyle name="Nuovo 21 3" xfId="1076" xr:uid="{00000000-0005-0000-0000-0000B5930000}"/>
    <cellStyle name="Nuovo 21 3 2" xfId="1077" xr:uid="{00000000-0005-0000-0000-0000B6930000}"/>
    <cellStyle name="Nuovo 21 3 3" xfId="19778" xr:uid="{00000000-0005-0000-0000-0000B7930000}"/>
    <cellStyle name="Nuovo 21 3 3 2" xfId="20788" xr:uid="{00000000-0005-0000-0000-0000B8930000}"/>
    <cellStyle name="Nuovo 21 3 4" xfId="20787" xr:uid="{00000000-0005-0000-0000-0000B9930000}"/>
    <cellStyle name="Nuovo 21 3 5" xfId="19777" xr:uid="{00000000-0005-0000-0000-0000BA930000}"/>
    <cellStyle name="Nuovo 21 4" xfId="1078" xr:uid="{00000000-0005-0000-0000-0000BB930000}"/>
    <cellStyle name="Nuovo 21 4 2" xfId="19780" xr:uid="{00000000-0005-0000-0000-0000BC930000}"/>
    <cellStyle name="Nuovo 21 4 2 2" xfId="20790" xr:uid="{00000000-0005-0000-0000-0000BD930000}"/>
    <cellStyle name="Nuovo 21 4 3" xfId="20789" xr:uid="{00000000-0005-0000-0000-0000BE930000}"/>
    <cellStyle name="Nuovo 21 4 4" xfId="19779" xr:uid="{00000000-0005-0000-0000-0000BF930000}"/>
    <cellStyle name="Nuovo 21 4 5" xfId="11737" xr:uid="{00000000-0005-0000-0000-0000C0930000}"/>
    <cellStyle name="Nuovo 21 5" xfId="1079" xr:uid="{00000000-0005-0000-0000-0000C1930000}"/>
    <cellStyle name="Nuovo 21 5 2" xfId="11738" xr:uid="{00000000-0005-0000-0000-0000C2930000}"/>
    <cellStyle name="Nuovo 21 6" xfId="1080" xr:uid="{00000000-0005-0000-0000-0000C3930000}"/>
    <cellStyle name="Nuovo 21 6 2" xfId="21795" xr:uid="{00000000-0005-0000-0000-0000C4930000}"/>
    <cellStyle name="Nuovo 22" xfId="1081" xr:uid="{00000000-0005-0000-0000-0000C5930000}"/>
    <cellStyle name="Nuovo 22 2" xfId="1082" xr:uid="{00000000-0005-0000-0000-0000C6930000}"/>
    <cellStyle name="Nuovo 22 2 2" xfId="3709" xr:uid="{00000000-0005-0000-0000-0000C7930000}"/>
    <cellStyle name="Nuovo 22 3" xfId="1083" xr:uid="{00000000-0005-0000-0000-0000C8930000}"/>
    <cellStyle name="Nuovo 22 3 2" xfId="1084" xr:uid="{00000000-0005-0000-0000-0000C9930000}"/>
    <cellStyle name="Nuovo 22 3 3" xfId="19782" xr:uid="{00000000-0005-0000-0000-0000CA930000}"/>
    <cellStyle name="Nuovo 22 3 3 2" xfId="20792" xr:uid="{00000000-0005-0000-0000-0000CB930000}"/>
    <cellStyle name="Nuovo 22 3 4" xfId="20791" xr:uid="{00000000-0005-0000-0000-0000CC930000}"/>
    <cellStyle name="Nuovo 22 3 5" xfId="19781" xr:uid="{00000000-0005-0000-0000-0000CD930000}"/>
    <cellStyle name="Nuovo 22 4" xfId="1085" xr:uid="{00000000-0005-0000-0000-0000CE930000}"/>
    <cellStyle name="Nuovo 22 4 2" xfId="19784" xr:uid="{00000000-0005-0000-0000-0000CF930000}"/>
    <cellStyle name="Nuovo 22 4 2 2" xfId="20794" xr:uid="{00000000-0005-0000-0000-0000D0930000}"/>
    <cellStyle name="Nuovo 22 4 3" xfId="20793" xr:uid="{00000000-0005-0000-0000-0000D1930000}"/>
    <cellStyle name="Nuovo 22 4 4" xfId="19783" xr:uid="{00000000-0005-0000-0000-0000D2930000}"/>
    <cellStyle name="Nuovo 22 4 5" xfId="11739" xr:uid="{00000000-0005-0000-0000-0000D3930000}"/>
    <cellStyle name="Nuovo 22 5" xfId="1086" xr:uid="{00000000-0005-0000-0000-0000D4930000}"/>
    <cellStyle name="Nuovo 22 5 2" xfId="11740" xr:uid="{00000000-0005-0000-0000-0000D5930000}"/>
    <cellStyle name="Nuovo 22 6" xfId="1087" xr:uid="{00000000-0005-0000-0000-0000D6930000}"/>
    <cellStyle name="Nuovo 22 6 2" xfId="21796" xr:uid="{00000000-0005-0000-0000-0000D7930000}"/>
    <cellStyle name="Nuovo 23" xfId="1088" xr:uid="{00000000-0005-0000-0000-0000D8930000}"/>
    <cellStyle name="Nuovo 23 2" xfId="1089" xr:uid="{00000000-0005-0000-0000-0000D9930000}"/>
    <cellStyle name="Nuovo 23 2 2" xfId="3710" xr:uid="{00000000-0005-0000-0000-0000DA930000}"/>
    <cellStyle name="Nuovo 23 3" xfId="1090" xr:uid="{00000000-0005-0000-0000-0000DB930000}"/>
    <cellStyle name="Nuovo 23 3 2" xfId="1091" xr:uid="{00000000-0005-0000-0000-0000DC930000}"/>
    <cellStyle name="Nuovo 23 3 3" xfId="19786" xr:uid="{00000000-0005-0000-0000-0000DD930000}"/>
    <cellStyle name="Nuovo 23 3 3 2" xfId="20796" xr:uid="{00000000-0005-0000-0000-0000DE930000}"/>
    <cellStyle name="Nuovo 23 3 4" xfId="20795" xr:uid="{00000000-0005-0000-0000-0000DF930000}"/>
    <cellStyle name="Nuovo 23 3 5" xfId="19785" xr:uid="{00000000-0005-0000-0000-0000E0930000}"/>
    <cellStyle name="Nuovo 23 4" xfId="1092" xr:uid="{00000000-0005-0000-0000-0000E1930000}"/>
    <cellStyle name="Nuovo 23 4 2" xfId="19788" xr:uid="{00000000-0005-0000-0000-0000E2930000}"/>
    <cellStyle name="Nuovo 23 4 2 2" xfId="20798" xr:uid="{00000000-0005-0000-0000-0000E3930000}"/>
    <cellStyle name="Nuovo 23 4 3" xfId="20797" xr:uid="{00000000-0005-0000-0000-0000E4930000}"/>
    <cellStyle name="Nuovo 23 4 4" xfId="19787" xr:uid="{00000000-0005-0000-0000-0000E5930000}"/>
    <cellStyle name="Nuovo 23 4 5" xfId="11741" xr:uid="{00000000-0005-0000-0000-0000E6930000}"/>
    <cellStyle name="Nuovo 23 5" xfId="1093" xr:uid="{00000000-0005-0000-0000-0000E7930000}"/>
    <cellStyle name="Nuovo 23 5 2" xfId="11742" xr:uid="{00000000-0005-0000-0000-0000E8930000}"/>
    <cellStyle name="Nuovo 23 6" xfId="1094" xr:uid="{00000000-0005-0000-0000-0000E9930000}"/>
    <cellStyle name="Nuovo 23 6 2" xfId="21797" xr:uid="{00000000-0005-0000-0000-0000EA930000}"/>
    <cellStyle name="Nuovo 24" xfId="1095" xr:uid="{00000000-0005-0000-0000-0000EB930000}"/>
    <cellStyle name="Nuovo 24 2" xfId="1096" xr:uid="{00000000-0005-0000-0000-0000EC930000}"/>
    <cellStyle name="Nuovo 24 2 2" xfId="3711" xr:uid="{00000000-0005-0000-0000-0000ED930000}"/>
    <cellStyle name="Nuovo 24 3" xfId="1097" xr:uid="{00000000-0005-0000-0000-0000EE930000}"/>
    <cellStyle name="Nuovo 24 3 2" xfId="1098" xr:uid="{00000000-0005-0000-0000-0000EF930000}"/>
    <cellStyle name="Nuovo 24 3 3" xfId="19790" xr:uid="{00000000-0005-0000-0000-0000F0930000}"/>
    <cellStyle name="Nuovo 24 3 3 2" xfId="20800" xr:uid="{00000000-0005-0000-0000-0000F1930000}"/>
    <cellStyle name="Nuovo 24 3 4" xfId="20799" xr:uid="{00000000-0005-0000-0000-0000F2930000}"/>
    <cellStyle name="Nuovo 24 3 5" xfId="19789" xr:uid="{00000000-0005-0000-0000-0000F3930000}"/>
    <cellStyle name="Nuovo 24 4" xfId="1099" xr:uid="{00000000-0005-0000-0000-0000F4930000}"/>
    <cellStyle name="Nuovo 24 4 2" xfId="19792" xr:uid="{00000000-0005-0000-0000-0000F5930000}"/>
    <cellStyle name="Nuovo 24 4 2 2" xfId="20802" xr:uid="{00000000-0005-0000-0000-0000F6930000}"/>
    <cellStyle name="Nuovo 24 4 3" xfId="20801" xr:uid="{00000000-0005-0000-0000-0000F7930000}"/>
    <cellStyle name="Nuovo 24 4 4" xfId="19791" xr:uid="{00000000-0005-0000-0000-0000F8930000}"/>
    <cellStyle name="Nuovo 24 4 5" xfId="11743" xr:uid="{00000000-0005-0000-0000-0000F9930000}"/>
    <cellStyle name="Nuovo 24 5" xfId="1100" xr:uid="{00000000-0005-0000-0000-0000FA930000}"/>
    <cellStyle name="Nuovo 24 5 2" xfId="11744" xr:uid="{00000000-0005-0000-0000-0000FB930000}"/>
    <cellStyle name="Nuovo 24 6" xfId="1101" xr:uid="{00000000-0005-0000-0000-0000FC930000}"/>
    <cellStyle name="Nuovo 24 6 2" xfId="21798" xr:uid="{00000000-0005-0000-0000-0000FD930000}"/>
    <cellStyle name="Nuovo 25" xfId="1102" xr:uid="{00000000-0005-0000-0000-0000FE930000}"/>
    <cellStyle name="Nuovo 25 2" xfId="1103" xr:uid="{00000000-0005-0000-0000-0000FF930000}"/>
    <cellStyle name="Nuovo 25 2 2" xfId="3712" xr:uid="{00000000-0005-0000-0000-000000940000}"/>
    <cellStyle name="Nuovo 25 3" xfId="1104" xr:uid="{00000000-0005-0000-0000-000001940000}"/>
    <cellStyle name="Nuovo 25 3 2" xfId="1105" xr:uid="{00000000-0005-0000-0000-000002940000}"/>
    <cellStyle name="Nuovo 25 3 3" xfId="19794" xr:uid="{00000000-0005-0000-0000-000003940000}"/>
    <cellStyle name="Nuovo 25 3 3 2" xfId="20804" xr:uid="{00000000-0005-0000-0000-000004940000}"/>
    <cellStyle name="Nuovo 25 3 4" xfId="20803" xr:uid="{00000000-0005-0000-0000-000005940000}"/>
    <cellStyle name="Nuovo 25 3 5" xfId="19793" xr:uid="{00000000-0005-0000-0000-000006940000}"/>
    <cellStyle name="Nuovo 25 4" xfId="1106" xr:uid="{00000000-0005-0000-0000-000007940000}"/>
    <cellStyle name="Nuovo 25 4 2" xfId="19796" xr:uid="{00000000-0005-0000-0000-000008940000}"/>
    <cellStyle name="Nuovo 25 4 2 2" xfId="20806" xr:uid="{00000000-0005-0000-0000-000009940000}"/>
    <cellStyle name="Nuovo 25 4 3" xfId="20805" xr:uid="{00000000-0005-0000-0000-00000A940000}"/>
    <cellStyle name="Nuovo 25 4 4" xfId="19795" xr:uid="{00000000-0005-0000-0000-00000B940000}"/>
    <cellStyle name="Nuovo 25 4 5" xfId="11745" xr:uid="{00000000-0005-0000-0000-00000C940000}"/>
    <cellStyle name="Nuovo 25 5" xfId="1107" xr:uid="{00000000-0005-0000-0000-00000D940000}"/>
    <cellStyle name="Nuovo 25 5 2" xfId="11746" xr:uid="{00000000-0005-0000-0000-00000E940000}"/>
    <cellStyle name="Nuovo 25 6" xfId="1108" xr:uid="{00000000-0005-0000-0000-00000F940000}"/>
    <cellStyle name="Nuovo 25 6 2" xfId="21799" xr:uid="{00000000-0005-0000-0000-000010940000}"/>
    <cellStyle name="Nuovo 26" xfId="1109" xr:uid="{00000000-0005-0000-0000-000011940000}"/>
    <cellStyle name="Nuovo 26 2" xfId="1110" xr:uid="{00000000-0005-0000-0000-000012940000}"/>
    <cellStyle name="Nuovo 26 2 2" xfId="3713" xr:uid="{00000000-0005-0000-0000-000013940000}"/>
    <cellStyle name="Nuovo 26 3" xfId="1111" xr:uid="{00000000-0005-0000-0000-000014940000}"/>
    <cellStyle name="Nuovo 26 3 2" xfId="1112" xr:uid="{00000000-0005-0000-0000-000015940000}"/>
    <cellStyle name="Nuovo 26 3 3" xfId="19798" xr:uid="{00000000-0005-0000-0000-000016940000}"/>
    <cellStyle name="Nuovo 26 3 3 2" xfId="20808" xr:uid="{00000000-0005-0000-0000-000017940000}"/>
    <cellStyle name="Nuovo 26 3 4" xfId="20807" xr:uid="{00000000-0005-0000-0000-000018940000}"/>
    <cellStyle name="Nuovo 26 3 5" xfId="19797" xr:uid="{00000000-0005-0000-0000-000019940000}"/>
    <cellStyle name="Nuovo 26 4" xfId="1113" xr:uid="{00000000-0005-0000-0000-00001A940000}"/>
    <cellStyle name="Nuovo 26 4 2" xfId="19800" xr:uid="{00000000-0005-0000-0000-00001B940000}"/>
    <cellStyle name="Nuovo 26 4 2 2" xfId="20810" xr:uid="{00000000-0005-0000-0000-00001C940000}"/>
    <cellStyle name="Nuovo 26 4 3" xfId="20809" xr:uid="{00000000-0005-0000-0000-00001D940000}"/>
    <cellStyle name="Nuovo 26 4 4" xfId="19799" xr:uid="{00000000-0005-0000-0000-00001E940000}"/>
    <cellStyle name="Nuovo 26 4 5" xfId="11747" xr:uid="{00000000-0005-0000-0000-00001F940000}"/>
    <cellStyle name="Nuovo 26 5" xfId="1114" xr:uid="{00000000-0005-0000-0000-000020940000}"/>
    <cellStyle name="Nuovo 26 5 2" xfId="11748" xr:uid="{00000000-0005-0000-0000-000021940000}"/>
    <cellStyle name="Nuovo 26 6" xfId="1115" xr:uid="{00000000-0005-0000-0000-000022940000}"/>
    <cellStyle name="Nuovo 26 6 2" xfId="21800" xr:uid="{00000000-0005-0000-0000-000023940000}"/>
    <cellStyle name="Nuovo 27" xfId="1116" xr:uid="{00000000-0005-0000-0000-000024940000}"/>
    <cellStyle name="Nuovo 27 2" xfId="1117" xr:uid="{00000000-0005-0000-0000-000025940000}"/>
    <cellStyle name="Nuovo 27 2 2" xfId="3714" xr:uid="{00000000-0005-0000-0000-000026940000}"/>
    <cellStyle name="Nuovo 27 3" xfId="1118" xr:uid="{00000000-0005-0000-0000-000027940000}"/>
    <cellStyle name="Nuovo 27 3 2" xfId="1119" xr:uid="{00000000-0005-0000-0000-000028940000}"/>
    <cellStyle name="Nuovo 27 3 3" xfId="19802" xr:uid="{00000000-0005-0000-0000-000029940000}"/>
    <cellStyle name="Nuovo 27 3 3 2" xfId="20812" xr:uid="{00000000-0005-0000-0000-00002A940000}"/>
    <cellStyle name="Nuovo 27 3 4" xfId="20811" xr:uid="{00000000-0005-0000-0000-00002B940000}"/>
    <cellStyle name="Nuovo 27 3 5" xfId="19801" xr:uid="{00000000-0005-0000-0000-00002C940000}"/>
    <cellStyle name="Nuovo 27 4" xfId="1120" xr:uid="{00000000-0005-0000-0000-00002D940000}"/>
    <cellStyle name="Nuovo 27 4 2" xfId="19804" xr:uid="{00000000-0005-0000-0000-00002E940000}"/>
    <cellStyle name="Nuovo 27 4 2 2" xfId="20814" xr:uid="{00000000-0005-0000-0000-00002F940000}"/>
    <cellStyle name="Nuovo 27 4 3" xfId="20813" xr:uid="{00000000-0005-0000-0000-000030940000}"/>
    <cellStyle name="Nuovo 27 4 4" xfId="19803" xr:uid="{00000000-0005-0000-0000-000031940000}"/>
    <cellStyle name="Nuovo 27 4 5" xfId="11749" xr:uid="{00000000-0005-0000-0000-000032940000}"/>
    <cellStyle name="Nuovo 27 5" xfId="1121" xr:uid="{00000000-0005-0000-0000-000033940000}"/>
    <cellStyle name="Nuovo 27 5 2" xfId="11750" xr:uid="{00000000-0005-0000-0000-000034940000}"/>
    <cellStyle name="Nuovo 27 6" xfId="1122" xr:uid="{00000000-0005-0000-0000-000035940000}"/>
    <cellStyle name="Nuovo 27 6 2" xfId="21801" xr:uid="{00000000-0005-0000-0000-000036940000}"/>
    <cellStyle name="Nuovo 28" xfId="1123" xr:uid="{00000000-0005-0000-0000-000037940000}"/>
    <cellStyle name="Nuovo 28 2" xfId="1124" xr:uid="{00000000-0005-0000-0000-000038940000}"/>
    <cellStyle name="Nuovo 28 2 2" xfId="3715" xr:uid="{00000000-0005-0000-0000-000039940000}"/>
    <cellStyle name="Nuovo 28 3" xfId="1125" xr:uid="{00000000-0005-0000-0000-00003A940000}"/>
    <cellStyle name="Nuovo 28 3 2" xfId="1126" xr:uid="{00000000-0005-0000-0000-00003B940000}"/>
    <cellStyle name="Nuovo 28 3 3" xfId="19806" xr:uid="{00000000-0005-0000-0000-00003C940000}"/>
    <cellStyle name="Nuovo 28 3 3 2" xfId="20816" xr:uid="{00000000-0005-0000-0000-00003D940000}"/>
    <cellStyle name="Nuovo 28 3 4" xfId="20815" xr:uid="{00000000-0005-0000-0000-00003E940000}"/>
    <cellStyle name="Nuovo 28 3 5" xfId="19805" xr:uid="{00000000-0005-0000-0000-00003F940000}"/>
    <cellStyle name="Nuovo 28 4" xfId="1127" xr:uid="{00000000-0005-0000-0000-000040940000}"/>
    <cellStyle name="Nuovo 28 4 2" xfId="19808" xr:uid="{00000000-0005-0000-0000-000041940000}"/>
    <cellStyle name="Nuovo 28 4 2 2" xfId="20818" xr:uid="{00000000-0005-0000-0000-000042940000}"/>
    <cellStyle name="Nuovo 28 4 3" xfId="20817" xr:uid="{00000000-0005-0000-0000-000043940000}"/>
    <cellStyle name="Nuovo 28 4 4" xfId="19807" xr:uid="{00000000-0005-0000-0000-000044940000}"/>
    <cellStyle name="Nuovo 28 4 5" xfId="11751" xr:uid="{00000000-0005-0000-0000-000045940000}"/>
    <cellStyle name="Nuovo 28 5" xfId="1128" xr:uid="{00000000-0005-0000-0000-000046940000}"/>
    <cellStyle name="Nuovo 28 5 2" xfId="11752" xr:uid="{00000000-0005-0000-0000-000047940000}"/>
    <cellStyle name="Nuovo 28 6" xfId="1129" xr:uid="{00000000-0005-0000-0000-000048940000}"/>
    <cellStyle name="Nuovo 28 6 2" xfId="21802" xr:uid="{00000000-0005-0000-0000-000049940000}"/>
    <cellStyle name="Nuovo 29" xfId="1130" xr:uid="{00000000-0005-0000-0000-00004A940000}"/>
    <cellStyle name="Nuovo 29 2" xfId="1131" xr:uid="{00000000-0005-0000-0000-00004B940000}"/>
    <cellStyle name="Nuovo 29 2 2" xfId="3716" xr:uid="{00000000-0005-0000-0000-00004C940000}"/>
    <cellStyle name="Nuovo 29 3" xfId="1132" xr:uid="{00000000-0005-0000-0000-00004D940000}"/>
    <cellStyle name="Nuovo 29 3 2" xfId="1133" xr:uid="{00000000-0005-0000-0000-00004E940000}"/>
    <cellStyle name="Nuovo 29 3 3" xfId="19810" xr:uid="{00000000-0005-0000-0000-00004F940000}"/>
    <cellStyle name="Nuovo 29 3 3 2" xfId="20820" xr:uid="{00000000-0005-0000-0000-000050940000}"/>
    <cellStyle name="Nuovo 29 3 4" xfId="20819" xr:uid="{00000000-0005-0000-0000-000051940000}"/>
    <cellStyle name="Nuovo 29 3 5" xfId="19809" xr:uid="{00000000-0005-0000-0000-000052940000}"/>
    <cellStyle name="Nuovo 29 4" xfId="1134" xr:uid="{00000000-0005-0000-0000-000053940000}"/>
    <cellStyle name="Nuovo 29 4 2" xfId="19812" xr:uid="{00000000-0005-0000-0000-000054940000}"/>
    <cellStyle name="Nuovo 29 4 2 2" xfId="20822" xr:uid="{00000000-0005-0000-0000-000055940000}"/>
    <cellStyle name="Nuovo 29 4 3" xfId="20821" xr:uid="{00000000-0005-0000-0000-000056940000}"/>
    <cellStyle name="Nuovo 29 4 4" xfId="19811" xr:uid="{00000000-0005-0000-0000-000057940000}"/>
    <cellStyle name="Nuovo 29 4 5" xfId="11753" xr:uid="{00000000-0005-0000-0000-000058940000}"/>
    <cellStyle name="Nuovo 29 5" xfId="1135" xr:uid="{00000000-0005-0000-0000-000059940000}"/>
    <cellStyle name="Nuovo 29 5 2" xfId="11754" xr:uid="{00000000-0005-0000-0000-00005A940000}"/>
    <cellStyle name="Nuovo 29 6" xfId="1136" xr:uid="{00000000-0005-0000-0000-00005B940000}"/>
    <cellStyle name="Nuovo 29 6 2" xfId="21803" xr:uid="{00000000-0005-0000-0000-00005C940000}"/>
    <cellStyle name="Nuovo 3" xfId="1137" xr:uid="{00000000-0005-0000-0000-00005D940000}"/>
    <cellStyle name="Nuovo 3 2" xfId="1138" xr:uid="{00000000-0005-0000-0000-00005E940000}"/>
    <cellStyle name="Nuovo 3 2 2" xfId="3717" xr:uid="{00000000-0005-0000-0000-00005F940000}"/>
    <cellStyle name="Nuovo 3 3" xfId="1139" xr:uid="{00000000-0005-0000-0000-000060940000}"/>
    <cellStyle name="Nuovo 3 3 2" xfId="1140" xr:uid="{00000000-0005-0000-0000-000061940000}"/>
    <cellStyle name="Nuovo 3 3 3" xfId="19814" xr:uid="{00000000-0005-0000-0000-000062940000}"/>
    <cellStyle name="Nuovo 3 3 3 2" xfId="20824" xr:uid="{00000000-0005-0000-0000-000063940000}"/>
    <cellStyle name="Nuovo 3 3 4" xfId="20823" xr:uid="{00000000-0005-0000-0000-000064940000}"/>
    <cellStyle name="Nuovo 3 3 5" xfId="19813" xr:uid="{00000000-0005-0000-0000-000065940000}"/>
    <cellStyle name="Nuovo 3 4" xfId="1141" xr:uid="{00000000-0005-0000-0000-000066940000}"/>
    <cellStyle name="Nuovo 3 4 2" xfId="19816" xr:uid="{00000000-0005-0000-0000-000067940000}"/>
    <cellStyle name="Nuovo 3 4 2 2" xfId="20826" xr:uid="{00000000-0005-0000-0000-000068940000}"/>
    <cellStyle name="Nuovo 3 4 3" xfId="20825" xr:uid="{00000000-0005-0000-0000-000069940000}"/>
    <cellStyle name="Nuovo 3 4 4" xfId="19815" xr:uid="{00000000-0005-0000-0000-00006A940000}"/>
    <cellStyle name="Nuovo 3 4 5" xfId="11755" xr:uid="{00000000-0005-0000-0000-00006B940000}"/>
    <cellStyle name="Nuovo 3 5" xfId="1142" xr:uid="{00000000-0005-0000-0000-00006C940000}"/>
    <cellStyle name="Nuovo 3 5 2" xfId="11756" xr:uid="{00000000-0005-0000-0000-00006D940000}"/>
    <cellStyle name="Nuovo 3 6" xfId="1143" xr:uid="{00000000-0005-0000-0000-00006E940000}"/>
    <cellStyle name="Nuovo 3 6 2" xfId="21804" xr:uid="{00000000-0005-0000-0000-00006F940000}"/>
    <cellStyle name="Nuovo 30" xfId="1144" xr:uid="{00000000-0005-0000-0000-000070940000}"/>
    <cellStyle name="Nuovo 30 2" xfId="1145" xr:uid="{00000000-0005-0000-0000-000071940000}"/>
    <cellStyle name="Nuovo 30 2 2" xfId="3718" xr:uid="{00000000-0005-0000-0000-000072940000}"/>
    <cellStyle name="Nuovo 30 3" xfId="1146" xr:uid="{00000000-0005-0000-0000-000073940000}"/>
    <cellStyle name="Nuovo 30 3 2" xfId="1147" xr:uid="{00000000-0005-0000-0000-000074940000}"/>
    <cellStyle name="Nuovo 30 3 3" xfId="19818" xr:uid="{00000000-0005-0000-0000-000075940000}"/>
    <cellStyle name="Nuovo 30 3 3 2" xfId="20828" xr:uid="{00000000-0005-0000-0000-000076940000}"/>
    <cellStyle name="Nuovo 30 3 4" xfId="20827" xr:uid="{00000000-0005-0000-0000-000077940000}"/>
    <cellStyle name="Nuovo 30 3 5" xfId="19817" xr:uid="{00000000-0005-0000-0000-000078940000}"/>
    <cellStyle name="Nuovo 30 4" xfId="1148" xr:uid="{00000000-0005-0000-0000-000079940000}"/>
    <cellStyle name="Nuovo 30 4 2" xfId="19820" xr:uid="{00000000-0005-0000-0000-00007A940000}"/>
    <cellStyle name="Nuovo 30 4 2 2" xfId="20830" xr:uid="{00000000-0005-0000-0000-00007B940000}"/>
    <cellStyle name="Nuovo 30 4 3" xfId="20829" xr:uid="{00000000-0005-0000-0000-00007C940000}"/>
    <cellStyle name="Nuovo 30 4 4" xfId="19819" xr:uid="{00000000-0005-0000-0000-00007D940000}"/>
    <cellStyle name="Nuovo 30 4 5" xfId="11757" xr:uid="{00000000-0005-0000-0000-00007E940000}"/>
    <cellStyle name="Nuovo 30 5" xfId="1149" xr:uid="{00000000-0005-0000-0000-00007F940000}"/>
    <cellStyle name="Nuovo 30 5 2" xfId="11758" xr:uid="{00000000-0005-0000-0000-000080940000}"/>
    <cellStyle name="Nuovo 30 6" xfId="1150" xr:uid="{00000000-0005-0000-0000-000081940000}"/>
    <cellStyle name="Nuovo 30 6 2" xfId="21805" xr:uid="{00000000-0005-0000-0000-000082940000}"/>
    <cellStyle name="Nuovo 31" xfId="1151" xr:uid="{00000000-0005-0000-0000-000083940000}"/>
    <cellStyle name="Nuovo 31 2" xfId="1152" xr:uid="{00000000-0005-0000-0000-000084940000}"/>
    <cellStyle name="Nuovo 31 2 2" xfId="3719" xr:uid="{00000000-0005-0000-0000-000085940000}"/>
    <cellStyle name="Nuovo 31 3" xfId="1153" xr:uid="{00000000-0005-0000-0000-000086940000}"/>
    <cellStyle name="Nuovo 31 3 2" xfId="1154" xr:uid="{00000000-0005-0000-0000-000087940000}"/>
    <cellStyle name="Nuovo 31 3 3" xfId="19822" xr:uid="{00000000-0005-0000-0000-000088940000}"/>
    <cellStyle name="Nuovo 31 3 3 2" xfId="20832" xr:uid="{00000000-0005-0000-0000-000089940000}"/>
    <cellStyle name="Nuovo 31 3 4" xfId="20831" xr:uid="{00000000-0005-0000-0000-00008A940000}"/>
    <cellStyle name="Nuovo 31 3 5" xfId="19821" xr:uid="{00000000-0005-0000-0000-00008B940000}"/>
    <cellStyle name="Nuovo 31 4" xfId="1155" xr:uid="{00000000-0005-0000-0000-00008C940000}"/>
    <cellStyle name="Nuovo 31 4 2" xfId="19824" xr:uid="{00000000-0005-0000-0000-00008D940000}"/>
    <cellStyle name="Nuovo 31 4 2 2" xfId="20834" xr:uid="{00000000-0005-0000-0000-00008E940000}"/>
    <cellStyle name="Nuovo 31 4 3" xfId="20833" xr:uid="{00000000-0005-0000-0000-00008F940000}"/>
    <cellStyle name="Nuovo 31 4 4" xfId="19823" xr:uid="{00000000-0005-0000-0000-000090940000}"/>
    <cellStyle name="Nuovo 31 4 5" xfId="11759" xr:uid="{00000000-0005-0000-0000-000091940000}"/>
    <cellStyle name="Nuovo 31 5" xfId="1156" xr:uid="{00000000-0005-0000-0000-000092940000}"/>
    <cellStyle name="Nuovo 31 5 2" xfId="11760" xr:uid="{00000000-0005-0000-0000-000093940000}"/>
    <cellStyle name="Nuovo 31 6" xfId="1157" xr:uid="{00000000-0005-0000-0000-000094940000}"/>
    <cellStyle name="Nuovo 31 6 2" xfId="21806" xr:uid="{00000000-0005-0000-0000-000095940000}"/>
    <cellStyle name="Nuovo 32" xfId="1158" xr:uid="{00000000-0005-0000-0000-000096940000}"/>
    <cellStyle name="Nuovo 32 2" xfId="1159" xr:uid="{00000000-0005-0000-0000-000097940000}"/>
    <cellStyle name="Nuovo 32 2 2" xfId="3720" xr:uid="{00000000-0005-0000-0000-000098940000}"/>
    <cellStyle name="Nuovo 32 3" xfId="1160" xr:uid="{00000000-0005-0000-0000-000099940000}"/>
    <cellStyle name="Nuovo 32 3 2" xfId="1161" xr:uid="{00000000-0005-0000-0000-00009A940000}"/>
    <cellStyle name="Nuovo 32 3 3" xfId="19826" xr:uid="{00000000-0005-0000-0000-00009B940000}"/>
    <cellStyle name="Nuovo 32 3 3 2" xfId="20836" xr:uid="{00000000-0005-0000-0000-00009C940000}"/>
    <cellStyle name="Nuovo 32 3 4" xfId="20835" xr:uid="{00000000-0005-0000-0000-00009D940000}"/>
    <cellStyle name="Nuovo 32 3 5" xfId="19825" xr:uid="{00000000-0005-0000-0000-00009E940000}"/>
    <cellStyle name="Nuovo 32 4" xfId="1162" xr:uid="{00000000-0005-0000-0000-00009F940000}"/>
    <cellStyle name="Nuovo 32 4 2" xfId="19828" xr:uid="{00000000-0005-0000-0000-0000A0940000}"/>
    <cellStyle name="Nuovo 32 4 2 2" xfId="20838" xr:uid="{00000000-0005-0000-0000-0000A1940000}"/>
    <cellStyle name="Nuovo 32 4 3" xfId="20837" xr:uid="{00000000-0005-0000-0000-0000A2940000}"/>
    <cellStyle name="Nuovo 32 4 4" xfId="19827" xr:uid="{00000000-0005-0000-0000-0000A3940000}"/>
    <cellStyle name="Nuovo 32 4 5" xfId="11761" xr:uid="{00000000-0005-0000-0000-0000A4940000}"/>
    <cellStyle name="Nuovo 32 5" xfId="1163" xr:uid="{00000000-0005-0000-0000-0000A5940000}"/>
    <cellStyle name="Nuovo 32 5 2" xfId="11762" xr:uid="{00000000-0005-0000-0000-0000A6940000}"/>
    <cellStyle name="Nuovo 32 6" xfId="1164" xr:uid="{00000000-0005-0000-0000-0000A7940000}"/>
    <cellStyle name="Nuovo 32 6 2" xfId="21807" xr:uid="{00000000-0005-0000-0000-0000A8940000}"/>
    <cellStyle name="Nuovo 33" xfId="1165" xr:uid="{00000000-0005-0000-0000-0000A9940000}"/>
    <cellStyle name="Nuovo 33 2" xfId="1166" xr:uid="{00000000-0005-0000-0000-0000AA940000}"/>
    <cellStyle name="Nuovo 33 2 2" xfId="3721" xr:uid="{00000000-0005-0000-0000-0000AB940000}"/>
    <cellStyle name="Nuovo 33 3" xfId="1167" xr:uid="{00000000-0005-0000-0000-0000AC940000}"/>
    <cellStyle name="Nuovo 33 3 2" xfId="1168" xr:uid="{00000000-0005-0000-0000-0000AD940000}"/>
    <cellStyle name="Nuovo 33 3 3" xfId="19830" xr:uid="{00000000-0005-0000-0000-0000AE940000}"/>
    <cellStyle name="Nuovo 33 3 3 2" xfId="20840" xr:uid="{00000000-0005-0000-0000-0000AF940000}"/>
    <cellStyle name="Nuovo 33 3 4" xfId="20839" xr:uid="{00000000-0005-0000-0000-0000B0940000}"/>
    <cellStyle name="Nuovo 33 3 5" xfId="19829" xr:uid="{00000000-0005-0000-0000-0000B1940000}"/>
    <cellStyle name="Nuovo 33 4" xfId="1169" xr:uid="{00000000-0005-0000-0000-0000B2940000}"/>
    <cellStyle name="Nuovo 33 4 2" xfId="19832" xr:uid="{00000000-0005-0000-0000-0000B3940000}"/>
    <cellStyle name="Nuovo 33 4 2 2" xfId="20842" xr:uid="{00000000-0005-0000-0000-0000B4940000}"/>
    <cellStyle name="Nuovo 33 4 3" xfId="20841" xr:uid="{00000000-0005-0000-0000-0000B5940000}"/>
    <cellStyle name="Nuovo 33 4 4" xfId="19831" xr:uid="{00000000-0005-0000-0000-0000B6940000}"/>
    <cellStyle name="Nuovo 33 4 5" xfId="11763" xr:uid="{00000000-0005-0000-0000-0000B7940000}"/>
    <cellStyle name="Nuovo 33 5" xfId="1170" xr:uid="{00000000-0005-0000-0000-0000B8940000}"/>
    <cellStyle name="Nuovo 33 5 2" xfId="11764" xr:uid="{00000000-0005-0000-0000-0000B9940000}"/>
    <cellStyle name="Nuovo 33 6" xfId="1171" xr:uid="{00000000-0005-0000-0000-0000BA940000}"/>
    <cellStyle name="Nuovo 33 6 2" xfId="21808" xr:uid="{00000000-0005-0000-0000-0000BB940000}"/>
    <cellStyle name="Nuovo 34" xfId="1172" xr:uid="{00000000-0005-0000-0000-0000BC940000}"/>
    <cellStyle name="Nuovo 34 2" xfId="1173" xr:uid="{00000000-0005-0000-0000-0000BD940000}"/>
    <cellStyle name="Nuovo 34 2 2" xfId="3722" xr:uid="{00000000-0005-0000-0000-0000BE940000}"/>
    <cellStyle name="Nuovo 34 3" xfId="1174" xr:uid="{00000000-0005-0000-0000-0000BF940000}"/>
    <cellStyle name="Nuovo 34 3 2" xfId="1175" xr:uid="{00000000-0005-0000-0000-0000C0940000}"/>
    <cellStyle name="Nuovo 34 3 3" xfId="19834" xr:uid="{00000000-0005-0000-0000-0000C1940000}"/>
    <cellStyle name="Nuovo 34 3 3 2" xfId="20844" xr:uid="{00000000-0005-0000-0000-0000C2940000}"/>
    <cellStyle name="Nuovo 34 3 4" xfId="20843" xr:uid="{00000000-0005-0000-0000-0000C3940000}"/>
    <cellStyle name="Nuovo 34 3 5" xfId="19833" xr:uid="{00000000-0005-0000-0000-0000C4940000}"/>
    <cellStyle name="Nuovo 34 4" xfId="1176" xr:uid="{00000000-0005-0000-0000-0000C5940000}"/>
    <cellStyle name="Nuovo 34 4 2" xfId="19836" xr:uid="{00000000-0005-0000-0000-0000C6940000}"/>
    <cellStyle name="Nuovo 34 4 2 2" xfId="20846" xr:uid="{00000000-0005-0000-0000-0000C7940000}"/>
    <cellStyle name="Nuovo 34 4 3" xfId="20845" xr:uid="{00000000-0005-0000-0000-0000C8940000}"/>
    <cellStyle name="Nuovo 34 4 4" xfId="19835" xr:uid="{00000000-0005-0000-0000-0000C9940000}"/>
    <cellStyle name="Nuovo 34 4 5" xfId="11765" xr:uid="{00000000-0005-0000-0000-0000CA940000}"/>
    <cellStyle name="Nuovo 34 5" xfId="1177" xr:uid="{00000000-0005-0000-0000-0000CB940000}"/>
    <cellStyle name="Nuovo 34 5 2" xfId="11766" xr:uid="{00000000-0005-0000-0000-0000CC940000}"/>
    <cellStyle name="Nuovo 34 6" xfId="1178" xr:uid="{00000000-0005-0000-0000-0000CD940000}"/>
    <cellStyle name="Nuovo 34 6 2" xfId="21809" xr:uid="{00000000-0005-0000-0000-0000CE940000}"/>
    <cellStyle name="Nuovo 35" xfId="1179" xr:uid="{00000000-0005-0000-0000-0000CF940000}"/>
    <cellStyle name="Nuovo 35 2" xfId="1180" xr:uid="{00000000-0005-0000-0000-0000D0940000}"/>
    <cellStyle name="Nuovo 35 2 2" xfId="3723" xr:uid="{00000000-0005-0000-0000-0000D1940000}"/>
    <cellStyle name="Nuovo 35 3" xfId="1181" xr:uid="{00000000-0005-0000-0000-0000D2940000}"/>
    <cellStyle name="Nuovo 35 3 2" xfId="1182" xr:uid="{00000000-0005-0000-0000-0000D3940000}"/>
    <cellStyle name="Nuovo 35 3 3" xfId="19838" xr:uid="{00000000-0005-0000-0000-0000D4940000}"/>
    <cellStyle name="Nuovo 35 3 3 2" xfId="20848" xr:uid="{00000000-0005-0000-0000-0000D5940000}"/>
    <cellStyle name="Nuovo 35 3 4" xfId="20847" xr:uid="{00000000-0005-0000-0000-0000D6940000}"/>
    <cellStyle name="Nuovo 35 3 5" xfId="19837" xr:uid="{00000000-0005-0000-0000-0000D7940000}"/>
    <cellStyle name="Nuovo 35 4" xfId="1183" xr:uid="{00000000-0005-0000-0000-0000D8940000}"/>
    <cellStyle name="Nuovo 35 4 2" xfId="19840" xr:uid="{00000000-0005-0000-0000-0000D9940000}"/>
    <cellStyle name="Nuovo 35 4 2 2" xfId="20850" xr:uid="{00000000-0005-0000-0000-0000DA940000}"/>
    <cellStyle name="Nuovo 35 4 3" xfId="20849" xr:uid="{00000000-0005-0000-0000-0000DB940000}"/>
    <cellStyle name="Nuovo 35 4 4" xfId="19839" xr:uid="{00000000-0005-0000-0000-0000DC940000}"/>
    <cellStyle name="Nuovo 35 4 5" xfId="11767" xr:uid="{00000000-0005-0000-0000-0000DD940000}"/>
    <cellStyle name="Nuovo 35 5" xfId="1184" xr:uid="{00000000-0005-0000-0000-0000DE940000}"/>
    <cellStyle name="Nuovo 35 5 2" xfId="11768" xr:uid="{00000000-0005-0000-0000-0000DF940000}"/>
    <cellStyle name="Nuovo 35 6" xfId="1185" xr:uid="{00000000-0005-0000-0000-0000E0940000}"/>
    <cellStyle name="Nuovo 35 6 2" xfId="21810" xr:uid="{00000000-0005-0000-0000-0000E1940000}"/>
    <cellStyle name="Nuovo 36" xfId="1186" xr:uid="{00000000-0005-0000-0000-0000E2940000}"/>
    <cellStyle name="Nuovo 36 2" xfId="1187" xr:uid="{00000000-0005-0000-0000-0000E3940000}"/>
    <cellStyle name="Nuovo 36 2 2" xfId="3724" xr:uid="{00000000-0005-0000-0000-0000E4940000}"/>
    <cellStyle name="Nuovo 36 3" xfId="1188" xr:uid="{00000000-0005-0000-0000-0000E5940000}"/>
    <cellStyle name="Nuovo 36 3 2" xfId="1189" xr:uid="{00000000-0005-0000-0000-0000E6940000}"/>
    <cellStyle name="Nuovo 36 3 3" xfId="19842" xr:uid="{00000000-0005-0000-0000-0000E7940000}"/>
    <cellStyle name="Nuovo 36 3 3 2" xfId="20852" xr:uid="{00000000-0005-0000-0000-0000E8940000}"/>
    <cellStyle name="Nuovo 36 3 4" xfId="20851" xr:uid="{00000000-0005-0000-0000-0000E9940000}"/>
    <cellStyle name="Nuovo 36 3 5" xfId="19841" xr:uid="{00000000-0005-0000-0000-0000EA940000}"/>
    <cellStyle name="Nuovo 36 4" xfId="1190" xr:uid="{00000000-0005-0000-0000-0000EB940000}"/>
    <cellStyle name="Nuovo 36 4 2" xfId="19844" xr:uid="{00000000-0005-0000-0000-0000EC940000}"/>
    <cellStyle name="Nuovo 36 4 2 2" xfId="20854" xr:uid="{00000000-0005-0000-0000-0000ED940000}"/>
    <cellStyle name="Nuovo 36 4 3" xfId="20853" xr:uid="{00000000-0005-0000-0000-0000EE940000}"/>
    <cellStyle name="Nuovo 36 4 4" xfId="19843" xr:uid="{00000000-0005-0000-0000-0000EF940000}"/>
    <cellStyle name="Nuovo 36 4 5" xfId="11769" xr:uid="{00000000-0005-0000-0000-0000F0940000}"/>
    <cellStyle name="Nuovo 36 5" xfId="1191" xr:uid="{00000000-0005-0000-0000-0000F1940000}"/>
    <cellStyle name="Nuovo 36 5 2" xfId="11770" xr:uid="{00000000-0005-0000-0000-0000F2940000}"/>
    <cellStyle name="Nuovo 36 6" xfId="1192" xr:uid="{00000000-0005-0000-0000-0000F3940000}"/>
    <cellStyle name="Nuovo 36 6 2" xfId="21811" xr:uid="{00000000-0005-0000-0000-0000F4940000}"/>
    <cellStyle name="Nuovo 37" xfId="1193" xr:uid="{00000000-0005-0000-0000-0000F5940000}"/>
    <cellStyle name="Nuovo 37 2" xfId="1194" xr:uid="{00000000-0005-0000-0000-0000F6940000}"/>
    <cellStyle name="Nuovo 37 2 2" xfId="3725" xr:uid="{00000000-0005-0000-0000-0000F7940000}"/>
    <cellStyle name="Nuovo 37 3" xfId="1195" xr:uid="{00000000-0005-0000-0000-0000F8940000}"/>
    <cellStyle name="Nuovo 37 3 2" xfId="1196" xr:uid="{00000000-0005-0000-0000-0000F9940000}"/>
    <cellStyle name="Nuovo 37 3 3" xfId="19846" xr:uid="{00000000-0005-0000-0000-0000FA940000}"/>
    <cellStyle name="Nuovo 37 3 3 2" xfId="20856" xr:uid="{00000000-0005-0000-0000-0000FB940000}"/>
    <cellStyle name="Nuovo 37 3 4" xfId="20855" xr:uid="{00000000-0005-0000-0000-0000FC940000}"/>
    <cellStyle name="Nuovo 37 3 5" xfId="19845" xr:uid="{00000000-0005-0000-0000-0000FD940000}"/>
    <cellStyle name="Nuovo 37 4" xfId="1197" xr:uid="{00000000-0005-0000-0000-0000FE940000}"/>
    <cellStyle name="Nuovo 37 4 2" xfId="19848" xr:uid="{00000000-0005-0000-0000-0000FF940000}"/>
    <cellStyle name="Nuovo 37 4 2 2" xfId="20858" xr:uid="{00000000-0005-0000-0000-000000950000}"/>
    <cellStyle name="Nuovo 37 4 3" xfId="20857" xr:uid="{00000000-0005-0000-0000-000001950000}"/>
    <cellStyle name="Nuovo 37 4 4" xfId="19847" xr:uid="{00000000-0005-0000-0000-000002950000}"/>
    <cellStyle name="Nuovo 37 4 5" xfId="11771" xr:uid="{00000000-0005-0000-0000-000003950000}"/>
    <cellStyle name="Nuovo 37 5" xfId="1198" xr:uid="{00000000-0005-0000-0000-000004950000}"/>
    <cellStyle name="Nuovo 37 5 2" xfId="11772" xr:uid="{00000000-0005-0000-0000-000005950000}"/>
    <cellStyle name="Nuovo 37 6" xfId="1199" xr:uid="{00000000-0005-0000-0000-000006950000}"/>
    <cellStyle name="Nuovo 37 6 2" xfId="21812" xr:uid="{00000000-0005-0000-0000-000007950000}"/>
    <cellStyle name="Nuovo 38" xfId="1200" xr:uid="{00000000-0005-0000-0000-000008950000}"/>
    <cellStyle name="Nuovo 38 2" xfId="1201" xr:uid="{00000000-0005-0000-0000-000009950000}"/>
    <cellStyle name="Nuovo 38 2 2" xfId="3726" xr:uid="{00000000-0005-0000-0000-00000A950000}"/>
    <cellStyle name="Nuovo 38 3" xfId="1202" xr:uid="{00000000-0005-0000-0000-00000B950000}"/>
    <cellStyle name="Nuovo 38 3 2" xfId="1203" xr:uid="{00000000-0005-0000-0000-00000C950000}"/>
    <cellStyle name="Nuovo 38 3 3" xfId="19850" xr:uid="{00000000-0005-0000-0000-00000D950000}"/>
    <cellStyle name="Nuovo 38 3 3 2" xfId="20860" xr:uid="{00000000-0005-0000-0000-00000E950000}"/>
    <cellStyle name="Nuovo 38 3 4" xfId="20859" xr:uid="{00000000-0005-0000-0000-00000F950000}"/>
    <cellStyle name="Nuovo 38 3 5" xfId="19849" xr:uid="{00000000-0005-0000-0000-000010950000}"/>
    <cellStyle name="Nuovo 38 4" xfId="1204" xr:uid="{00000000-0005-0000-0000-000011950000}"/>
    <cellStyle name="Nuovo 38 4 2" xfId="19852" xr:uid="{00000000-0005-0000-0000-000012950000}"/>
    <cellStyle name="Nuovo 38 4 2 2" xfId="20862" xr:uid="{00000000-0005-0000-0000-000013950000}"/>
    <cellStyle name="Nuovo 38 4 3" xfId="20861" xr:uid="{00000000-0005-0000-0000-000014950000}"/>
    <cellStyle name="Nuovo 38 4 4" xfId="19851" xr:uid="{00000000-0005-0000-0000-000015950000}"/>
    <cellStyle name="Nuovo 38 4 5" xfId="11773" xr:uid="{00000000-0005-0000-0000-000016950000}"/>
    <cellStyle name="Nuovo 38 5" xfId="1205" xr:uid="{00000000-0005-0000-0000-000017950000}"/>
    <cellStyle name="Nuovo 38 5 2" xfId="11774" xr:uid="{00000000-0005-0000-0000-000018950000}"/>
    <cellStyle name="Nuovo 38 6" xfId="1206" xr:uid="{00000000-0005-0000-0000-000019950000}"/>
    <cellStyle name="Nuovo 38 6 2" xfId="21813" xr:uid="{00000000-0005-0000-0000-00001A950000}"/>
    <cellStyle name="Nuovo 39" xfId="1207" xr:uid="{00000000-0005-0000-0000-00001B950000}"/>
    <cellStyle name="Nuovo 39 2" xfId="1208" xr:uid="{00000000-0005-0000-0000-00001C950000}"/>
    <cellStyle name="Nuovo 39 2 2" xfId="3727" xr:uid="{00000000-0005-0000-0000-00001D950000}"/>
    <cellStyle name="Nuovo 39 3" xfId="1209" xr:uid="{00000000-0005-0000-0000-00001E950000}"/>
    <cellStyle name="Nuovo 39 3 2" xfId="1210" xr:uid="{00000000-0005-0000-0000-00001F950000}"/>
    <cellStyle name="Nuovo 39 3 3" xfId="19854" xr:uid="{00000000-0005-0000-0000-000020950000}"/>
    <cellStyle name="Nuovo 39 3 3 2" xfId="20864" xr:uid="{00000000-0005-0000-0000-000021950000}"/>
    <cellStyle name="Nuovo 39 3 4" xfId="20863" xr:uid="{00000000-0005-0000-0000-000022950000}"/>
    <cellStyle name="Nuovo 39 3 5" xfId="19853" xr:uid="{00000000-0005-0000-0000-000023950000}"/>
    <cellStyle name="Nuovo 39 4" xfId="1211" xr:uid="{00000000-0005-0000-0000-000024950000}"/>
    <cellStyle name="Nuovo 39 4 2" xfId="19856" xr:uid="{00000000-0005-0000-0000-000025950000}"/>
    <cellStyle name="Nuovo 39 4 2 2" xfId="20866" xr:uid="{00000000-0005-0000-0000-000026950000}"/>
    <cellStyle name="Nuovo 39 4 3" xfId="20865" xr:uid="{00000000-0005-0000-0000-000027950000}"/>
    <cellStyle name="Nuovo 39 4 4" xfId="19855" xr:uid="{00000000-0005-0000-0000-000028950000}"/>
    <cellStyle name="Nuovo 39 4 5" xfId="11775" xr:uid="{00000000-0005-0000-0000-000029950000}"/>
    <cellStyle name="Nuovo 39 5" xfId="1212" xr:uid="{00000000-0005-0000-0000-00002A950000}"/>
    <cellStyle name="Nuovo 39 5 2" xfId="11776" xr:uid="{00000000-0005-0000-0000-00002B950000}"/>
    <cellStyle name="Nuovo 39 6" xfId="1213" xr:uid="{00000000-0005-0000-0000-00002C950000}"/>
    <cellStyle name="Nuovo 39 6 2" xfId="21814" xr:uid="{00000000-0005-0000-0000-00002D950000}"/>
    <cellStyle name="Nuovo 4" xfId="1214" xr:uid="{00000000-0005-0000-0000-00002E950000}"/>
    <cellStyle name="Nuovo 4 2" xfId="1215" xr:uid="{00000000-0005-0000-0000-00002F950000}"/>
    <cellStyle name="Nuovo 4 2 2" xfId="3728" xr:uid="{00000000-0005-0000-0000-000030950000}"/>
    <cellStyle name="Nuovo 4 3" xfId="1216" xr:uid="{00000000-0005-0000-0000-000031950000}"/>
    <cellStyle name="Nuovo 4 3 2" xfId="1217" xr:uid="{00000000-0005-0000-0000-000032950000}"/>
    <cellStyle name="Nuovo 4 3 3" xfId="19858" xr:uid="{00000000-0005-0000-0000-000033950000}"/>
    <cellStyle name="Nuovo 4 3 3 2" xfId="20868" xr:uid="{00000000-0005-0000-0000-000034950000}"/>
    <cellStyle name="Nuovo 4 3 4" xfId="20867" xr:uid="{00000000-0005-0000-0000-000035950000}"/>
    <cellStyle name="Nuovo 4 3 5" xfId="19857" xr:uid="{00000000-0005-0000-0000-000036950000}"/>
    <cellStyle name="Nuovo 4 4" xfId="1218" xr:uid="{00000000-0005-0000-0000-000037950000}"/>
    <cellStyle name="Nuovo 4 4 2" xfId="19860" xr:uid="{00000000-0005-0000-0000-000038950000}"/>
    <cellStyle name="Nuovo 4 4 2 2" xfId="20870" xr:uid="{00000000-0005-0000-0000-000039950000}"/>
    <cellStyle name="Nuovo 4 4 3" xfId="20869" xr:uid="{00000000-0005-0000-0000-00003A950000}"/>
    <cellStyle name="Nuovo 4 4 4" xfId="19859" xr:uid="{00000000-0005-0000-0000-00003B950000}"/>
    <cellStyle name="Nuovo 4 4 5" xfId="11777" xr:uid="{00000000-0005-0000-0000-00003C950000}"/>
    <cellStyle name="Nuovo 4 5" xfId="1219" xr:uid="{00000000-0005-0000-0000-00003D950000}"/>
    <cellStyle name="Nuovo 4 5 2" xfId="11778" xr:uid="{00000000-0005-0000-0000-00003E950000}"/>
    <cellStyle name="Nuovo 4 6" xfId="1220" xr:uid="{00000000-0005-0000-0000-00003F950000}"/>
    <cellStyle name="Nuovo 4 6 2" xfId="21815" xr:uid="{00000000-0005-0000-0000-000040950000}"/>
    <cellStyle name="Nuovo 40" xfId="1221" xr:uid="{00000000-0005-0000-0000-000041950000}"/>
    <cellStyle name="Nuovo 40 2" xfId="1222" xr:uid="{00000000-0005-0000-0000-000042950000}"/>
    <cellStyle name="Nuovo 40 2 2" xfId="3729" xr:uid="{00000000-0005-0000-0000-000043950000}"/>
    <cellStyle name="Nuovo 40 3" xfId="1223" xr:uid="{00000000-0005-0000-0000-000044950000}"/>
    <cellStyle name="Nuovo 40 3 2" xfId="1224" xr:uid="{00000000-0005-0000-0000-000045950000}"/>
    <cellStyle name="Nuovo 40 3 3" xfId="19862" xr:uid="{00000000-0005-0000-0000-000046950000}"/>
    <cellStyle name="Nuovo 40 3 3 2" xfId="20872" xr:uid="{00000000-0005-0000-0000-000047950000}"/>
    <cellStyle name="Nuovo 40 3 4" xfId="20871" xr:uid="{00000000-0005-0000-0000-000048950000}"/>
    <cellStyle name="Nuovo 40 3 5" xfId="19861" xr:uid="{00000000-0005-0000-0000-000049950000}"/>
    <cellStyle name="Nuovo 40 4" xfId="1225" xr:uid="{00000000-0005-0000-0000-00004A950000}"/>
    <cellStyle name="Nuovo 40 4 2" xfId="19864" xr:uid="{00000000-0005-0000-0000-00004B950000}"/>
    <cellStyle name="Nuovo 40 4 2 2" xfId="20874" xr:uid="{00000000-0005-0000-0000-00004C950000}"/>
    <cellStyle name="Nuovo 40 4 3" xfId="20873" xr:uid="{00000000-0005-0000-0000-00004D950000}"/>
    <cellStyle name="Nuovo 40 4 4" xfId="19863" xr:uid="{00000000-0005-0000-0000-00004E950000}"/>
    <cellStyle name="Nuovo 40 4 5" xfId="11779" xr:uid="{00000000-0005-0000-0000-00004F950000}"/>
    <cellStyle name="Nuovo 40 5" xfId="1226" xr:uid="{00000000-0005-0000-0000-000050950000}"/>
    <cellStyle name="Nuovo 40 5 2" xfId="11780" xr:uid="{00000000-0005-0000-0000-000051950000}"/>
    <cellStyle name="Nuovo 40 6" xfId="1227" xr:uid="{00000000-0005-0000-0000-000052950000}"/>
    <cellStyle name="Nuovo 40 6 2" xfId="21816" xr:uid="{00000000-0005-0000-0000-000053950000}"/>
    <cellStyle name="Nuovo 41" xfId="1228" xr:uid="{00000000-0005-0000-0000-000054950000}"/>
    <cellStyle name="Nuovo 41 2" xfId="1229" xr:uid="{00000000-0005-0000-0000-000055950000}"/>
    <cellStyle name="Nuovo 41 2 2" xfId="3730" xr:uid="{00000000-0005-0000-0000-000056950000}"/>
    <cellStyle name="Nuovo 41 3" xfId="1230" xr:uid="{00000000-0005-0000-0000-000057950000}"/>
    <cellStyle name="Nuovo 41 3 2" xfId="1231" xr:uid="{00000000-0005-0000-0000-000058950000}"/>
    <cellStyle name="Nuovo 41 3 3" xfId="19866" xr:uid="{00000000-0005-0000-0000-000059950000}"/>
    <cellStyle name="Nuovo 41 3 3 2" xfId="20876" xr:uid="{00000000-0005-0000-0000-00005A950000}"/>
    <cellStyle name="Nuovo 41 3 4" xfId="20875" xr:uid="{00000000-0005-0000-0000-00005B950000}"/>
    <cellStyle name="Nuovo 41 3 5" xfId="19865" xr:uid="{00000000-0005-0000-0000-00005C950000}"/>
    <cellStyle name="Nuovo 41 4" xfId="1232" xr:uid="{00000000-0005-0000-0000-00005D950000}"/>
    <cellStyle name="Nuovo 41 4 2" xfId="19868" xr:uid="{00000000-0005-0000-0000-00005E950000}"/>
    <cellStyle name="Nuovo 41 4 2 2" xfId="20878" xr:uid="{00000000-0005-0000-0000-00005F950000}"/>
    <cellStyle name="Nuovo 41 4 3" xfId="20877" xr:uid="{00000000-0005-0000-0000-000060950000}"/>
    <cellStyle name="Nuovo 41 4 4" xfId="19867" xr:uid="{00000000-0005-0000-0000-000061950000}"/>
    <cellStyle name="Nuovo 41 4 5" xfId="11781" xr:uid="{00000000-0005-0000-0000-000062950000}"/>
    <cellStyle name="Nuovo 41 5" xfId="1233" xr:uid="{00000000-0005-0000-0000-000063950000}"/>
    <cellStyle name="Nuovo 41 5 2" xfId="11782" xr:uid="{00000000-0005-0000-0000-000064950000}"/>
    <cellStyle name="Nuovo 41 6" xfId="1234" xr:uid="{00000000-0005-0000-0000-000065950000}"/>
    <cellStyle name="Nuovo 41 6 2" xfId="21817" xr:uid="{00000000-0005-0000-0000-000066950000}"/>
    <cellStyle name="Nuovo 42" xfId="1235" xr:uid="{00000000-0005-0000-0000-000067950000}"/>
    <cellStyle name="Nuovo 42 2" xfId="1236" xr:uid="{00000000-0005-0000-0000-000068950000}"/>
    <cellStyle name="Nuovo 42 2 2" xfId="3731" xr:uid="{00000000-0005-0000-0000-000069950000}"/>
    <cellStyle name="Nuovo 42 3" xfId="1237" xr:uid="{00000000-0005-0000-0000-00006A950000}"/>
    <cellStyle name="Nuovo 42 3 2" xfId="1238" xr:uid="{00000000-0005-0000-0000-00006B950000}"/>
    <cellStyle name="Nuovo 42 3 3" xfId="19870" xr:uid="{00000000-0005-0000-0000-00006C950000}"/>
    <cellStyle name="Nuovo 42 3 3 2" xfId="20880" xr:uid="{00000000-0005-0000-0000-00006D950000}"/>
    <cellStyle name="Nuovo 42 3 4" xfId="20879" xr:uid="{00000000-0005-0000-0000-00006E950000}"/>
    <cellStyle name="Nuovo 42 3 5" xfId="19869" xr:uid="{00000000-0005-0000-0000-00006F950000}"/>
    <cellStyle name="Nuovo 42 4" xfId="1239" xr:uid="{00000000-0005-0000-0000-000070950000}"/>
    <cellStyle name="Nuovo 42 4 2" xfId="19872" xr:uid="{00000000-0005-0000-0000-000071950000}"/>
    <cellStyle name="Nuovo 42 4 2 2" xfId="20882" xr:uid="{00000000-0005-0000-0000-000072950000}"/>
    <cellStyle name="Nuovo 42 4 3" xfId="20881" xr:uid="{00000000-0005-0000-0000-000073950000}"/>
    <cellStyle name="Nuovo 42 4 4" xfId="19871" xr:uid="{00000000-0005-0000-0000-000074950000}"/>
    <cellStyle name="Nuovo 42 4 5" xfId="11783" xr:uid="{00000000-0005-0000-0000-000075950000}"/>
    <cellStyle name="Nuovo 42 5" xfId="1240" xr:uid="{00000000-0005-0000-0000-000076950000}"/>
    <cellStyle name="Nuovo 42 5 2" xfId="11784" xr:uid="{00000000-0005-0000-0000-000077950000}"/>
    <cellStyle name="Nuovo 42 6" xfId="1241" xr:uid="{00000000-0005-0000-0000-000078950000}"/>
    <cellStyle name="Nuovo 42 6 2" xfId="21818" xr:uid="{00000000-0005-0000-0000-000079950000}"/>
    <cellStyle name="Nuovo 43" xfId="1242" xr:uid="{00000000-0005-0000-0000-00007A950000}"/>
    <cellStyle name="Nuovo 43 2" xfId="1243" xr:uid="{00000000-0005-0000-0000-00007B950000}"/>
    <cellStyle name="Nuovo 43 2 2" xfId="3732" xr:uid="{00000000-0005-0000-0000-00007C950000}"/>
    <cellStyle name="Nuovo 43 3" xfId="1244" xr:uid="{00000000-0005-0000-0000-00007D950000}"/>
    <cellStyle name="Nuovo 43 3 2" xfId="1245" xr:uid="{00000000-0005-0000-0000-00007E950000}"/>
    <cellStyle name="Nuovo 43 3 3" xfId="19874" xr:uid="{00000000-0005-0000-0000-00007F950000}"/>
    <cellStyle name="Nuovo 43 3 3 2" xfId="20884" xr:uid="{00000000-0005-0000-0000-000080950000}"/>
    <cellStyle name="Nuovo 43 3 4" xfId="20883" xr:uid="{00000000-0005-0000-0000-000081950000}"/>
    <cellStyle name="Nuovo 43 3 5" xfId="19873" xr:uid="{00000000-0005-0000-0000-000082950000}"/>
    <cellStyle name="Nuovo 43 4" xfId="1246" xr:uid="{00000000-0005-0000-0000-000083950000}"/>
    <cellStyle name="Nuovo 43 4 2" xfId="19876" xr:uid="{00000000-0005-0000-0000-000084950000}"/>
    <cellStyle name="Nuovo 43 4 2 2" xfId="20886" xr:uid="{00000000-0005-0000-0000-000085950000}"/>
    <cellStyle name="Nuovo 43 4 3" xfId="20885" xr:uid="{00000000-0005-0000-0000-000086950000}"/>
    <cellStyle name="Nuovo 43 4 4" xfId="19875" xr:uid="{00000000-0005-0000-0000-000087950000}"/>
    <cellStyle name="Nuovo 43 4 5" xfId="11785" xr:uid="{00000000-0005-0000-0000-000088950000}"/>
    <cellStyle name="Nuovo 43 5" xfId="1247" xr:uid="{00000000-0005-0000-0000-000089950000}"/>
    <cellStyle name="Nuovo 43 5 2" xfId="11786" xr:uid="{00000000-0005-0000-0000-00008A950000}"/>
    <cellStyle name="Nuovo 43 6" xfId="1248" xr:uid="{00000000-0005-0000-0000-00008B950000}"/>
    <cellStyle name="Nuovo 43 6 2" xfId="21819" xr:uid="{00000000-0005-0000-0000-00008C950000}"/>
    <cellStyle name="Nuovo 44" xfId="1249" xr:uid="{00000000-0005-0000-0000-00008D950000}"/>
    <cellStyle name="Nuovo 44 2" xfId="1250" xr:uid="{00000000-0005-0000-0000-00008E950000}"/>
    <cellStyle name="Nuovo 44 2 2" xfId="3733" xr:uid="{00000000-0005-0000-0000-00008F950000}"/>
    <cellStyle name="Nuovo 44 3" xfId="1251" xr:uid="{00000000-0005-0000-0000-000090950000}"/>
    <cellStyle name="Nuovo 44 3 2" xfId="1252" xr:uid="{00000000-0005-0000-0000-000091950000}"/>
    <cellStyle name="Nuovo 44 3 3" xfId="19878" xr:uid="{00000000-0005-0000-0000-000092950000}"/>
    <cellStyle name="Nuovo 44 3 3 2" xfId="20888" xr:uid="{00000000-0005-0000-0000-000093950000}"/>
    <cellStyle name="Nuovo 44 3 4" xfId="20887" xr:uid="{00000000-0005-0000-0000-000094950000}"/>
    <cellStyle name="Nuovo 44 3 5" xfId="19877" xr:uid="{00000000-0005-0000-0000-000095950000}"/>
    <cellStyle name="Nuovo 44 4" xfId="1253" xr:uid="{00000000-0005-0000-0000-000096950000}"/>
    <cellStyle name="Nuovo 44 4 2" xfId="19880" xr:uid="{00000000-0005-0000-0000-000097950000}"/>
    <cellStyle name="Nuovo 44 4 2 2" xfId="20890" xr:uid="{00000000-0005-0000-0000-000098950000}"/>
    <cellStyle name="Nuovo 44 4 3" xfId="20889" xr:uid="{00000000-0005-0000-0000-000099950000}"/>
    <cellStyle name="Nuovo 44 4 4" xfId="19879" xr:uid="{00000000-0005-0000-0000-00009A950000}"/>
    <cellStyle name="Nuovo 44 4 5" xfId="11787" xr:uid="{00000000-0005-0000-0000-00009B950000}"/>
    <cellStyle name="Nuovo 44 5" xfId="1254" xr:uid="{00000000-0005-0000-0000-00009C950000}"/>
    <cellStyle name="Nuovo 44 5 2" xfId="11788" xr:uid="{00000000-0005-0000-0000-00009D950000}"/>
    <cellStyle name="Nuovo 44 6" xfId="1255" xr:uid="{00000000-0005-0000-0000-00009E950000}"/>
    <cellStyle name="Nuovo 44 6 2" xfId="21820" xr:uid="{00000000-0005-0000-0000-00009F950000}"/>
    <cellStyle name="Nuovo 45" xfId="1256" xr:uid="{00000000-0005-0000-0000-0000A0950000}"/>
    <cellStyle name="Nuovo 45 2" xfId="3734" xr:uid="{00000000-0005-0000-0000-0000A1950000}"/>
    <cellStyle name="Nuovo 46" xfId="1257" xr:uid="{00000000-0005-0000-0000-0000A2950000}"/>
    <cellStyle name="Nuovo 46 2" xfId="1258" xr:uid="{00000000-0005-0000-0000-0000A3950000}"/>
    <cellStyle name="Nuovo 46 3" xfId="19882" xr:uid="{00000000-0005-0000-0000-0000A4950000}"/>
    <cellStyle name="Nuovo 46 3 2" xfId="20892" xr:uid="{00000000-0005-0000-0000-0000A5950000}"/>
    <cellStyle name="Nuovo 46 4" xfId="20891" xr:uid="{00000000-0005-0000-0000-0000A6950000}"/>
    <cellStyle name="Nuovo 46 5" xfId="19881" xr:uid="{00000000-0005-0000-0000-0000A7950000}"/>
    <cellStyle name="Nuovo 47" xfId="1259" xr:uid="{00000000-0005-0000-0000-0000A8950000}"/>
    <cellStyle name="Nuovo 47 2" xfId="19884" xr:uid="{00000000-0005-0000-0000-0000A9950000}"/>
    <cellStyle name="Nuovo 47 2 2" xfId="20894" xr:uid="{00000000-0005-0000-0000-0000AA950000}"/>
    <cellStyle name="Nuovo 47 3" xfId="20893" xr:uid="{00000000-0005-0000-0000-0000AB950000}"/>
    <cellStyle name="Nuovo 47 4" xfId="19883" xr:uid="{00000000-0005-0000-0000-0000AC950000}"/>
    <cellStyle name="Nuovo 47 5" xfId="11789" xr:uid="{00000000-0005-0000-0000-0000AD950000}"/>
    <cellStyle name="Nuovo 48" xfId="1260" xr:uid="{00000000-0005-0000-0000-0000AE950000}"/>
    <cellStyle name="Nuovo 48 2" xfId="11790" xr:uid="{00000000-0005-0000-0000-0000AF950000}"/>
    <cellStyle name="Nuovo 49" xfId="1261" xr:uid="{00000000-0005-0000-0000-0000B0950000}"/>
    <cellStyle name="Nuovo 49 2" xfId="21821" xr:uid="{00000000-0005-0000-0000-0000B1950000}"/>
    <cellStyle name="Nuovo 5" xfId="1262" xr:uid="{00000000-0005-0000-0000-0000B2950000}"/>
    <cellStyle name="Nuovo 5 2" xfId="1263" xr:uid="{00000000-0005-0000-0000-0000B3950000}"/>
    <cellStyle name="Nuovo 5 2 2" xfId="3735" xr:uid="{00000000-0005-0000-0000-0000B4950000}"/>
    <cellStyle name="Nuovo 5 3" xfId="1264" xr:uid="{00000000-0005-0000-0000-0000B5950000}"/>
    <cellStyle name="Nuovo 5 3 2" xfId="1265" xr:uid="{00000000-0005-0000-0000-0000B6950000}"/>
    <cellStyle name="Nuovo 5 3 3" xfId="19886" xr:uid="{00000000-0005-0000-0000-0000B7950000}"/>
    <cellStyle name="Nuovo 5 3 3 2" xfId="20896" xr:uid="{00000000-0005-0000-0000-0000B8950000}"/>
    <cellStyle name="Nuovo 5 3 4" xfId="20895" xr:uid="{00000000-0005-0000-0000-0000B9950000}"/>
    <cellStyle name="Nuovo 5 3 5" xfId="19885" xr:uid="{00000000-0005-0000-0000-0000BA950000}"/>
    <cellStyle name="Nuovo 5 4" xfId="1266" xr:uid="{00000000-0005-0000-0000-0000BB950000}"/>
    <cellStyle name="Nuovo 5 4 2" xfId="19888" xr:uid="{00000000-0005-0000-0000-0000BC950000}"/>
    <cellStyle name="Nuovo 5 4 2 2" xfId="20898" xr:uid="{00000000-0005-0000-0000-0000BD950000}"/>
    <cellStyle name="Nuovo 5 4 3" xfId="20897" xr:uid="{00000000-0005-0000-0000-0000BE950000}"/>
    <cellStyle name="Nuovo 5 4 4" xfId="19887" xr:uid="{00000000-0005-0000-0000-0000BF950000}"/>
    <cellStyle name="Nuovo 5 4 5" xfId="11791" xr:uid="{00000000-0005-0000-0000-0000C0950000}"/>
    <cellStyle name="Nuovo 5 5" xfId="1267" xr:uid="{00000000-0005-0000-0000-0000C1950000}"/>
    <cellStyle name="Nuovo 5 5 2" xfId="11792" xr:uid="{00000000-0005-0000-0000-0000C2950000}"/>
    <cellStyle name="Nuovo 5 6" xfId="1268" xr:uid="{00000000-0005-0000-0000-0000C3950000}"/>
    <cellStyle name="Nuovo 5 6 2" xfId="21822" xr:uid="{00000000-0005-0000-0000-0000C4950000}"/>
    <cellStyle name="Nuovo 6" xfId="1269" xr:uid="{00000000-0005-0000-0000-0000C5950000}"/>
    <cellStyle name="Nuovo 6 2" xfId="1270" xr:uid="{00000000-0005-0000-0000-0000C6950000}"/>
    <cellStyle name="Nuovo 6 2 2" xfId="3736" xr:uid="{00000000-0005-0000-0000-0000C7950000}"/>
    <cellStyle name="Nuovo 6 3" xfId="1271" xr:uid="{00000000-0005-0000-0000-0000C8950000}"/>
    <cellStyle name="Nuovo 6 3 2" xfId="1272" xr:uid="{00000000-0005-0000-0000-0000C9950000}"/>
    <cellStyle name="Nuovo 6 3 3" xfId="19890" xr:uid="{00000000-0005-0000-0000-0000CA950000}"/>
    <cellStyle name="Nuovo 6 3 3 2" xfId="20900" xr:uid="{00000000-0005-0000-0000-0000CB950000}"/>
    <cellStyle name="Nuovo 6 3 4" xfId="20899" xr:uid="{00000000-0005-0000-0000-0000CC950000}"/>
    <cellStyle name="Nuovo 6 3 5" xfId="19889" xr:uid="{00000000-0005-0000-0000-0000CD950000}"/>
    <cellStyle name="Nuovo 6 4" xfId="1273" xr:uid="{00000000-0005-0000-0000-0000CE950000}"/>
    <cellStyle name="Nuovo 6 4 2" xfId="19892" xr:uid="{00000000-0005-0000-0000-0000CF950000}"/>
    <cellStyle name="Nuovo 6 4 2 2" xfId="20902" xr:uid="{00000000-0005-0000-0000-0000D0950000}"/>
    <cellStyle name="Nuovo 6 4 3" xfId="20901" xr:uid="{00000000-0005-0000-0000-0000D1950000}"/>
    <cellStyle name="Nuovo 6 4 4" xfId="19891" xr:uid="{00000000-0005-0000-0000-0000D2950000}"/>
    <cellStyle name="Nuovo 6 4 5" xfId="11793" xr:uid="{00000000-0005-0000-0000-0000D3950000}"/>
    <cellStyle name="Nuovo 6 5" xfId="1274" xr:uid="{00000000-0005-0000-0000-0000D4950000}"/>
    <cellStyle name="Nuovo 6 5 2" xfId="11794" xr:uid="{00000000-0005-0000-0000-0000D5950000}"/>
    <cellStyle name="Nuovo 6 6" xfId="1275" xr:uid="{00000000-0005-0000-0000-0000D6950000}"/>
    <cellStyle name="Nuovo 6 6 2" xfId="21823" xr:uid="{00000000-0005-0000-0000-0000D7950000}"/>
    <cellStyle name="Nuovo 7" xfId="1276" xr:uid="{00000000-0005-0000-0000-0000D8950000}"/>
    <cellStyle name="Nuovo 7 2" xfId="1277" xr:uid="{00000000-0005-0000-0000-0000D9950000}"/>
    <cellStyle name="Nuovo 7 2 2" xfId="3737" xr:uid="{00000000-0005-0000-0000-0000DA950000}"/>
    <cellStyle name="Nuovo 7 3" xfId="1278" xr:uid="{00000000-0005-0000-0000-0000DB950000}"/>
    <cellStyle name="Nuovo 7 3 2" xfId="1279" xr:uid="{00000000-0005-0000-0000-0000DC950000}"/>
    <cellStyle name="Nuovo 7 3 3" xfId="19894" xr:uid="{00000000-0005-0000-0000-0000DD950000}"/>
    <cellStyle name="Nuovo 7 3 3 2" xfId="20904" xr:uid="{00000000-0005-0000-0000-0000DE950000}"/>
    <cellStyle name="Nuovo 7 3 4" xfId="20903" xr:uid="{00000000-0005-0000-0000-0000DF950000}"/>
    <cellStyle name="Nuovo 7 3 5" xfId="19893" xr:uid="{00000000-0005-0000-0000-0000E0950000}"/>
    <cellStyle name="Nuovo 7 4" xfId="1280" xr:uid="{00000000-0005-0000-0000-0000E1950000}"/>
    <cellStyle name="Nuovo 7 4 2" xfId="19896" xr:uid="{00000000-0005-0000-0000-0000E2950000}"/>
    <cellStyle name="Nuovo 7 4 2 2" xfId="20906" xr:uid="{00000000-0005-0000-0000-0000E3950000}"/>
    <cellStyle name="Nuovo 7 4 3" xfId="20905" xr:uid="{00000000-0005-0000-0000-0000E4950000}"/>
    <cellStyle name="Nuovo 7 4 4" xfId="19895" xr:uid="{00000000-0005-0000-0000-0000E5950000}"/>
    <cellStyle name="Nuovo 7 4 5" xfId="11795" xr:uid="{00000000-0005-0000-0000-0000E6950000}"/>
    <cellStyle name="Nuovo 7 5" xfId="1281" xr:uid="{00000000-0005-0000-0000-0000E7950000}"/>
    <cellStyle name="Nuovo 7 5 2" xfId="11796" xr:uid="{00000000-0005-0000-0000-0000E8950000}"/>
    <cellStyle name="Nuovo 7 6" xfId="1282" xr:uid="{00000000-0005-0000-0000-0000E9950000}"/>
    <cellStyle name="Nuovo 7 6 2" xfId="21824" xr:uid="{00000000-0005-0000-0000-0000EA950000}"/>
    <cellStyle name="Nuovo 8" xfId="1283" xr:uid="{00000000-0005-0000-0000-0000EB950000}"/>
    <cellStyle name="Nuovo 8 2" xfId="1284" xr:uid="{00000000-0005-0000-0000-0000EC950000}"/>
    <cellStyle name="Nuovo 8 2 2" xfId="3738" xr:uid="{00000000-0005-0000-0000-0000ED950000}"/>
    <cellStyle name="Nuovo 8 3" xfId="1285" xr:uid="{00000000-0005-0000-0000-0000EE950000}"/>
    <cellStyle name="Nuovo 8 3 2" xfId="1286" xr:uid="{00000000-0005-0000-0000-0000EF950000}"/>
    <cellStyle name="Nuovo 8 3 3" xfId="19898" xr:uid="{00000000-0005-0000-0000-0000F0950000}"/>
    <cellStyle name="Nuovo 8 3 3 2" xfId="20908" xr:uid="{00000000-0005-0000-0000-0000F1950000}"/>
    <cellStyle name="Nuovo 8 3 4" xfId="20907" xr:uid="{00000000-0005-0000-0000-0000F2950000}"/>
    <cellStyle name="Nuovo 8 3 5" xfId="19897" xr:uid="{00000000-0005-0000-0000-0000F3950000}"/>
    <cellStyle name="Nuovo 8 4" xfId="1287" xr:uid="{00000000-0005-0000-0000-0000F4950000}"/>
    <cellStyle name="Nuovo 8 4 2" xfId="19900" xr:uid="{00000000-0005-0000-0000-0000F5950000}"/>
    <cellStyle name="Nuovo 8 4 2 2" xfId="20910" xr:uid="{00000000-0005-0000-0000-0000F6950000}"/>
    <cellStyle name="Nuovo 8 4 3" xfId="20909" xr:uid="{00000000-0005-0000-0000-0000F7950000}"/>
    <cellStyle name="Nuovo 8 4 4" xfId="19899" xr:uid="{00000000-0005-0000-0000-0000F8950000}"/>
    <cellStyle name="Nuovo 8 4 5" xfId="11797" xr:uid="{00000000-0005-0000-0000-0000F9950000}"/>
    <cellStyle name="Nuovo 8 5" xfId="1288" xr:uid="{00000000-0005-0000-0000-0000FA950000}"/>
    <cellStyle name="Nuovo 8 5 2" xfId="11798" xr:uid="{00000000-0005-0000-0000-0000FB950000}"/>
    <cellStyle name="Nuovo 8 6" xfId="1289" xr:uid="{00000000-0005-0000-0000-0000FC950000}"/>
    <cellStyle name="Nuovo 8 6 2" xfId="21825" xr:uid="{00000000-0005-0000-0000-0000FD950000}"/>
    <cellStyle name="Nuovo 9" xfId="1290" xr:uid="{00000000-0005-0000-0000-0000FE950000}"/>
    <cellStyle name="Nuovo 9 2" xfId="1291" xr:uid="{00000000-0005-0000-0000-0000FF950000}"/>
    <cellStyle name="Nuovo 9 2 2" xfId="3739" xr:uid="{00000000-0005-0000-0000-000000960000}"/>
    <cellStyle name="Nuovo 9 3" xfId="1292" xr:uid="{00000000-0005-0000-0000-000001960000}"/>
    <cellStyle name="Nuovo 9 3 2" xfId="1293" xr:uid="{00000000-0005-0000-0000-000002960000}"/>
    <cellStyle name="Nuovo 9 3 3" xfId="19902" xr:uid="{00000000-0005-0000-0000-000003960000}"/>
    <cellStyle name="Nuovo 9 3 3 2" xfId="20912" xr:uid="{00000000-0005-0000-0000-000004960000}"/>
    <cellStyle name="Nuovo 9 3 4" xfId="20911" xr:uid="{00000000-0005-0000-0000-000005960000}"/>
    <cellStyle name="Nuovo 9 3 5" xfId="19901" xr:uid="{00000000-0005-0000-0000-000006960000}"/>
    <cellStyle name="Nuovo 9 4" xfId="1294" xr:uid="{00000000-0005-0000-0000-000007960000}"/>
    <cellStyle name="Nuovo 9 4 2" xfId="19904" xr:uid="{00000000-0005-0000-0000-000008960000}"/>
    <cellStyle name="Nuovo 9 4 2 2" xfId="20914" xr:uid="{00000000-0005-0000-0000-000009960000}"/>
    <cellStyle name="Nuovo 9 4 3" xfId="20913" xr:uid="{00000000-0005-0000-0000-00000A960000}"/>
    <cellStyle name="Nuovo 9 4 4" xfId="19903" xr:uid="{00000000-0005-0000-0000-00000B960000}"/>
    <cellStyle name="Nuovo 9 4 5" xfId="11799" xr:uid="{00000000-0005-0000-0000-00000C960000}"/>
    <cellStyle name="Nuovo 9 5" xfId="1295" xr:uid="{00000000-0005-0000-0000-00000D960000}"/>
    <cellStyle name="Nuovo 9 5 2" xfId="11800" xr:uid="{00000000-0005-0000-0000-00000E960000}"/>
    <cellStyle name="Nuovo 9 6" xfId="1296" xr:uid="{00000000-0005-0000-0000-00000F960000}"/>
    <cellStyle name="Nuovo 9 6 2" xfId="21826" xr:uid="{00000000-0005-0000-0000-000010960000}"/>
    <cellStyle name="Output 2" xfId="1297" xr:uid="{00000000-0005-0000-0000-000011960000}"/>
    <cellStyle name="Output 2 2" xfId="2855" xr:uid="{00000000-0005-0000-0000-000012960000}"/>
    <cellStyle name="Output 2 2 2" xfId="7468" xr:uid="{00000000-0005-0000-0000-000013960000}"/>
    <cellStyle name="Output 2 2 3" xfId="22892" xr:uid="{00000000-0005-0000-0000-000014960000}"/>
    <cellStyle name="Output 2 3" xfId="12277" xr:uid="{00000000-0005-0000-0000-000015960000}"/>
    <cellStyle name="Output 2 4" xfId="11935" xr:uid="{00000000-0005-0000-0000-000016960000}"/>
    <cellStyle name="Output 2 5" xfId="19906" xr:uid="{00000000-0005-0000-0000-000017960000}"/>
    <cellStyle name="Output 3" xfId="3462" xr:uid="{00000000-0005-0000-0000-000018960000}"/>
    <cellStyle name="Output 3 2" xfId="7469" xr:uid="{00000000-0005-0000-0000-000019960000}"/>
    <cellStyle name="Output 4" xfId="7470" xr:uid="{00000000-0005-0000-0000-00001A960000}"/>
    <cellStyle name="Output 5" xfId="7471" xr:uid="{00000000-0005-0000-0000-00001B960000}"/>
    <cellStyle name="Output 5 2" xfId="10657" xr:uid="{00000000-0005-0000-0000-00001C960000}"/>
    <cellStyle name="Output 6" xfId="7607" xr:uid="{00000000-0005-0000-0000-00001D960000}"/>
    <cellStyle name="Output 7" xfId="7467" xr:uid="{00000000-0005-0000-0000-00001E960000}"/>
    <cellStyle name="Output 8" xfId="12276" xr:uid="{00000000-0005-0000-0000-00001F960000}"/>
    <cellStyle name="Output 9" xfId="19905" xr:uid="{00000000-0005-0000-0000-000020960000}"/>
    <cellStyle name="Overskrift 1 2" xfId="1766" xr:uid="{00000000-0005-0000-0000-000021960000}"/>
    <cellStyle name="Overskrift 1 2 2" xfId="19907" xr:uid="{00000000-0005-0000-0000-000022960000}"/>
    <cellStyle name="Overskrift 1 2 3" xfId="7473" xr:uid="{00000000-0005-0000-0000-000023960000}"/>
    <cellStyle name="Overskrift 1 3" xfId="7474" xr:uid="{00000000-0005-0000-0000-000024960000}"/>
    <cellStyle name="Overskrift 1 4" xfId="7475" xr:uid="{00000000-0005-0000-0000-000025960000}"/>
    <cellStyle name="Overskrift 1 5" xfId="7476" xr:uid="{00000000-0005-0000-0000-000026960000}"/>
    <cellStyle name="Overskrift 1 5 2" xfId="10477" xr:uid="{00000000-0005-0000-0000-000027960000}"/>
    <cellStyle name="Overskrift 1 6" xfId="7599" xr:uid="{00000000-0005-0000-0000-000028960000}"/>
    <cellStyle name="Overskrift 1 7" xfId="7472" xr:uid="{00000000-0005-0000-0000-000029960000}"/>
    <cellStyle name="Overskrift 2 2" xfId="2856" xr:uid="{00000000-0005-0000-0000-00002A960000}"/>
    <cellStyle name="Overskrift 2 2 2" xfId="19908" xr:uid="{00000000-0005-0000-0000-00002B960000}"/>
    <cellStyle name="Overskrift 2 2 3" xfId="7478" xr:uid="{00000000-0005-0000-0000-00002C960000}"/>
    <cellStyle name="Overskrift 2 3" xfId="7479" xr:uid="{00000000-0005-0000-0000-00002D960000}"/>
    <cellStyle name="Overskrift 2 4" xfId="7480" xr:uid="{00000000-0005-0000-0000-00002E960000}"/>
    <cellStyle name="Overskrift 2 5" xfId="7481" xr:uid="{00000000-0005-0000-0000-00002F960000}"/>
    <cellStyle name="Overskrift 2 5 2" xfId="8953" xr:uid="{00000000-0005-0000-0000-000030960000}"/>
    <cellStyle name="Overskrift 2 6" xfId="7600" xr:uid="{00000000-0005-0000-0000-000031960000}"/>
    <cellStyle name="Overskrift 2 7" xfId="7477" xr:uid="{00000000-0005-0000-0000-000032960000}"/>
    <cellStyle name="Overskrift 3 2" xfId="2857" xr:uid="{00000000-0005-0000-0000-000033960000}"/>
    <cellStyle name="Overskrift 3 2 2" xfId="19909" xr:uid="{00000000-0005-0000-0000-000034960000}"/>
    <cellStyle name="Overskrift 3 2 3" xfId="7483" xr:uid="{00000000-0005-0000-0000-000035960000}"/>
    <cellStyle name="Overskrift 3 3" xfId="7484" xr:uid="{00000000-0005-0000-0000-000036960000}"/>
    <cellStyle name="Overskrift 3 4" xfId="7485" xr:uid="{00000000-0005-0000-0000-000037960000}"/>
    <cellStyle name="Overskrift 3 5" xfId="7486" xr:uid="{00000000-0005-0000-0000-000038960000}"/>
    <cellStyle name="Overskrift 3 5 2" xfId="8968" xr:uid="{00000000-0005-0000-0000-000039960000}"/>
    <cellStyle name="Overskrift 3 6" xfId="7601" xr:uid="{00000000-0005-0000-0000-00003A960000}"/>
    <cellStyle name="Overskrift 3 7" xfId="7482" xr:uid="{00000000-0005-0000-0000-00003B960000}"/>
    <cellStyle name="Overskrift 4 2" xfId="2858" xr:uid="{00000000-0005-0000-0000-00003C960000}"/>
    <cellStyle name="Overskrift 4 2 2" xfId="19910" xr:uid="{00000000-0005-0000-0000-00003D960000}"/>
    <cellStyle name="Overskrift 4 2 3" xfId="7488" xr:uid="{00000000-0005-0000-0000-00003E960000}"/>
    <cellStyle name="Overskrift 4 3" xfId="7489" xr:uid="{00000000-0005-0000-0000-00003F960000}"/>
    <cellStyle name="Overskrift 4 4" xfId="7490" xr:uid="{00000000-0005-0000-0000-000040960000}"/>
    <cellStyle name="Overskrift 4 5" xfId="7491" xr:uid="{00000000-0005-0000-0000-000041960000}"/>
    <cellStyle name="Overskrift 4 5 2" xfId="10757" xr:uid="{00000000-0005-0000-0000-000042960000}"/>
    <cellStyle name="Overskrift 4 6" xfId="7602" xr:uid="{00000000-0005-0000-0000-000043960000}"/>
    <cellStyle name="Overskrift 4 7" xfId="7487" xr:uid="{00000000-0005-0000-0000-000044960000}"/>
    <cellStyle name="Pattern" xfId="1298" xr:uid="{00000000-0005-0000-0000-000045960000}"/>
    <cellStyle name="Pattern 2" xfId="12278" xr:uid="{00000000-0005-0000-0000-000046960000}"/>
    <cellStyle name="Percen - Type1" xfId="1299" xr:uid="{00000000-0005-0000-0000-000047960000}"/>
    <cellStyle name="Percen - Typografi2" xfId="7492" xr:uid="{00000000-0005-0000-0000-000048960000}"/>
    <cellStyle name="Percent 2" xfId="1300" xr:uid="{00000000-0005-0000-0000-000049960000}"/>
    <cellStyle name="Percent 2 2" xfId="2859" xr:uid="{00000000-0005-0000-0000-00004A960000}"/>
    <cellStyle name="Percent 2 2 2" xfId="3740" xr:uid="{00000000-0005-0000-0000-00004B960000}"/>
    <cellStyle name="Percent 3" xfId="1301" xr:uid="{00000000-0005-0000-0000-00004C960000}"/>
    <cellStyle name="Percent 3 2" xfId="1302" xr:uid="{00000000-0005-0000-0000-00004D960000}"/>
    <cellStyle name="Percent 3 3" xfId="1303" xr:uid="{00000000-0005-0000-0000-00004E960000}"/>
    <cellStyle name="Percent 3 3 2" xfId="1304" xr:uid="{00000000-0005-0000-0000-00004F960000}"/>
    <cellStyle name="Percent 3 3 3" xfId="19912" xr:uid="{00000000-0005-0000-0000-000050960000}"/>
    <cellStyle name="Percent 3 3 3 2" xfId="20916" xr:uid="{00000000-0005-0000-0000-000051960000}"/>
    <cellStyle name="Percent 3 3 4" xfId="20915" xr:uid="{00000000-0005-0000-0000-000052960000}"/>
    <cellStyle name="Percent 3 3 5" xfId="19911" xr:uid="{00000000-0005-0000-0000-000053960000}"/>
    <cellStyle name="Percent 3 4" xfId="1305" xr:uid="{00000000-0005-0000-0000-000054960000}"/>
    <cellStyle name="Percent 3 4 2" xfId="11803" xr:uid="{00000000-0005-0000-0000-000055960000}"/>
    <cellStyle name="Percent 3 5" xfId="11802" xr:uid="{00000000-0005-0000-0000-000056960000}"/>
    <cellStyle name="Percent 3 5 2" xfId="20917" xr:uid="{00000000-0005-0000-0000-000057960000}"/>
    <cellStyle name="Percent 4" xfId="1306" xr:uid="{00000000-0005-0000-0000-000058960000}"/>
    <cellStyle name="Percent 4 2" xfId="1307" xr:uid="{00000000-0005-0000-0000-000059960000}"/>
    <cellStyle name="Percent 4 2 2" xfId="11189" xr:uid="{00000000-0005-0000-0000-00005A960000}"/>
    <cellStyle name="Percent 4 2 2 2" xfId="18963" xr:uid="{00000000-0005-0000-0000-00005B960000}"/>
    <cellStyle name="Percent 4 2 2 2 2" xfId="37122" xr:uid="{00000000-0005-0000-0000-00005C960000}"/>
    <cellStyle name="Percent 4 2 2 3" xfId="20919" xr:uid="{00000000-0005-0000-0000-00005D960000}"/>
    <cellStyle name="Percent 4 2 2 4" xfId="30121" xr:uid="{00000000-0005-0000-0000-00005E960000}"/>
    <cellStyle name="Percent 4 2 3" xfId="12367" xr:uid="{00000000-0005-0000-0000-00005F960000}"/>
    <cellStyle name="Percent 4 2 3 2" xfId="30535" xr:uid="{00000000-0005-0000-0000-000060960000}"/>
    <cellStyle name="Percent 4 2 4" xfId="19913" xr:uid="{00000000-0005-0000-0000-000061960000}"/>
    <cellStyle name="Percent 4 2 5" xfId="3741" xr:uid="{00000000-0005-0000-0000-000062960000}"/>
    <cellStyle name="Percent 4 2 5 2" xfId="23533" xr:uid="{00000000-0005-0000-0000-000063960000}"/>
    <cellStyle name="Percent 4 2 6" xfId="21827" xr:uid="{00000000-0005-0000-0000-000064960000}"/>
    <cellStyle name="Percent 4 2 7" xfId="39449" xr:uid="{00000000-0005-0000-0000-000065960000}"/>
    <cellStyle name="Percent 4 2 8" xfId="39936" xr:uid="{00000000-0005-0000-0000-000066960000}"/>
    <cellStyle name="Percent 4 2 9" xfId="40422" xr:uid="{00000000-0005-0000-0000-000067960000}"/>
    <cellStyle name="Percent 4 3" xfId="11157" xr:uid="{00000000-0005-0000-0000-000068960000}"/>
    <cellStyle name="Percent 4 3 2" xfId="18932" xr:uid="{00000000-0005-0000-0000-000069960000}"/>
    <cellStyle name="Percent 4 3 2 2" xfId="37091" xr:uid="{00000000-0005-0000-0000-00006A960000}"/>
    <cellStyle name="Percent 4 3 3" xfId="20918" xr:uid="{00000000-0005-0000-0000-00006B960000}"/>
    <cellStyle name="Percent 4 3 4" xfId="30090" xr:uid="{00000000-0005-0000-0000-00006C960000}"/>
    <cellStyle name="Percent 4 4" xfId="11804" xr:uid="{00000000-0005-0000-0000-00006D960000}"/>
    <cellStyle name="Percent 4 5" xfId="12279" xr:uid="{00000000-0005-0000-0000-00006E960000}"/>
    <cellStyle name="Percent 4 5 2" xfId="30454" xr:uid="{00000000-0005-0000-0000-00006F960000}"/>
    <cellStyle name="Percent 4 6" xfId="3452" xr:uid="{00000000-0005-0000-0000-000070960000}"/>
    <cellStyle name="Percent 4 6 2" xfId="23452" xr:uid="{00000000-0005-0000-0000-000071960000}"/>
    <cellStyle name="Percent 4 7" xfId="39356" xr:uid="{00000000-0005-0000-0000-000072960000}"/>
    <cellStyle name="Percent 5" xfId="1308" xr:uid="{00000000-0005-0000-0000-000073960000}"/>
    <cellStyle name="Percent 5 2" xfId="1309" xr:uid="{00000000-0005-0000-0000-000074960000}"/>
    <cellStyle name="Percent 5 2 2" xfId="11805" xr:uid="{00000000-0005-0000-0000-000075960000}"/>
    <cellStyle name="Percent 5 3" xfId="12280" xr:uid="{00000000-0005-0000-0000-000076960000}"/>
    <cellStyle name="Percent 6" xfId="1310" xr:uid="{00000000-0005-0000-0000-000077960000}"/>
    <cellStyle name="Percent 6 2" xfId="18918" xr:uid="{00000000-0005-0000-0000-000078960000}"/>
    <cellStyle name="Percent 6 2 2" xfId="37078" xr:uid="{00000000-0005-0000-0000-000079960000}"/>
    <cellStyle name="Percent 6 3" xfId="11069" xr:uid="{00000000-0005-0000-0000-00007A960000}"/>
    <cellStyle name="Percent 6 3 2" xfId="30077" xr:uid="{00000000-0005-0000-0000-00007B960000}"/>
    <cellStyle name="Percent 6 4" xfId="21828" xr:uid="{00000000-0005-0000-0000-00007C960000}"/>
    <cellStyle name="Percent 7" xfId="11801" xr:uid="{00000000-0005-0000-0000-00007D960000}"/>
    <cellStyle name="Percent 7 2" xfId="18971" xr:uid="{00000000-0005-0000-0000-00007E960000}"/>
    <cellStyle name="Percent 7 2 2" xfId="37127" xr:uid="{00000000-0005-0000-0000-00007F960000}"/>
    <cellStyle name="Percent 7 3" xfId="30128" xr:uid="{00000000-0005-0000-0000-000080960000}"/>
    <cellStyle name="Percent 8" xfId="11941" xr:uid="{00000000-0005-0000-0000-000081960000}"/>
    <cellStyle name="Percent 8 2" xfId="30133" xr:uid="{00000000-0005-0000-0000-000082960000}"/>
    <cellStyle name="Percentuale 10" xfId="1311" xr:uid="{00000000-0005-0000-0000-000083960000}"/>
    <cellStyle name="Percentuale 10 2" xfId="1312" xr:uid="{00000000-0005-0000-0000-000084960000}"/>
    <cellStyle name="Percentuale 10 2 2" xfId="3742" xr:uid="{00000000-0005-0000-0000-000085960000}"/>
    <cellStyle name="Percentuale 10 3" xfId="1313" xr:uid="{00000000-0005-0000-0000-000086960000}"/>
    <cellStyle name="Percentuale 10 3 2" xfId="1314" xr:uid="{00000000-0005-0000-0000-000087960000}"/>
    <cellStyle name="Percentuale 10 3 3" xfId="19915" xr:uid="{00000000-0005-0000-0000-000088960000}"/>
    <cellStyle name="Percentuale 10 3 3 2" xfId="20921" xr:uid="{00000000-0005-0000-0000-000089960000}"/>
    <cellStyle name="Percentuale 10 3 4" xfId="20920" xr:uid="{00000000-0005-0000-0000-00008A960000}"/>
    <cellStyle name="Percentuale 10 3 5" xfId="19914" xr:uid="{00000000-0005-0000-0000-00008B960000}"/>
    <cellStyle name="Percentuale 10 4" xfId="1315" xr:uid="{00000000-0005-0000-0000-00008C960000}"/>
    <cellStyle name="Percentuale 10 4 2" xfId="19917" xr:uid="{00000000-0005-0000-0000-00008D960000}"/>
    <cellStyle name="Percentuale 10 4 2 2" xfId="20923" xr:uid="{00000000-0005-0000-0000-00008E960000}"/>
    <cellStyle name="Percentuale 10 4 3" xfId="20922" xr:uid="{00000000-0005-0000-0000-00008F960000}"/>
    <cellStyle name="Percentuale 10 4 4" xfId="19916" xr:uid="{00000000-0005-0000-0000-000090960000}"/>
    <cellStyle name="Percentuale 10 4 5" xfId="11806" xr:uid="{00000000-0005-0000-0000-000091960000}"/>
    <cellStyle name="Percentuale 10 5" xfId="1316" xr:uid="{00000000-0005-0000-0000-000092960000}"/>
    <cellStyle name="Percentuale 10 5 2" xfId="11807" xr:uid="{00000000-0005-0000-0000-000093960000}"/>
    <cellStyle name="Percentuale 10 6" xfId="1317" xr:uid="{00000000-0005-0000-0000-000094960000}"/>
    <cellStyle name="Percentuale 10 6 2" xfId="21829" xr:uid="{00000000-0005-0000-0000-000095960000}"/>
    <cellStyle name="Percentuale 11" xfId="1318" xr:uid="{00000000-0005-0000-0000-000096960000}"/>
    <cellStyle name="Percentuale 11 2" xfId="1319" xr:uid="{00000000-0005-0000-0000-000097960000}"/>
    <cellStyle name="Percentuale 11 2 2" xfId="3743" xr:uid="{00000000-0005-0000-0000-000098960000}"/>
    <cellStyle name="Percentuale 11 3" xfId="1320" xr:uid="{00000000-0005-0000-0000-000099960000}"/>
    <cellStyle name="Percentuale 11 3 2" xfId="1321" xr:uid="{00000000-0005-0000-0000-00009A960000}"/>
    <cellStyle name="Percentuale 11 3 3" xfId="19919" xr:uid="{00000000-0005-0000-0000-00009B960000}"/>
    <cellStyle name="Percentuale 11 3 3 2" xfId="20925" xr:uid="{00000000-0005-0000-0000-00009C960000}"/>
    <cellStyle name="Percentuale 11 3 4" xfId="20924" xr:uid="{00000000-0005-0000-0000-00009D960000}"/>
    <cellStyle name="Percentuale 11 3 5" xfId="19918" xr:uid="{00000000-0005-0000-0000-00009E960000}"/>
    <cellStyle name="Percentuale 11 4" xfId="1322" xr:uid="{00000000-0005-0000-0000-00009F960000}"/>
    <cellStyle name="Percentuale 11 4 2" xfId="19921" xr:uid="{00000000-0005-0000-0000-0000A0960000}"/>
    <cellStyle name="Percentuale 11 4 2 2" xfId="20927" xr:uid="{00000000-0005-0000-0000-0000A1960000}"/>
    <cellStyle name="Percentuale 11 4 3" xfId="20926" xr:uid="{00000000-0005-0000-0000-0000A2960000}"/>
    <cellStyle name="Percentuale 11 4 4" xfId="19920" xr:uid="{00000000-0005-0000-0000-0000A3960000}"/>
    <cellStyle name="Percentuale 11 4 5" xfId="11808" xr:uid="{00000000-0005-0000-0000-0000A4960000}"/>
    <cellStyle name="Percentuale 11 5" xfId="1323" xr:uid="{00000000-0005-0000-0000-0000A5960000}"/>
    <cellStyle name="Percentuale 11 5 2" xfId="11809" xr:uid="{00000000-0005-0000-0000-0000A6960000}"/>
    <cellStyle name="Percentuale 11 6" xfId="1324" xr:uid="{00000000-0005-0000-0000-0000A7960000}"/>
    <cellStyle name="Percentuale 11 6 2" xfId="21830" xr:uid="{00000000-0005-0000-0000-0000A8960000}"/>
    <cellStyle name="Percentuale 12" xfId="1325" xr:uid="{00000000-0005-0000-0000-0000A9960000}"/>
    <cellStyle name="Percentuale 12 2" xfId="1326" xr:uid="{00000000-0005-0000-0000-0000AA960000}"/>
    <cellStyle name="Percentuale 12 2 2" xfId="3744" xr:uid="{00000000-0005-0000-0000-0000AB960000}"/>
    <cellStyle name="Percentuale 12 3" xfId="1327" xr:uid="{00000000-0005-0000-0000-0000AC960000}"/>
    <cellStyle name="Percentuale 12 3 2" xfId="1328" xr:uid="{00000000-0005-0000-0000-0000AD960000}"/>
    <cellStyle name="Percentuale 12 3 3" xfId="19923" xr:uid="{00000000-0005-0000-0000-0000AE960000}"/>
    <cellStyle name="Percentuale 12 3 3 2" xfId="20929" xr:uid="{00000000-0005-0000-0000-0000AF960000}"/>
    <cellStyle name="Percentuale 12 3 4" xfId="20928" xr:uid="{00000000-0005-0000-0000-0000B0960000}"/>
    <cellStyle name="Percentuale 12 3 5" xfId="19922" xr:uid="{00000000-0005-0000-0000-0000B1960000}"/>
    <cellStyle name="Percentuale 12 4" xfId="1329" xr:uid="{00000000-0005-0000-0000-0000B2960000}"/>
    <cellStyle name="Percentuale 12 4 2" xfId="19925" xr:uid="{00000000-0005-0000-0000-0000B3960000}"/>
    <cellStyle name="Percentuale 12 4 2 2" xfId="20931" xr:uid="{00000000-0005-0000-0000-0000B4960000}"/>
    <cellStyle name="Percentuale 12 4 3" xfId="20930" xr:uid="{00000000-0005-0000-0000-0000B5960000}"/>
    <cellStyle name="Percentuale 12 4 4" xfId="19924" xr:uid="{00000000-0005-0000-0000-0000B6960000}"/>
    <cellStyle name="Percentuale 12 4 5" xfId="11810" xr:uid="{00000000-0005-0000-0000-0000B7960000}"/>
    <cellStyle name="Percentuale 12 5" xfId="1330" xr:uid="{00000000-0005-0000-0000-0000B8960000}"/>
    <cellStyle name="Percentuale 12 5 2" xfId="11811" xr:uid="{00000000-0005-0000-0000-0000B9960000}"/>
    <cellStyle name="Percentuale 12 6" xfId="1331" xr:uid="{00000000-0005-0000-0000-0000BA960000}"/>
    <cellStyle name="Percentuale 12 6 2" xfId="21831" xr:uid="{00000000-0005-0000-0000-0000BB960000}"/>
    <cellStyle name="Percentuale 13" xfId="1332" xr:uid="{00000000-0005-0000-0000-0000BC960000}"/>
    <cellStyle name="Percentuale 13 2" xfId="1333" xr:uid="{00000000-0005-0000-0000-0000BD960000}"/>
    <cellStyle name="Percentuale 13 2 2" xfId="3745" xr:uid="{00000000-0005-0000-0000-0000BE960000}"/>
    <cellStyle name="Percentuale 13 3" xfId="1334" xr:uid="{00000000-0005-0000-0000-0000BF960000}"/>
    <cellStyle name="Percentuale 13 3 2" xfId="1335" xr:uid="{00000000-0005-0000-0000-0000C0960000}"/>
    <cellStyle name="Percentuale 13 3 3" xfId="19927" xr:uid="{00000000-0005-0000-0000-0000C1960000}"/>
    <cellStyle name="Percentuale 13 3 3 2" xfId="20933" xr:uid="{00000000-0005-0000-0000-0000C2960000}"/>
    <cellStyle name="Percentuale 13 3 4" xfId="20932" xr:uid="{00000000-0005-0000-0000-0000C3960000}"/>
    <cellStyle name="Percentuale 13 3 5" xfId="19926" xr:uid="{00000000-0005-0000-0000-0000C4960000}"/>
    <cellStyle name="Percentuale 13 4" xfId="1336" xr:uid="{00000000-0005-0000-0000-0000C5960000}"/>
    <cellStyle name="Percentuale 13 4 2" xfId="19929" xr:uid="{00000000-0005-0000-0000-0000C6960000}"/>
    <cellStyle name="Percentuale 13 4 2 2" xfId="20935" xr:uid="{00000000-0005-0000-0000-0000C7960000}"/>
    <cellStyle name="Percentuale 13 4 3" xfId="20934" xr:uid="{00000000-0005-0000-0000-0000C8960000}"/>
    <cellStyle name="Percentuale 13 4 4" xfId="19928" xr:uid="{00000000-0005-0000-0000-0000C9960000}"/>
    <cellStyle name="Percentuale 13 4 5" xfId="11812" xr:uid="{00000000-0005-0000-0000-0000CA960000}"/>
    <cellStyle name="Percentuale 13 5" xfId="1337" xr:uid="{00000000-0005-0000-0000-0000CB960000}"/>
    <cellStyle name="Percentuale 13 5 2" xfId="11813" xr:uid="{00000000-0005-0000-0000-0000CC960000}"/>
    <cellStyle name="Percentuale 13 6" xfId="1338" xr:uid="{00000000-0005-0000-0000-0000CD960000}"/>
    <cellStyle name="Percentuale 13 6 2" xfId="21832" xr:uid="{00000000-0005-0000-0000-0000CE960000}"/>
    <cellStyle name="Percentuale 14" xfId="1339" xr:uid="{00000000-0005-0000-0000-0000CF960000}"/>
    <cellStyle name="Percentuale 14 2" xfId="1340" xr:uid="{00000000-0005-0000-0000-0000D0960000}"/>
    <cellStyle name="Percentuale 14 2 2" xfId="3746" xr:uid="{00000000-0005-0000-0000-0000D1960000}"/>
    <cellStyle name="Percentuale 14 3" xfId="1341" xr:uid="{00000000-0005-0000-0000-0000D2960000}"/>
    <cellStyle name="Percentuale 14 3 2" xfId="1342" xr:uid="{00000000-0005-0000-0000-0000D3960000}"/>
    <cellStyle name="Percentuale 14 3 3" xfId="19931" xr:uid="{00000000-0005-0000-0000-0000D4960000}"/>
    <cellStyle name="Percentuale 14 3 3 2" xfId="20937" xr:uid="{00000000-0005-0000-0000-0000D5960000}"/>
    <cellStyle name="Percentuale 14 3 4" xfId="20936" xr:uid="{00000000-0005-0000-0000-0000D6960000}"/>
    <cellStyle name="Percentuale 14 3 5" xfId="19930" xr:uid="{00000000-0005-0000-0000-0000D7960000}"/>
    <cellStyle name="Percentuale 14 4" xfId="1343" xr:uid="{00000000-0005-0000-0000-0000D8960000}"/>
    <cellStyle name="Percentuale 14 4 2" xfId="19933" xr:uid="{00000000-0005-0000-0000-0000D9960000}"/>
    <cellStyle name="Percentuale 14 4 2 2" xfId="20939" xr:uid="{00000000-0005-0000-0000-0000DA960000}"/>
    <cellStyle name="Percentuale 14 4 3" xfId="20938" xr:uid="{00000000-0005-0000-0000-0000DB960000}"/>
    <cellStyle name="Percentuale 14 4 4" xfId="19932" xr:uid="{00000000-0005-0000-0000-0000DC960000}"/>
    <cellStyle name="Percentuale 14 4 5" xfId="11814" xr:uid="{00000000-0005-0000-0000-0000DD960000}"/>
    <cellStyle name="Percentuale 14 5" xfId="1344" xr:uid="{00000000-0005-0000-0000-0000DE960000}"/>
    <cellStyle name="Percentuale 14 5 2" xfId="11815" xr:uid="{00000000-0005-0000-0000-0000DF960000}"/>
    <cellStyle name="Percentuale 14 6" xfId="1345" xr:uid="{00000000-0005-0000-0000-0000E0960000}"/>
    <cellStyle name="Percentuale 14 6 2" xfId="21833" xr:uid="{00000000-0005-0000-0000-0000E1960000}"/>
    <cellStyle name="Percentuale 15" xfId="1346" xr:uid="{00000000-0005-0000-0000-0000E2960000}"/>
    <cellStyle name="Percentuale 15 2" xfId="1347" xr:uid="{00000000-0005-0000-0000-0000E3960000}"/>
    <cellStyle name="Percentuale 15 2 2" xfId="3747" xr:uid="{00000000-0005-0000-0000-0000E4960000}"/>
    <cellStyle name="Percentuale 15 3" xfId="1348" xr:uid="{00000000-0005-0000-0000-0000E5960000}"/>
    <cellStyle name="Percentuale 15 3 2" xfId="1349" xr:uid="{00000000-0005-0000-0000-0000E6960000}"/>
    <cellStyle name="Percentuale 15 3 3" xfId="19935" xr:uid="{00000000-0005-0000-0000-0000E7960000}"/>
    <cellStyle name="Percentuale 15 3 3 2" xfId="20941" xr:uid="{00000000-0005-0000-0000-0000E8960000}"/>
    <cellStyle name="Percentuale 15 3 4" xfId="20940" xr:uid="{00000000-0005-0000-0000-0000E9960000}"/>
    <cellStyle name="Percentuale 15 3 5" xfId="19934" xr:uid="{00000000-0005-0000-0000-0000EA960000}"/>
    <cellStyle name="Percentuale 15 4" xfId="1350" xr:uid="{00000000-0005-0000-0000-0000EB960000}"/>
    <cellStyle name="Percentuale 15 4 2" xfId="19937" xr:uid="{00000000-0005-0000-0000-0000EC960000}"/>
    <cellStyle name="Percentuale 15 4 2 2" xfId="20943" xr:uid="{00000000-0005-0000-0000-0000ED960000}"/>
    <cellStyle name="Percentuale 15 4 3" xfId="20942" xr:uid="{00000000-0005-0000-0000-0000EE960000}"/>
    <cellStyle name="Percentuale 15 4 4" xfId="19936" xr:uid="{00000000-0005-0000-0000-0000EF960000}"/>
    <cellStyle name="Percentuale 15 4 5" xfId="11816" xr:uid="{00000000-0005-0000-0000-0000F0960000}"/>
    <cellStyle name="Percentuale 15 5" xfId="1351" xr:uid="{00000000-0005-0000-0000-0000F1960000}"/>
    <cellStyle name="Percentuale 15 5 2" xfId="11817" xr:uid="{00000000-0005-0000-0000-0000F2960000}"/>
    <cellStyle name="Percentuale 15 6" xfId="1352" xr:uid="{00000000-0005-0000-0000-0000F3960000}"/>
    <cellStyle name="Percentuale 15 6 2" xfId="21834" xr:uid="{00000000-0005-0000-0000-0000F4960000}"/>
    <cellStyle name="Percentuale 16" xfId="1353" xr:uid="{00000000-0005-0000-0000-0000F5960000}"/>
    <cellStyle name="Percentuale 16 2" xfId="1354" xr:uid="{00000000-0005-0000-0000-0000F6960000}"/>
    <cellStyle name="Percentuale 16 2 2" xfId="3748" xr:uid="{00000000-0005-0000-0000-0000F7960000}"/>
    <cellStyle name="Percentuale 16 3" xfId="1355" xr:uid="{00000000-0005-0000-0000-0000F8960000}"/>
    <cellStyle name="Percentuale 16 3 2" xfId="1356" xr:uid="{00000000-0005-0000-0000-0000F9960000}"/>
    <cellStyle name="Percentuale 16 3 3" xfId="19939" xr:uid="{00000000-0005-0000-0000-0000FA960000}"/>
    <cellStyle name="Percentuale 16 3 3 2" xfId="20945" xr:uid="{00000000-0005-0000-0000-0000FB960000}"/>
    <cellStyle name="Percentuale 16 3 4" xfId="20944" xr:uid="{00000000-0005-0000-0000-0000FC960000}"/>
    <cellStyle name="Percentuale 16 3 5" xfId="19938" xr:uid="{00000000-0005-0000-0000-0000FD960000}"/>
    <cellStyle name="Percentuale 16 4" xfId="1357" xr:uid="{00000000-0005-0000-0000-0000FE960000}"/>
    <cellStyle name="Percentuale 16 4 2" xfId="19941" xr:uid="{00000000-0005-0000-0000-0000FF960000}"/>
    <cellStyle name="Percentuale 16 4 2 2" xfId="20947" xr:uid="{00000000-0005-0000-0000-000000970000}"/>
    <cellStyle name="Percentuale 16 4 3" xfId="20946" xr:uid="{00000000-0005-0000-0000-000001970000}"/>
    <cellStyle name="Percentuale 16 4 4" xfId="19940" xr:uid="{00000000-0005-0000-0000-000002970000}"/>
    <cellStyle name="Percentuale 16 4 5" xfId="11818" xr:uid="{00000000-0005-0000-0000-000003970000}"/>
    <cellStyle name="Percentuale 16 5" xfId="1358" xr:uid="{00000000-0005-0000-0000-000004970000}"/>
    <cellStyle name="Percentuale 16 5 2" xfId="11819" xr:uid="{00000000-0005-0000-0000-000005970000}"/>
    <cellStyle name="Percentuale 16 6" xfId="1359" xr:uid="{00000000-0005-0000-0000-000006970000}"/>
    <cellStyle name="Percentuale 16 6 2" xfId="21835" xr:uid="{00000000-0005-0000-0000-000007970000}"/>
    <cellStyle name="Percentuale 17" xfId="1360" xr:uid="{00000000-0005-0000-0000-000008970000}"/>
    <cellStyle name="Percentuale 17 2" xfId="1361" xr:uid="{00000000-0005-0000-0000-000009970000}"/>
    <cellStyle name="Percentuale 17 2 2" xfId="3749" xr:uid="{00000000-0005-0000-0000-00000A970000}"/>
    <cellStyle name="Percentuale 17 3" xfId="1362" xr:uid="{00000000-0005-0000-0000-00000B970000}"/>
    <cellStyle name="Percentuale 17 3 2" xfId="1363" xr:uid="{00000000-0005-0000-0000-00000C970000}"/>
    <cellStyle name="Percentuale 17 3 3" xfId="19943" xr:uid="{00000000-0005-0000-0000-00000D970000}"/>
    <cellStyle name="Percentuale 17 3 3 2" xfId="20949" xr:uid="{00000000-0005-0000-0000-00000E970000}"/>
    <cellStyle name="Percentuale 17 3 4" xfId="20948" xr:uid="{00000000-0005-0000-0000-00000F970000}"/>
    <cellStyle name="Percentuale 17 3 5" xfId="19942" xr:uid="{00000000-0005-0000-0000-000010970000}"/>
    <cellStyle name="Percentuale 17 4" xfId="1364" xr:uid="{00000000-0005-0000-0000-000011970000}"/>
    <cellStyle name="Percentuale 17 4 2" xfId="19945" xr:uid="{00000000-0005-0000-0000-000012970000}"/>
    <cellStyle name="Percentuale 17 4 2 2" xfId="20951" xr:uid="{00000000-0005-0000-0000-000013970000}"/>
    <cellStyle name="Percentuale 17 4 3" xfId="20950" xr:uid="{00000000-0005-0000-0000-000014970000}"/>
    <cellStyle name="Percentuale 17 4 4" xfId="19944" xr:uid="{00000000-0005-0000-0000-000015970000}"/>
    <cellStyle name="Percentuale 17 4 5" xfId="11820" xr:uid="{00000000-0005-0000-0000-000016970000}"/>
    <cellStyle name="Percentuale 17 5" xfId="1365" xr:uid="{00000000-0005-0000-0000-000017970000}"/>
    <cellStyle name="Percentuale 17 5 2" xfId="11821" xr:uid="{00000000-0005-0000-0000-000018970000}"/>
    <cellStyle name="Percentuale 17 6" xfId="1366" xr:uid="{00000000-0005-0000-0000-000019970000}"/>
    <cellStyle name="Percentuale 17 6 2" xfId="21836" xr:uid="{00000000-0005-0000-0000-00001A970000}"/>
    <cellStyle name="Percentuale 18" xfId="1367" xr:uid="{00000000-0005-0000-0000-00001B970000}"/>
    <cellStyle name="Percentuale 18 2" xfId="1368" xr:uid="{00000000-0005-0000-0000-00001C970000}"/>
    <cellStyle name="Percentuale 18 2 2" xfId="3750" xr:uid="{00000000-0005-0000-0000-00001D970000}"/>
    <cellStyle name="Percentuale 18 3" xfId="1369" xr:uid="{00000000-0005-0000-0000-00001E970000}"/>
    <cellStyle name="Percentuale 18 3 2" xfId="1370" xr:uid="{00000000-0005-0000-0000-00001F970000}"/>
    <cellStyle name="Percentuale 18 3 3" xfId="19947" xr:uid="{00000000-0005-0000-0000-000020970000}"/>
    <cellStyle name="Percentuale 18 3 3 2" xfId="20953" xr:uid="{00000000-0005-0000-0000-000021970000}"/>
    <cellStyle name="Percentuale 18 3 4" xfId="20952" xr:uid="{00000000-0005-0000-0000-000022970000}"/>
    <cellStyle name="Percentuale 18 3 5" xfId="19946" xr:uid="{00000000-0005-0000-0000-000023970000}"/>
    <cellStyle name="Percentuale 18 4" xfId="1371" xr:uid="{00000000-0005-0000-0000-000024970000}"/>
    <cellStyle name="Percentuale 18 4 2" xfId="19949" xr:uid="{00000000-0005-0000-0000-000025970000}"/>
    <cellStyle name="Percentuale 18 4 2 2" xfId="20955" xr:uid="{00000000-0005-0000-0000-000026970000}"/>
    <cellStyle name="Percentuale 18 4 3" xfId="20954" xr:uid="{00000000-0005-0000-0000-000027970000}"/>
    <cellStyle name="Percentuale 18 4 4" xfId="19948" xr:uid="{00000000-0005-0000-0000-000028970000}"/>
    <cellStyle name="Percentuale 18 4 5" xfId="11822" xr:uid="{00000000-0005-0000-0000-000029970000}"/>
    <cellStyle name="Percentuale 18 5" xfId="1372" xr:uid="{00000000-0005-0000-0000-00002A970000}"/>
    <cellStyle name="Percentuale 18 5 2" xfId="11823" xr:uid="{00000000-0005-0000-0000-00002B970000}"/>
    <cellStyle name="Percentuale 18 6" xfId="1373" xr:uid="{00000000-0005-0000-0000-00002C970000}"/>
    <cellStyle name="Percentuale 18 6 2" xfId="21837" xr:uid="{00000000-0005-0000-0000-00002D970000}"/>
    <cellStyle name="Percentuale 19" xfId="1374" xr:uid="{00000000-0005-0000-0000-00002E970000}"/>
    <cellStyle name="Percentuale 19 2" xfId="1375" xr:uid="{00000000-0005-0000-0000-00002F970000}"/>
    <cellStyle name="Percentuale 19 2 2" xfId="3751" xr:uid="{00000000-0005-0000-0000-000030970000}"/>
    <cellStyle name="Percentuale 19 3" xfId="1376" xr:uid="{00000000-0005-0000-0000-000031970000}"/>
    <cellStyle name="Percentuale 19 3 2" xfId="1377" xr:uid="{00000000-0005-0000-0000-000032970000}"/>
    <cellStyle name="Percentuale 19 3 3" xfId="19951" xr:uid="{00000000-0005-0000-0000-000033970000}"/>
    <cellStyle name="Percentuale 19 3 3 2" xfId="20957" xr:uid="{00000000-0005-0000-0000-000034970000}"/>
    <cellStyle name="Percentuale 19 3 4" xfId="20956" xr:uid="{00000000-0005-0000-0000-000035970000}"/>
    <cellStyle name="Percentuale 19 3 5" xfId="19950" xr:uid="{00000000-0005-0000-0000-000036970000}"/>
    <cellStyle name="Percentuale 19 4" xfId="1378" xr:uid="{00000000-0005-0000-0000-000037970000}"/>
    <cellStyle name="Percentuale 19 4 2" xfId="19953" xr:uid="{00000000-0005-0000-0000-000038970000}"/>
    <cellStyle name="Percentuale 19 4 2 2" xfId="20959" xr:uid="{00000000-0005-0000-0000-000039970000}"/>
    <cellStyle name="Percentuale 19 4 3" xfId="20958" xr:uid="{00000000-0005-0000-0000-00003A970000}"/>
    <cellStyle name="Percentuale 19 4 4" xfId="19952" xr:uid="{00000000-0005-0000-0000-00003B970000}"/>
    <cellStyle name="Percentuale 19 4 5" xfId="11824" xr:uid="{00000000-0005-0000-0000-00003C970000}"/>
    <cellStyle name="Percentuale 19 5" xfId="1379" xr:uid="{00000000-0005-0000-0000-00003D970000}"/>
    <cellStyle name="Percentuale 19 5 2" xfId="11825" xr:uid="{00000000-0005-0000-0000-00003E970000}"/>
    <cellStyle name="Percentuale 19 6" xfId="1380" xr:uid="{00000000-0005-0000-0000-00003F970000}"/>
    <cellStyle name="Percentuale 19 6 2" xfId="21838" xr:uid="{00000000-0005-0000-0000-000040970000}"/>
    <cellStyle name="Percentuale 2" xfId="1381" xr:uid="{00000000-0005-0000-0000-000041970000}"/>
    <cellStyle name="Percentuale 2 2" xfId="1382" xr:uid="{00000000-0005-0000-0000-000042970000}"/>
    <cellStyle name="Percentuale 2 2 2" xfId="3752" xr:uid="{00000000-0005-0000-0000-000043970000}"/>
    <cellStyle name="Percentuale 2 3" xfId="1383" xr:uid="{00000000-0005-0000-0000-000044970000}"/>
    <cellStyle name="Percentuale 2 3 2" xfId="1384" xr:uid="{00000000-0005-0000-0000-000045970000}"/>
    <cellStyle name="Percentuale 2 3 3" xfId="19955" xr:uid="{00000000-0005-0000-0000-000046970000}"/>
    <cellStyle name="Percentuale 2 3 3 2" xfId="20961" xr:uid="{00000000-0005-0000-0000-000047970000}"/>
    <cellStyle name="Percentuale 2 3 4" xfId="20960" xr:uid="{00000000-0005-0000-0000-000048970000}"/>
    <cellStyle name="Percentuale 2 3 5" xfId="19954" xr:uid="{00000000-0005-0000-0000-000049970000}"/>
    <cellStyle name="Percentuale 2 4" xfId="1385" xr:uid="{00000000-0005-0000-0000-00004A970000}"/>
    <cellStyle name="Percentuale 2 4 2" xfId="19957" xr:uid="{00000000-0005-0000-0000-00004B970000}"/>
    <cellStyle name="Percentuale 2 4 2 2" xfId="20963" xr:uid="{00000000-0005-0000-0000-00004C970000}"/>
    <cellStyle name="Percentuale 2 4 3" xfId="20962" xr:uid="{00000000-0005-0000-0000-00004D970000}"/>
    <cellStyle name="Percentuale 2 4 4" xfId="19956" xr:uid="{00000000-0005-0000-0000-00004E970000}"/>
    <cellStyle name="Percentuale 2 4 5" xfId="11826" xr:uid="{00000000-0005-0000-0000-00004F970000}"/>
    <cellStyle name="Percentuale 2 5" xfId="1386" xr:uid="{00000000-0005-0000-0000-000050970000}"/>
    <cellStyle name="Percentuale 2 5 2" xfId="11827" xr:uid="{00000000-0005-0000-0000-000051970000}"/>
    <cellStyle name="Percentuale 2 6" xfId="1387" xr:uid="{00000000-0005-0000-0000-000052970000}"/>
    <cellStyle name="Percentuale 2 6 2" xfId="21839" xr:uid="{00000000-0005-0000-0000-000053970000}"/>
    <cellStyle name="Percentuale 20" xfId="1388" xr:uid="{00000000-0005-0000-0000-000054970000}"/>
    <cellStyle name="Percentuale 20 2" xfId="1389" xr:uid="{00000000-0005-0000-0000-000055970000}"/>
    <cellStyle name="Percentuale 20 2 2" xfId="3753" xr:uid="{00000000-0005-0000-0000-000056970000}"/>
    <cellStyle name="Percentuale 20 3" xfId="1390" xr:uid="{00000000-0005-0000-0000-000057970000}"/>
    <cellStyle name="Percentuale 20 3 2" xfId="1391" xr:uid="{00000000-0005-0000-0000-000058970000}"/>
    <cellStyle name="Percentuale 20 3 3" xfId="19959" xr:uid="{00000000-0005-0000-0000-000059970000}"/>
    <cellStyle name="Percentuale 20 3 3 2" xfId="20965" xr:uid="{00000000-0005-0000-0000-00005A970000}"/>
    <cellStyle name="Percentuale 20 3 4" xfId="20964" xr:uid="{00000000-0005-0000-0000-00005B970000}"/>
    <cellStyle name="Percentuale 20 3 5" xfId="19958" xr:uid="{00000000-0005-0000-0000-00005C970000}"/>
    <cellStyle name="Percentuale 20 4" xfId="1392" xr:uid="{00000000-0005-0000-0000-00005D970000}"/>
    <cellStyle name="Percentuale 20 4 2" xfId="19961" xr:uid="{00000000-0005-0000-0000-00005E970000}"/>
    <cellStyle name="Percentuale 20 4 2 2" xfId="20967" xr:uid="{00000000-0005-0000-0000-00005F970000}"/>
    <cellStyle name="Percentuale 20 4 3" xfId="20966" xr:uid="{00000000-0005-0000-0000-000060970000}"/>
    <cellStyle name="Percentuale 20 4 4" xfId="19960" xr:uid="{00000000-0005-0000-0000-000061970000}"/>
    <cellStyle name="Percentuale 20 4 5" xfId="11828" xr:uid="{00000000-0005-0000-0000-000062970000}"/>
    <cellStyle name="Percentuale 20 5" xfId="1393" xr:uid="{00000000-0005-0000-0000-000063970000}"/>
    <cellStyle name="Percentuale 20 5 2" xfId="11829" xr:uid="{00000000-0005-0000-0000-000064970000}"/>
    <cellStyle name="Percentuale 20 6" xfId="1394" xr:uid="{00000000-0005-0000-0000-000065970000}"/>
    <cellStyle name="Percentuale 20 6 2" xfId="21840" xr:uid="{00000000-0005-0000-0000-000066970000}"/>
    <cellStyle name="Percentuale 21" xfId="1395" xr:uid="{00000000-0005-0000-0000-000067970000}"/>
    <cellStyle name="Percentuale 21 2" xfId="1396" xr:uid="{00000000-0005-0000-0000-000068970000}"/>
    <cellStyle name="Percentuale 21 2 2" xfId="3754" xr:uid="{00000000-0005-0000-0000-000069970000}"/>
    <cellStyle name="Percentuale 21 3" xfId="1397" xr:uid="{00000000-0005-0000-0000-00006A970000}"/>
    <cellStyle name="Percentuale 21 3 2" xfId="1398" xr:uid="{00000000-0005-0000-0000-00006B970000}"/>
    <cellStyle name="Percentuale 21 3 3" xfId="19963" xr:uid="{00000000-0005-0000-0000-00006C970000}"/>
    <cellStyle name="Percentuale 21 3 3 2" xfId="20969" xr:uid="{00000000-0005-0000-0000-00006D970000}"/>
    <cellStyle name="Percentuale 21 3 4" xfId="20968" xr:uid="{00000000-0005-0000-0000-00006E970000}"/>
    <cellStyle name="Percentuale 21 3 5" xfId="19962" xr:uid="{00000000-0005-0000-0000-00006F970000}"/>
    <cellStyle name="Percentuale 21 4" xfId="1399" xr:uid="{00000000-0005-0000-0000-000070970000}"/>
    <cellStyle name="Percentuale 21 4 2" xfId="19965" xr:uid="{00000000-0005-0000-0000-000071970000}"/>
    <cellStyle name="Percentuale 21 4 2 2" xfId="20971" xr:uid="{00000000-0005-0000-0000-000072970000}"/>
    <cellStyle name="Percentuale 21 4 3" xfId="20970" xr:uid="{00000000-0005-0000-0000-000073970000}"/>
    <cellStyle name="Percentuale 21 4 4" xfId="19964" xr:uid="{00000000-0005-0000-0000-000074970000}"/>
    <cellStyle name="Percentuale 21 4 5" xfId="11830" xr:uid="{00000000-0005-0000-0000-000075970000}"/>
    <cellStyle name="Percentuale 21 5" xfId="1400" xr:uid="{00000000-0005-0000-0000-000076970000}"/>
    <cellStyle name="Percentuale 21 5 2" xfId="11831" xr:uid="{00000000-0005-0000-0000-000077970000}"/>
    <cellStyle name="Percentuale 21 6" xfId="1401" xr:uid="{00000000-0005-0000-0000-000078970000}"/>
    <cellStyle name="Percentuale 21 6 2" xfId="21841" xr:uid="{00000000-0005-0000-0000-000079970000}"/>
    <cellStyle name="Percentuale 22" xfId="1402" xr:uid="{00000000-0005-0000-0000-00007A970000}"/>
    <cellStyle name="Percentuale 22 2" xfId="1403" xr:uid="{00000000-0005-0000-0000-00007B970000}"/>
    <cellStyle name="Percentuale 22 2 2" xfId="3755" xr:uid="{00000000-0005-0000-0000-00007C970000}"/>
    <cellStyle name="Percentuale 22 3" xfId="1404" xr:uid="{00000000-0005-0000-0000-00007D970000}"/>
    <cellStyle name="Percentuale 22 3 2" xfId="1405" xr:uid="{00000000-0005-0000-0000-00007E970000}"/>
    <cellStyle name="Percentuale 22 3 3" xfId="19967" xr:uid="{00000000-0005-0000-0000-00007F970000}"/>
    <cellStyle name="Percentuale 22 3 3 2" xfId="20973" xr:uid="{00000000-0005-0000-0000-000080970000}"/>
    <cellStyle name="Percentuale 22 3 4" xfId="20972" xr:uid="{00000000-0005-0000-0000-000081970000}"/>
    <cellStyle name="Percentuale 22 3 5" xfId="19966" xr:uid="{00000000-0005-0000-0000-000082970000}"/>
    <cellStyle name="Percentuale 22 4" xfId="1406" xr:uid="{00000000-0005-0000-0000-000083970000}"/>
    <cellStyle name="Percentuale 22 4 2" xfId="19969" xr:uid="{00000000-0005-0000-0000-000084970000}"/>
    <cellStyle name="Percentuale 22 4 2 2" xfId="20975" xr:uid="{00000000-0005-0000-0000-000085970000}"/>
    <cellStyle name="Percentuale 22 4 3" xfId="20974" xr:uid="{00000000-0005-0000-0000-000086970000}"/>
    <cellStyle name="Percentuale 22 4 4" xfId="19968" xr:uid="{00000000-0005-0000-0000-000087970000}"/>
    <cellStyle name="Percentuale 22 4 5" xfId="11832" xr:uid="{00000000-0005-0000-0000-000088970000}"/>
    <cellStyle name="Percentuale 22 5" xfId="1407" xr:uid="{00000000-0005-0000-0000-000089970000}"/>
    <cellStyle name="Percentuale 22 5 2" xfId="11833" xr:uid="{00000000-0005-0000-0000-00008A970000}"/>
    <cellStyle name="Percentuale 22 6" xfId="1408" xr:uid="{00000000-0005-0000-0000-00008B970000}"/>
    <cellStyle name="Percentuale 22 6 2" xfId="21842" xr:uid="{00000000-0005-0000-0000-00008C970000}"/>
    <cellStyle name="Percentuale 23" xfId="1409" xr:uid="{00000000-0005-0000-0000-00008D970000}"/>
    <cellStyle name="Percentuale 23 2" xfId="1410" xr:uid="{00000000-0005-0000-0000-00008E970000}"/>
    <cellStyle name="Percentuale 23 2 2" xfId="3756" xr:uid="{00000000-0005-0000-0000-00008F970000}"/>
    <cellStyle name="Percentuale 23 3" xfId="1411" xr:uid="{00000000-0005-0000-0000-000090970000}"/>
    <cellStyle name="Percentuale 23 3 2" xfId="1412" xr:uid="{00000000-0005-0000-0000-000091970000}"/>
    <cellStyle name="Percentuale 23 3 3" xfId="19971" xr:uid="{00000000-0005-0000-0000-000092970000}"/>
    <cellStyle name="Percentuale 23 3 3 2" xfId="20977" xr:uid="{00000000-0005-0000-0000-000093970000}"/>
    <cellStyle name="Percentuale 23 3 4" xfId="20976" xr:uid="{00000000-0005-0000-0000-000094970000}"/>
    <cellStyle name="Percentuale 23 3 5" xfId="19970" xr:uid="{00000000-0005-0000-0000-000095970000}"/>
    <cellStyle name="Percentuale 23 4" xfId="1413" xr:uid="{00000000-0005-0000-0000-000096970000}"/>
    <cellStyle name="Percentuale 23 4 2" xfId="19973" xr:uid="{00000000-0005-0000-0000-000097970000}"/>
    <cellStyle name="Percentuale 23 4 2 2" xfId="20979" xr:uid="{00000000-0005-0000-0000-000098970000}"/>
    <cellStyle name="Percentuale 23 4 3" xfId="20978" xr:uid="{00000000-0005-0000-0000-000099970000}"/>
    <cellStyle name="Percentuale 23 4 4" xfId="19972" xr:uid="{00000000-0005-0000-0000-00009A970000}"/>
    <cellStyle name="Percentuale 23 4 5" xfId="11834" xr:uid="{00000000-0005-0000-0000-00009B970000}"/>
    <cellStyle name="Percentuale 23 5" xfId="1414" xr:uid="{00000000-0005-0000-0000-00009C970000}"/>
    <cellStyle name="Percentuale 23 5 2" xfId="11835" xr:uid="{00000000-0005-0000-0000-00009D970000}"/>
    <cellStyle name="Percentuale 23 6" xfId="1415" xr:uid="{00000000-0005-0000-0000-00009E970000}"/>
    <cellStyle name="Percentuale 23 6 2" xfId="21843" xr:uid="{00000000-0005-0000-0000-00009F970000}"/>
    <cellStyle name="Percentuale 24" xfId="1416" xr:uid="{00000000-0005-0000-0000-0000A0970000}"/>
    <cellStyle name="Percentuale 24 2" xfId="1417" xr:uid="{00000000-0005-0000-0000-0000A1970000}"/>
    <cellStyle name="Percentuale 24 2 2" xfId="3757" xr:uid="{00000000-0005-0000-0000-0000A2970000}"/>
    <cellStyle name="Percentuale 24 3" xfId="1418" xr:uid="{00000000-0005-0000-0000-0000A3970000}"/>
    <cellStyle name="Percentuale 24 3 2" xfId="1419" xr:uid="{00000000-0005-0000-0000-0000A4970000}"/>
    <cellStyle name="Percentuale 24 3 3" xfId="19975" xr:uid="{00000000-0005-0000-0000-0000A5970000}"/>
    <cellStyle name="Percentuale 24 3 3 2" xfId="20981" xr:uid="{00000000-0005-0000-0000-0000A6970000}"/>
    <cellStyle name="Percentuale 24 3 4" xfId="20980" xr:uid="{00000000-0005-0000-0000-0000A7970000}"/>
    <cellStyle name="Percentuale 24 3 5" xfId="19974" xr:uid="{00000000-0005-0000-0000-0000A8970000}"/>
    <cellStyle name="Percentuale 24 4" xfId="1420" xr:uid="{00000000-0005-0000-0000-0000A9970000}"/>
    <cellStyle name="Percentuale 24 4 2" xfId="19977" xr:uid="{00000000-0005-0000-0000-0000AA970000}"/>
    <cellStyle name="Percentuale 24 4 2 2" xfId="20983" xr:uid="{00000000-0005-0000-0000-0000AB970000}"/>
    <cellStyle name="Percentuale 24 4 3" xfId="20982" xr:uid="{00000000-0005-0000-0000-0000AC970000}"/>
    <cellStyle name="Percentuale 24 4 4" xfId="19976" xr:uid="{00000000-0005-0000-0000-0000AD970000}"/>
    <cellStyle name="Percentuale 24 4 5" xfId="11836" xr:uid="{00000000-0005-0000-0000-0000AE970000}"/>
    <cellStyle name="Percentuale 24 5" xfId="1421" xr:uid="{00000000-0005-0000-0000-0000AF970000}"/>
    <cellStyle name="Percentuale 24 5 2" xfId="11837" xr:uid="{00000000-0005-0000-0000-0000B0970000}"/>
    <cellStyle name="Percentuale 24 6" xfId="1422" xr:uid="{00000000-0005-0000-0000-0000B1970000}"/>
    <cellStyle name="Percentuale 24 6 2" xfId="21844" xr:uid="{00000000-0005-0000-0000-0000B2970000}"/>
    <cellStyle name="Percentuale 25" xfId="1423" xr:uid="{00000000-0005-0000-0000-0000B3970000}"/>
    <cellStyle name="Percentuale 25 2" xfId="1424" xr:uid="{00000000-0005-0000-0000-0000B4970000}"/>
    <cellStyle name="Percentuale 25 2 2" xfId="3758" xr:uid="{00000000-0005-0000-0000-0000B5970000}"/>
    <cellStyle name="Percentuale 25 3" xfId="1425" xr:uid="{00000000-0005-0000-0000-0000B6970000}"/>
    <cellStyle name="Percentuale 25 3 2" xfId="1426" xr:uid="{00000000-0005-0000-0000-0000B7970000}"/>
    <cellStyle name="Percentuale 25 3 3" xfId="19979" xr:uid="{00000000-0005-0000-0000-0000B8970000}"/>
    <cellStyle name="Percentuale 25 3 3 2" xfId="20985" xr:uid="{00000000-0005-0000-0000-0000B9970000}"/>
    <cellStyle name="Percentuale 25 3 4" xfId="20984" xr:uid="{00000000-0005-0000-0000-0000BA970000}"/>
    <cellStyle name="Percentuale 25 3 5" xfId="19978" xr:uid="{00000000-0005-0000-0000-0000BB970000}"/>
    <cellStyle name="Percentuale 25 4" xfId="1427" xr:uid="{00000000-0005-0000-0000-0000BC970000}"/>
    <cellStyle name="Percentuale 25 4 2" xfId="19981" xr:uid="{00000000-0005-0000-0000-0000BD970000}"/>
    <cellStyle name="Percentuale 25 4 2 2" xfId="20987" xr:uid="{00000000-0005-0000-0000-0000BE970000}"/>
    <cellStyle name="Percentuale 25 4 3" xfId="20986" xr:uid="{00000000-0005-0000-0000-0000BF970000}"/>
    <cellStyle name="Percentuale 25 4 4" xfId="19980" xr:uid="{00000000-0005-0000-0000-0000C0970000}"/>
    <cellStyle name="Percentuale 25 4 5" xfId="11838" xr:uid="{00000000-0005-0000-0000-0000C1970000}"/>
    <cellStyle name="Percentuale 25 5" xfId="1428" xr:uid="{00000000-0005-0000-0000-0000C2970000}"/>
    <cellStyle name="Percentuale 25 5 2" xfId="11839" xr:uid="{00000000-0005-0000-0000-0000C3970000}"/>
    <cellStyle name="Percentuale 25 6" xfId="1429" xr:uid="{00000000-0005-0000-0000-0000C4970000}"/>
    <cellStyle name="Percentuale 25 6 2" xfId="21845" xr:uid="{00000000-0005-0000-0000-0000C5970000}"/>
    <cellStyle name="Percentuale 26" xfId="1430" xr:uid="{00000000-0005-0000-0000-0000C6970000}"/>
    <cellStyle name="Percentuale 26 2" xfId="1431" xr:uid="{00000000-0005-0000-0000-0000C7970000}"/>
    <cellStyle name="Percentuale 26 2 2" xfId="3759" xr:uid="{00000000-0005-0000-0000-0000C8970000}"/>
    <cellStyle name="Percentuale 26 3" xfId="1432" xr:uid="{00000000-0005-0000-0000-0000C9970000}"/>
    <cellStyle name="Percentuale 26 3 2" xfId="1433" xr:uid="{00000000-0005-0000-0000-0000CA970000}"/>
    <cellStyle name="Percentuale 26 3 3" xfId="19983" xr:uid="{00000000-0005-0000-0000-0000CB970000}"/>
    <cellStyle name="Percentuale 26 3 3 2" xfId="20989" xr:uid="{00000000-0005-0000-0000-0000CC970000}"/>
    <cellStyle name="Percentuale 26 3 4" xfId="20988" xr:uid="{00000000-0005-0000-0000-0000CD970000}"/>
    <cellStyle name="Percentuale 26 3 5" xfId="19982" xr:uid="{00000000-0005-0000-0000-0000CE970000}"/>
    <cellStyle name="Percentuale 26 4" xfId="1434" xr:uid="{00000000-0005-0000-0000-0000CF970000}"/>
    <cellStyle name="Percentuale 26 4 2" xfId="19985" xr:uid="{00000000-0005-0000-0000-0000D0970000}"/>
    <cellStyle name="Percentuale 26 4 2 2" xfId="20991" xr:uid="{00000000-0005-0000-0000-0000D1970000}"/>
    <cellStyle name="Percentuale 26 4 3" xfId="20990" xr:uid="{00000000-0005-0000-0000-0000D2970000}"/>
    <cellStyle name="Percentuale 26 4 4" xfId="19984" xr:uid="{00000000-0005-0000-0000-0000D3970000}"/>
    <cellStyle name="Percentuale 26 4 5" xfId="11840" xr:uid="{00000000-0005-0000-0000-0000D4970000}"/>
    <cellStyle name="Percentuale 26 5" xfId="1435" xr:uid="{00000000-0005-0000-0000-0000D5970000}"/>
    <cellStyle name="Percentuale 26 5 2" xfId="11841" xr:uid="{00000000-0005-0000-0000-0000D6970000}"/>
    <cellStyle name="Percentuale 26 6" xfId="1436" xr:uid="{00000000-0005-0000-0000-0000D7970000}"/>
    <cellStyle name="Percentuale 26 6 2" xfId="21846" xr:uid="{00000000-0005-0000-0000-0000D8970000}"/>
    <cellStyle name="Percentuale 27" xfId="1437" xr:uid="{00000000-0005-0000-0000-0000D9970000}"/>
    <cellStyle name="Percentuale 27 2" xfId="1438" xr:uid="{00000000-0005-0000-0000-0000DA970000}"/>
    <cellStyle name="Percentuale 27 2 2" xfId="3760" xr:uid="{00000000-0005-0000-0000-0000DB970000}"/>
    <cellStyle name="Percentuale 27 3" xfId="1439" xr:uid="{00000000-0005-0000-0000-0000DC970000}"/>
    <cellStyle name="Percentuale 27 3 2" xfId="1440" xr:uid="{00000000-0005-0000-0000-0000DD970000}"/>
    <cellStyle name="Percentuale 27 3 3" xfId="19987" xr:uid="{00000000-0005-0000-0000-0000DE970000}"/>
    <cellStyle name="Percentuale 27 3 3 2" xfId="20993" xr:uid="{00000000-0005-0000-0000-0000DF970000}"/>
    <cellStyle name="Percentuale 27 3 4" xfId="20992" xr:uid="{00000000-0005-0000-0000-0000E0970000}"/>
    <cellStyle name="Percentuale 27 3 5" xfId="19986" xr:uid="{00000000-0005-0000-0000-0000E1970000}"/>
    <cellStyle name="Percentuale 27 4" xfId="1441" xr:uid="{00000000-0005-0000-0000-0000E2970000}"/>
    <cellStyle name="Percentuale 27 4 2" xfId="19989" xr:uid="{00000000-0005-0000-0000-0000E3970000}"/>
    <cellStyle name="Percentuale 27 4 2 2" xfId="20995" xr:uid="{00000000-0005-0000-0000-0000E4970000}"/>
    <cellStyle name="Percentuale 27 4 3" xfId="20994" xr:uid="{00000000-0005-0000-0000-0000E5970000}"/>
    <cellStyle name="Percentuale 27 4 4" xfId="19988" xr:uid="{00000000-0005-0000-0000-0000E6970000}"/>
    <cellStyle name="Percentuale 27 4 5" xfId="11842" xr:uid="{00000000-0005-0000-0000-0000E7970000}"/>
    <cellStyle name="Percentuale 27 5" xfId="1442" xr:uid="{00000000-0005-0000-0000-0000E8970000}"/>
    <cellStyle name="Percentuale 27 5 2" xfId="11843" xr:uid="{00000000-0005-0000-0000-0000E9970000}"/>
    <cellStyle name="Percentuale 27 6" xfId="1443" xr:uid="{00000000-0005-0000-0000-0000EA970000}"/>
    <cellStyle name="Percentuale 27 6 2" xfId="21847" xr:uid="{00000000-0005-0000-0000-0000EB970000}"/>
    <cellStyle name="Percentuale 28" xfId="1444" xr:uid="{00000000-0005-0000-0000-0000EC970000}"/>
    <cellStyle name="Percentuale 28 2" xfId="1445" xr:uid="{00000000-0005-0000-0000-0000ED970000}"/>
    <cellStyle name="Percentuale 28 2 2" xfId="3761" xr:uid="{00000000-0005-0000-0000-0000EE970000}"/>
    <cellStyle name="Percentuale 28 3" xfId="1446" xr:uid="{00000000-0005-0000-0000-0000EF970000}"/>
    <cellStyle name="Percentuale 28 3 2" xfId="1447" xr:uid="{00000000-0005-0000-0000-0000F0970000}"/>
    <cellStyle name="Percentuale 28 3 3" xfId="19991" xr:uid="{00000000-0005-0000-0000-0000F1970000}"/>
    <cellStyle name="Percentuale 28 3 3 2" xfId="20997" xr:uid="{00000000-0005-0000-0000-0000F2970000}"/>
    <cellStyle name="Percentuale 28 3 4" xfId="20996" xr:uid="{00000000-0005-0000-0000-0000F3970000}"/>
    <cellStyle name="Percentuale 28 3 5" xfId="19990" xr:uid="{00000000-0005-0000-0000-0000F4970000}"/>
    <cellStyle name="Percentuale 28 4" xfId="1448" xr:uid="{00000000-0005-0000-0000-0000F5970000}"/>
    <cellStyle name="Percentuale 28 4 2" xfId="19993" xr:uid="{00000000-0005-0000-0000-0000F6970000}"/>
    <cellStyle name="Percentuale 28 4 2 2" xfId="20999" xr:uid="{00000000-0005-0000-0000-0000F7970000}"/>
    <cellStyle name="Percentuale 28 4 3" xfId="20998" xr:uid="{00000000-0005-0000-0000-0000F8970000}"/>
    <cellStyle name="Percentuale 28 4 4" xfId="19992" xr:uid="{00000000-0005-0000-0000-0000F9970000}"/>
    <cellStyle name="Percentuale 28 4 5" xfId="11844" xr:uid="{00000000-0005-0000-0000-0000FA970000}"/>
    <cellStyle name="Percentuale 28 5" xfId="1449" xr:uid="{00000000-0005-0000-0000-0000FB970000}"/>
    <cellStyle name="Percentuale 28 5 2" xfId="11845" xr:uid="{00000000-0005-0000-0000-0000FC970000}"/>
    <cellStyle name="Percentuale 28 6" xfId="1450" xr:uid="{00000000-0005-0000-0000-0000FD970000}"/>
    <cellStyle name="Percentuale 28 6 2" xfId="21848" xr:uid="{00000000-0005-0000-0000-0000FE970000}"/>
    <cellStyle name="Percentuale 29" xfId="1451" xr:uid="{00000000-0005-0000-0000-0000FF970000}"/>
    <cellStyle name="Percentuale 29 2" xfId="1452" xr:uid="{00000000-0005-0000-0000-000000980000}"/>
    <cellStyle name="Percentuale 29 2 2" xfId="3762" xr:uid="{00000000-0005-0000-0000-000001980000}"/>
    <cellStyle name="Percentuale 29 3" xfId="1453" xr:uid="{00000000-0005-0000-0000-000002980000}"/>
    <cellStyle name="Percentuale 29 3 2" xfId="1454" xr:uid="{00000000-0005-0000-0000-000003980000}"/>
    <cellStyle name="Percentuale 29 3 3" xfId="19995" xr:uid="{00000000-0005-0000-0000-000004980000}"/>
    <cellStyle name="Percentuale 29 3 3 2" xfId="21001" xr:uid="{00000000-0005-0000-0000-000005980000}"/>
    <cellStyle name="Percentuale 29 3 4" xfId="21000" xr:uid="{00000000-0005-0000-0000-000006980000}"/>
    <cellStyle name="Percentuale 29 3 5" xfId="19994" xr:uid="{00000000-0005-0000-0000-000007980000}"/>
    <cellStyle name="Percentuale 29 4" xfId="1455" xr:uid="{00000000-0005-0000-0000-000008980000}"/>
    <cellStyle name="Percentuale 29 4 2" xfId="19997" xr:uid="{00000000-0005-0000-0000-000009980000}"/>
    <cellStyle name="Percentuale 29 4 2 2" xfId="21003" xr:uid="{00000000-0005-0000-0000-00000A980000}"/>
    <cellStyle name="Percentuale 29 4 3" xfId="21002" xr:uid="{00000000-0005-0000-0000-00000B980000}"/>
    <cellStyle name="Percentuale 29 4 4" xfId="19996" xr:uid="{00000000-0005-0000-0000-00000C980000}"/>
    <cellStyle name="Percentuale 29 4 5" xfId="11846" xr:uid="{00000000-0005-0000-0000-00000D980000}"/>
    <cellStyle name="Percentuale 29 5" xfId="1456" xr:uid="{00000000-0005-0000-0000-00000E980000}"/>
    <cellStyle name="Percentuale 29 5 2" xfId="11847" xr:uid="{00000000-0005-0000-0000-00000F980000}"/>
    <cellStyle name="Percentuale 29 6" xfId="1457" xr:uid="{00000000-0005-0000-0000-000010980000}"/>
    <cellStyle name="Percentuale 29 6 2" xfId="21849" xr:uid="{00000000-0005-0000-0000-000011980000}"/>
    <cellStyle name="Percentuale 3" xfId="1458" xr:uid="{00000000-0005-0000-0000-000012980000}"/>
    <cellStyle name="Percentuale 3 2" xfId="1459" xr:uid="{00000000-0005-0000-0000-000013980000}"/>
    <cellStyle name="Percentuale 3 2 2" xfId="3763" xr:uid="{00000000-0005-0000-0000-000014980000}"/>
    <cellStyle name="Percentuale 3 3" xfId="1460" xr:uid="{00000000-0005-0000-0000-000015980000}"/>
    <cellStyle name="Percentuale 3 3 2" xfId="1461" xr:uid="{00000000-0005-0000-0000-000016980000}"/>
    <cellStyle name="Percentuale 3 3 3" xfId="19999" xr:uid="{00000000-0005-0000-0000-000017980000}"/>
    <cellStyle name="Percentuale 3 3 3 2" xfId="21005" xr:uid="{00000000-0005-0000-0000-000018980000}"/>
    <cellStyle name="Percentuale 3 3 4" xfId="21004" xr:uid="{00000000-0005-0000-0000-000019980000}"/>
    <cellStyle name="Percentuale 3 3 5" xfId="19998" xr:uid="{00000000-0005-0000-0000-00001A980000}"/>
    <cellStyle name="Percentuale 3 4" xfId="1462" xr:uid="{00000000-0005-0000-0000-00001B980000}"/>
    <cellStyle name="Percentuale 3 4 2" xfId="20001" xr:uid="{00000000-0005-0000-0000-00001C980000}"/>
    <cellStyle name="Percentuale 3 4 2 2" xfId="21007" xr:uid="{00000000-0005-0000-0000-00001D980000}"/>
    <cellStyle name="Percentuale 3 4 3" xfId="21006" xr:uid="{00000000-0005-0000-0000-00001E980000}"/>
    <cellStyle name="Percentuale 3 4 4" xfId="20000" xr:uid="{00000000-0005-0000-0000-00001F980000}"/>
    <cellStyle name="Percentuale 3 4 5" xfId="11848" xr:uid="{00000000-0005-0000-0000-000020980000}"/>
    <cellStyle name="Percentuale 3 5" xfId="1463" xr:uid="{00000000-0005-0000-0000-000021980000}"/>
    <cellStyle name="Percentuale 3 5 2" xfId="11849" xr:uid="{00000000-0005-0000-0000-000022980000}"/>
    <cellStyle name="Percentuale 3 6" xfId="1464" xr:uid="{00000000-0005-0000-0000-000023980000}"/>
    <cellStyle name="Percentuale 3 6 2" xfId="21850" xr:uid="{00000000-0005-0000-0000-000024980000}"/>
    <cellStyle name="Percentuale 30" xfId="1465" xr:uid="{00000000-0005-0000-0000-000025980000}"/>
    <cellStyle name="Percentuale 30 2" xfId="1466" xr:uid="{00000000-0005-0000-0000-000026980000}"/>
    <cellStyle name="Percentuale 30 2 2" xfId="3764" xr:uid="{00000000-0005-0000-0000-000027980000}"/>
    <cellStyle name="Percentuale 30 3" xfId="1467" xr:uid="{00000000-0005-0000-0000-000028980000}"/>
    <cellStyle name="Percentuale 30 3 2" xfId="1468" xr:uid="{00000000-0005-0000-0000-000029980000}"/>
    <cellStyle name="Percentuale 30 3 3" xfId="20003" xr:uid="{00000000-0005-0000-0000-00002A980000}"/>
    <cellStyle name="Percentuale 30 3 3 2" xfId="21009" xr:uid="{00000000-0005-0000-0000-00002B980000}"/>
    <cellStyle name="Percentuale 30 3 4" xfId="21008" xr:uid="{00000000-0005-0000-0000-00002C980000}"/>
    <cellStyle name="Percentuale 30 3 5" xfId="20002" xr:uid="{00000000-0005-0000-0000-00002D980000}"/>
    <cellStyle name="Percentuale 30 4" xfId="1469" xr:uid="{00000000-0005-0000-0000-00002E980000}"/>
    <cellStyle name="Percentuale 30 4 2" xfId="20005" xr:uid="{00000000-0005-0000-0000-00002F980000}"/>
    <cellStyle name="Percentuale 30 4 2 2" xfId="21011" xr:uid="{00000000-0005-0000-0000-000030980000}"/>
    <cellStyle name="Percentuale 30 4 3" xfId="21010" xr:uid="{00000000-0005-0000-0000-000031980000}"/>
    <cellStyle name="Percentuale 30 4 4" xfId="20004" xr:uid="{00000000-0005-0000-0000-000032980000}"/>
    <cellStyle name="Percentuale 30 4 5" xfId="11850" xr:uid="{00000000-0005-0000-0000-000033980000}"/>
    <cellStyle name="Percentuale 30 5" xfId="1470" xr:uid="{00000000-0005-0000-0000-000034980000}"/>
    <cellStyle name="Percentuale 30 5 2" xfId="11851" xr:uid="{00000000-0005-0000-0000-000035980000}"/>
    <cellStyle name="Percentuale 30 6" xfId="1471" xr:uid="{00000000-0005-0000-0000-000036980000}"/>
    <cellStyle name="Percentuale 30 6 2" xfId="21851" xr:uid="{00000000-0005-0000-0000-000037980000}"/>
    <cellStyle name="Percentuale 31" xfId="1472" xr:uid="{00000000-0005-0000-0000-000038980000}"/>
    <cellStyle name="Percentuale 31 2" xfId="1473" xr:uid="{00000000-0005-0000-0000-000039980000}"/>
    <cellStyle name="Percentuale 31 2 2" xfId="3765" xr:uid="{00000000-0005-0000-0000-00003A980000}"/>
    <cellStyle name="Percentuale 31 3" xfId="1474" xr:uid="{00000000-0005-0000-0000-00003B980000}"/>
    <cellStyle name="Percentuale 31 3 2" xfId="1475" xr:uid="{00000000-0005-0000-0000-00003C980000}"/>
    <cellStyle name="Percentuale 31 3 3" xfId="20007" xr:uid="{00000000-0005-0000-0000-00003D980000}"/>
    <cellStyle name="Percentuale 31 3 3 2" xfId="21013" xr:uid="{00000000-0005-0000-0000-00003E980000}"/>
    <cellStyle name="Percentuale 31 3 4" xfId="21012" xr:uid="{00000000-0005-0000-0000-00003F980000}"/>
    <cellStyle name="Percentuale 31 3 5" xfId="20006" xr:uid="{00000000-0005-0000-0000-000040980000}"/>
    <cellStyle name="Percentuale 31 4" xfId="1476" xr:uid="{00000000-0005-0000-0000-000041980000}"/>
    <cellStyle name="Percentuale 31 4 2" xfId="20009" xr:uid="{00000000-0005-0000-0000-000042980000}"/>
    <cellStyle name="Percentuale 31 4 2 2" xfId="21015" xr:uid="{00000000-0005-0000-0000-000043980000}"/>
    <cellStyle name="Percentuale 31 4 3" xfId="21014" xr:uid="{00000000-0005-0000-0000-000044980000}"/>
    <cellStyle name="Percentuale 31 4 4" xfId="20008" xr:uid="{00000000-0005-0000-0000-000045980000}"/>
    <cellStyle name="Percentuale 31 4 5" xfId="11852" xr:uid="{00000000-0005-0000-0000-000046980000}"/>
    <cellStyle name="Percentuale 31 5" xfId="1477" xr:uid="{00000000-0005-0000-0000-000047980000}"/>
    <cellStyle name="Percentuale 31 5 2" xfId="11853" xr:uid="{00000000-0005-0000-0000-000048980000}"/>
    <cellStyle name="Percentuale 31 6" xfId="1478" xr:uid="{00000000-0005-0000-0000-000049980000}"/>
    <cellStyle name="Percentuale 31 6 2" xfId="21852" xr:uid="{00000000-0005-0000-0000-00004A980000}"/>
    <cellStyle name="Percentuale 32" xfId="1479" xr:uid="{00000000-0005-0000-0000-00004B980000}"/>
    <cellStyle name="Percentuale 32 2" xfId="1480" xr:uid="{00000000-0005-0000-0000-00004C980000}"/>
    <cellStyle name="Percentuale 32 2 2" xfId="3766" xr:uid="{00000000-0005-0000-0000-00004D980000}"/>
    <cellStyle name="Percentuale 32 3" xfId="1481" xr:uid="{00000000-0005-0000-0000-00004E980000}"/>
    <cellStyle name="Percentuale 32 3 2" xfId="1482" xr:uid="{00000000-0005-0000-0000-00004F980000}"/>
    <cellStyle name="Percentuale 32 3 3" xfId="20011" xr:uid="{00000000-0005-0000-0000-000050980000}"/>
    <cellStyle name="Percentuale 32 3 3 2" xfId="21017" xr:uid="{00000000-0005-0000-0000-000051980000}"/>
    <cellStyle name="Percentuale 32 3 4" xfId="21016" xr:uid="{00000000-0005-0000-0000-000052980000}"/>
    <cellStyle name="Percentuale 32 3 5" xfId="20010" xr:uid="{00000000-0005-0000-0000-000053980000}"/>
    <cellStyle name="Percentuale 32 4" xfId="1483" xr:uid="{00000000-0005-0000-0000-000054980000}"/>
    <cellStyle name="Percentuale 32 4 2" xfId="20013" xr:uid="{00000000-0005-0000-0000-000055980000}"/>
    <cellStyle name="Percentuale 32 4 2 2" xfId="21019" xr:uid="{00000000-0005-0000-0000-000056980000}"/>
    <cellStyle name="Percentuale 32 4 3" xfId="21018" xr:uid="{00000000-0005-0000-0000-000057980000}"/>
    <cellStyle name="Percentuale 32 4 4" xfId="20012" xr:uid="{00000000-0005-0000-0000-000058980000}"/>
    <cellStyle name="Percentuale 32 4 5" xfId="11854" xr:uid="{00000000-0005-0000-0000-000059980000}"/>
    <cellStyle name="Percentuale 32 5" xfId="1484" xr:uid="{00000000-0005-0000-0000-00005A980000}"/>
    <cellStyle name="Percentuale 32 5 2" xfId="11855" xr:uid="{00000000-0005-0000-0000-00005B980000}"/>
    <cellStyle name="Percentuale 32 6" xfId="1485" xr:uid="{00000000-0005-0000-0000-00005C980000}"/>
    <cellStyle name="Percentuale 32 6 2" xfId="21853" xr:uid="{00000000-0005-0000-0000-00005D980000}"/>
    <cellStyle name="Percentuale 33" xfId="1486" xr:uid="{00000000-0005-0000-0000-00005E980000}"/>
    <cellStyle name="Percentuale 33 2" xfId="1487" xr:uid="{00000000-0005-0000-0000-00005F980000}"/>
    <cellStyle name="Percentuale 33 2 2" xfId="3767" xr:uid="{00000000-0005-0000-0000-000060980000}"/>
    <cellStyle name="Percentuale 33 3" xfId="1488" xr:uid="{00000000-0005-0000-0000-000061980000}"/>
    <cellStyle name="Percentuale 33 3 2" xfId="1489" xr:uid="{00000000-0005-0000-0000-000062980000}"/>
    <cellStyle name="Percentuale 33 3 3" xfId="20015" xr:uid="{00000000-0005-0000-0000-000063980000}"/>
    <cellStyle name="Percentuale 33 3 3 2" xfId="21021" xr:uid="{00000000-0005-0000-0000-000064980000}"/>
    <cellStyle name="Percentuale 33 3 4" xfId="21020" xr:uid="{00000000-0005-0000-0000-000065980000}"/>
    <cellStyle name="Percentuale 33 3 5" xfId="20014" xr:uid="{00000000-0005-0000-0000-000066980000}"/>
    <cellStyle name="Percentuale 33 4" xfId="1490" xr:uid="{00000000-0005-0000-0000-000067980000}"/>
    <cellStyle name="Percentuale 33 4 2" xfId="20017" xr:uid="{00000000-0005-0000-0000-000068980000}"/>
    <cellStyle name="Percentuale 33 4 2 2" xfId="21023" xr:uid="{00000000-0005-0000-0000-000069980000}"/>
    <cellStyle name="Percentuale 33 4 3" xfId="21022" xr:uid="{00000000-0005-0000-0000-00006A980000}"/>
    <cellStyle name="Percentuale 33 4 4" xfId="20016" xr:uid="{00000000-0005-0000-0000-00006B980000}"/>
    <cellStyle name="Percentuale 33 4 5" xfId="11856" xr:uid="{00000000-0005-0000-0000-00006C980000}"/>
    <cellStyle name="Percentuale 33 5" xfId="1491" xr:uid="{00000000-0005-0000-0000-00006D980000}"/>
    <cellStyle name="Percentuale 33 5 2" xfId="11857" xr:uid="{00000000-0005-0000-0000-00006E980000}"/>
    <cellStyle name="Percentuale 33 6" xfId="1492" xr:uid="{00000000-0005-0000-0000-00006F980000}"/>
    <cellStyle name="Percentuale 33 6 2" xfId="21854" xr:uid="{00000000-0005-0000-0000-000070980000}"/>
    <cellStyle name="Percentuale 34" xfId="1493" xr:uid="{00000000-0005-0000-0000-000071980000}"/>
    <cellStyle name="Percentuale 34 2" xfId="1494" xr:uid="{00000000-0005-0000-0000-000072980000}"/>
    <cellStyle name="Percentuale 34 2 2" xfId="3768" xr:uid="{00000000-0005-0000-0000-000073980000}"/>
    <cellStyle name="Percentuale 34 3" xfId="1495" xr:uid="{00000000-0005-0000-0000-000074980000}"/>
    <cellStyle name="Percentuale 34 3 2" xfId="1496" xr:uid="{00000000-0005-0000-0000-000075980000}"/>
    <cellStyle name="Percentuale 34 3 3" xfId="20019" xr:uid="{00000000-0005-0000-0000-000076980000}"/>
    <cellStyle name="Percentuale 34 3 3 2" xfId="21025" xr:uid="{00000000-0005-0000-0000-000077980000}"/>
    <cellStyle name="Percentuale 34 3 4" xfId="21024" xr:uid="{00000000-0005-0000-0000-000078980000}"/>
    <cellStyle name="Percentuale 34 3 5" xfId="20018" xr:uid="{00000000-0005-0000-0000-000079980000}"/>
    <cellStyle name="Percentuale 34 4" xfId="1497" xr:uid="{00000000-0005-0000-0000-00007A980000}"/>
    <cellStyle name="Percentuale 34 4 2" xfId="20021" xr:uid="{00000000-0005-0000-0000-00007B980000}"/>
    <cellStyle name="Percentuale 34 4 2 2" xfId="21027" xr:uid="{00000000-0005-0000-0000-00007C980000}"/>
    <cellStyle name="Percentuale 34 4 3" xfId="21026" xr:uid="{00000000-0005-0000-0000-00007D980000}"/>
    <cellStyle name="Percentuale 34 4 4" xfId="20020" xr:uid="{00000000-0005-0000-0000-00007E980000}"/>
    <cellStyle name="Percentuale 34 4 5" xfId="11858" xr:uid="{00000000-0005-0000-0000-00007F980000}"/>
    <cellStyle name="Percentuale 34 5" xfId="1498" xr:uid="{00000000-0005-0000-0000-000080980000}"/>
    <cellStyle name="Percentuale 34 5 2" xfId="11859" xr:uid="{00000000-0005-0000-0000-000081980000}"/>
    <cellStyle name="Percentuale 34 6" xfId="1499" xr:uid="{00000000-0005-0000-0000-000082980000}"/>
    <cellStyle name="Percentuale 34 6 2" xfId="21855" xr:uid="{00000000-0005-0000-0000-000083980000}"/>
    <cellStyle name="Percentuale 35" xfId="1500" xr:uid="{00000000-0005-0000-0000-000084980000}"/>
    <cellStyle name="Percentuale 35 2" xfId="1501" xr:uid="{00000000-0005-0000-0000-000085980000}"/>
    <cellStyle name="Percentuale 35 2 2" xfId="3769" xr:uid="{00000000-0005-0000-0000-000086980000}"/>
    <cellStyle name="Percentuale 35 3" xfId="1502" xr:uid="{00000000-0005-0000-0000-000087980000}"/>
    <cellStyle name="Percentuale 35 3 2" xfId="1503" xr:uid="{00000000-0005-0000-0000-000088980000}"/>
    <cellStyle name="Percentuale 35 3 3" xfId="20023" xr:uid="{00000000-0005-0000-0000-000089980000}"/>
    <cellStyle name="Percentuale 35 3 3 2" xfId="21029" xr:uid="{00000000-0005-0000-0000-00008A980000}"/>
    <cellStyle name="Percentuale 35 3 4" xfId="21028" xr:uid="{00000000-0005-0000-0000-00008B980000}"/>
    <cellStyle name="Percentuale 35 3 5" xfId="20022" xr:uid="{00000000-0005-0000-0000-00008C980000}"/>
    <cellStyle name="Percentuale 35 4" xfId="1504" xr:uid="{00000000-0005-0000-0000-00008D980000}"/>
    <cellStyle name="Percentuale 35 4 2" xfId="20025" xr:uid="{00000000-0005-0000-0000-00008E980000}"/>
    <cellStyle name="Percentuale 35 4 2 2" xfId="21031" xr:uid="{00000000-0005-0000-0000-00008F980000}"/>
    <cellStyle name="Percentuale 35 4 3" xfId="21030" xr:uid="{00000000-0005-0000-0000-000090980000}"/>
    <cellStyle name="Percentuale 35 4 4" xfId="20024" xr:uid="{00000000-0005-0000-0000-000091980000}"/>
    <cellStyle name="Percentuale 35 4 5" xfId="11860" xr:uid="{00000000-0005-0000-0000-000092980000}"/>
    <cellStyle name="Percentuale 35 5" xfId="1505" xr:uid="{00000000-0005-0000-0000-000093980000}"/>
    <cellStyle name="Percentuale 35 5 2" xfId="11861" xr:uid="{00000000-0005-0000-0000-000094980000}"/>
    <cellStyle name="Percentuale 35 6" xfId="1506" xr:uid="{00000000-0005-0000-0000-000095980000}"/>
    <cellStyle name="Percentuale 35 6 2" xfId="21856" xr:uid="{00000000-0005-0000-0000-000096980000}"/>
    <cellStyle name="Percentuale 36" xfId="1507" xr:uid="{00000000-0005-0000-0000-000097980000}"/>
    <cellStyle name="Percentuale 36 2" xfId="1508" xr:uid="{00000000-0005-0000-0000-000098980000}"/>
    <cellStyle name="Percentuale 36 2 2" xfId="3770" xr:uid="{00000000-0005-0000-0000-000099980000}"/>
    <cellStyle name="Percentuale 36 3" xfId="1509" xr:uid="{00000000-0005-0000-0000-00009A980000}"/>
    <cellStyle name="Percentuale 36 3 2" xfId="1510" xr:uid="{00000000-0005-0000-0000-00009B980000}"/>
    <cellStyle name="Percentuale 36 3 3" xfId="20027" xr:uid="{00000000-0005-0000-0000-00009C980000}"/>
    <cellStyle name="Percentuale 36 3 3 2" xfId="21033" xr:uid="{00000000-0005-0000-0000-00009D980000}"/>
    <cellStyle name="Percentuale 36 3 4" xfId="21032" xr:uid="{00000000-0005-0000-0000-00009E980000}"/>
    <cellStyle name="Percentuale 36 3 5" xfId="20026" xr:uid="{00000000-0005-0000-0000-00009F980000}"/>
    <cellStyle name="Percentuale 36 4" xfId="1511" xr:uid="{00000000-0005-0000-0000-0000A0980000}"/>
    <cellStyle name="Percentuale 36 4 2" xfId="20029" xr:uid="{00000000-0005-0000-0000-0000A1980000}"/>
    <cellStyle name="Percentuale 36 4 2 2" xfId="21035" xr:uid="{00000000-0005-0000-0000-0000A2980000}"/>
    <cellStyle name="Percentuale 36 4 3" xfId="21034" xr:uid="{00000000-0005-0000-0000-0000A3980000}"/>
    <cellStyle name="Percentuale 36 4 4" xfId="20028" xr:uid="{00000000-0005-0000-0000-0000A4980000}"/>
    <cellStyle name="Percentuale 36 4 5" xfId="11862" xr:uid="{00000000-0005-0000-0000-0000A5980000}"/>
    <cellStyle name="Percentuale 36 5" xfId="1512" xr:uid="{00000000-0005-0000-0000-0000A6980000}"/>
    <cellStyle name="Percentuale 36 5 2" xfId="11863" xr:uid="{00000000-0005-0000-0000-0000A7980000}"/>
    <cellStyle name="Percentuale 36 6" xfId="1513" xr:uid="{00000000-0005-0000-0000-0000A8980000}"/>
    <cellStyle name="Percentuale 36 6 2" xfId="21857" xr:uid="{00000000-0005-0000-0000-0000A9980000}"/>
    <cellStyle name="Percentuale 37" xfId="1514" xr:uid="{00000000-0005-0000-0000-0000AA980000}"/>
    <cellStyle name="Percentuale 37 2" xfId="1515" xr:uid="{00000000-0005-0000-0000-0000AB980000}"/>
    <cellStyle name="Percentuale 37 2 2" xfId="3771" xr:uid="{00000000-0005-0000-0000-0000AC980000}"/>
    <cellStyle name="Percentuale 37 3" xfId="1516" xr:uid="{00000000-0005-0000-0000-0000AD980000}"/>
    <cellStyle name="Percentuale 37 3 2" xfId="1517" xr:uid="{00000000-0005-0000-0000-0000AE980000}"/>
    <cellStyle name="Percentuale 37 3 3" xfId="20031" xr:uid="{00000000-0005-0000-0000-0000AF980000}"/>
    <cellStyle name="Percentuale 37 3 3 2" xfId="21037" xr:uid="{00000000-0005-0000-0000-0000B0980000}"/>
    <cellStyle name="Percentuale 37 3 4" xfId="21036" xr:uid="{00000000-0005-0000-0000-0000B1980000}"/>
    <cellStyle name="Percentuale 37 3 5" xfId="20030" xr:uid="{00000000-0005-0000-0000-0000B2980000}"/>
    <cellStyle name="Percentuale 37 4" xfId="1518" xr:uid="{00000000-0005-0000-0000-0000B3980000}"/>
    <cellStyle name="Percentuale 37 4 2" xfId="20033" xr:uid="{00000000-0005-0000-0000-0000B4980000}"/>
    <cellStyle name="Percentuale 37 4 2 2" xfId="21039" xr:uid="{00000000-0005-0000-0000-0000B5980000}"/>
    <cellStyle name="Percentuale 37 4 3" xfId="21038" xr:uid="{00000000-0005-0000-0000-0000B6980000}"/>
    <cellStyle name="Percentuale 37 4 4" xfId="20032" xr:uid="{00000000-0005-0000-0000-0000B7980000}"/>
    <cellStyle name="Percentuale 37 4 5" xfId="11864" xr:uid="{00000000-0005-0000-0000-0000B8980000}"/>
    <cellStyle name="Percentuale 37 5" xfId="1519" xr:uid="{00000000-0005-0000-0000-0000B9980000}"/>
    <cellStyle name="Percentuale 37 5 2" xfId="11865" xr:uid="{00000000-0005-0000-0000-0000BA980000}"/>
    <cellStyle name="Percentuale 37 6" xfId="1520" xr:uid="{00000000-0005-0000-0000-0000BB980000}"/>
    <cellStyle name="Percentuale 37 6 2" xfId="21858" xr:uid="{00000000-0005-0000-0000-0000BC980000}"/>
    <cellStyle name="Percentuale 38" xfId="1521" xr:uid="{00000000-0005-0000-0000-0000BD980000}"/>
    <cellStyle name="Percentuale 38 2" xfId="1522" xr:uid="{00000000-0005-0000-0000-0000BE980000}"/>
    <cellStyle name="Percentuale 38 2 2" xfId="3772" xr:uid="{00000000-0005-0000-0000-0000BF980000}"/>
    <cellStyle name="Percentuale 38 3" xfId="1523" xr:uid="{00000000-0005-0000-0000-0000C0980000}"/>
    <cellStyle name="Percentuale 38 3 2" xfId="1524" xr:uid="{00000000-0005-0000-0000-0000C1980000}"/>
    <cellStyle name="Percentuale 38 3 3" xfId="20035" xr:uid="{00000000-0005-0000-0000-0000C2980000}"/>
    <cellStyle name="Percentuale 38 3 3 2" xfId="21041" xr:uid="{00000000-0005-0000-0000-0000C3980000}"/>
    <cellStyle name="Percentuale 38 3 4" xfId="21040" xr:uid="{00000000-0005-0000-0000-0000C4980000}"/>
    <cellStyle name="Percentuale 38 3 5" xfId="20034" xr:uid="{00000000-0005-0000-0000-0000C5980000}"/>
    <cellStyle name="Percentuale 38 4" xfId="1525" xr:uid="{00000000-0005-0000-0000-0000C6980000}"/>
    <cellStyle name="Percentuale 38 4 2" xfId="20037" xr:uid="{00000000-0005-0000-0000-0000C7980000}"/>
    <cellStyle name="Percentuale 38 4 2 2" xfId="21043" xr:uid="{00000000-0005-0000-0000-0000C8980000}"/>
    <cellStyle name="Percentuale 38 4 3" xfId="21042" xr:uid="{00000000-0005-0000-0000-0000C9980000}"/>
    <cellStyle name="Percentuale 38 4 4" xfId="20036" xr:uid="{00000000-0005-0000-0000-0000CA980000}"/>
    <cellStyle name="Percentuale 38 4 5" xfId="11866" xr:uid="{00000000-0005-0000-0000-0000CB980000}"/>
    <cellStyle name="Percentuale 38 5" xfId="1526" xr:uid="{00000000-0005-0000-0000-0000CC980000}"/>
    <cellStyle name="Percentuale 38 5 2" xfId="11867" xr:uid="{00000000-0005-0000-0000-0000CD980000}"/>
    <cellStyle name="Percentuale 38 6" xfId="1527" xr:uid="{00000000-0005-0000-0000-0000CE980000}"/>
    <cellStyle name="Percentuale 38 6 2" xfId="21859" xr:uid="{00000000-0005-0000-0000-0000CF980000}"/>
    <cellStyle name="Percentuale 39" xfId="1528" xr:uid="{00000000-0005-0000-0000-0000D0980000}"/>
    <cellStyle name="Percentuale 39 2" xfId="1529" xr:uid="{00000000-0005-0000-0000-0000D1980000}"/>
    <cellStyle name="Percentuale 39 2 2" xfId="3773" xr:uid="{00000000-0005-0000-0000-0000D2980000}"/>
    <cellStyle name="Percentuale 39 3" xfId="1530" xr:uid="{00000000-0005-0000-0000-0000D3980000}"/>
    <cellStyle name="Percentuale 39 3 2" xfId="1531" xr:uid="{00000000-0005-0000-0000-0000D4980000}"/>
    <cellStyle name="Percentuale 39 3 3" xfId="20039" xr:uid="{00000000-0005-0000-0000-0000D5980000}"/>
    <cellStyle name="Percentuale 39 3 3 2" xfId="21045" xr:uid="{00000000-0005-0000-0000-0000D6980000}"/>
    <cellStyle name="Percentuale 39 3 4" xfId="21044" xr:uid="{00000000-0005-0000-0000-0000D7980000}"/>
    <cellStyle name="Percentuale 39 3 5" xfId="20038" xr:uid="{00000000-0005-0000-0000-0000D8980000}"/>
    <cellStyle name="Percentuale 39 4" xfId="1532" xr:uid="{00000000-0005-0000-0000-0000D9980000}"/>
    <cellStyle name="Percentuale 39 4 2" xfId="20041" xr:uid="{00000000-0005-0000-0000-0000DA980000}"/>
    <cellStyle name="Percentuale 39 4 2 2" xfId="21047" xr:uid="{00000000-0005-0000-0000-0000DB980000}"/>
    <cellStyle name="Percentuale 39 4 3" xfId="21046" xr:uid="{00000000-0005-0000-0000-0000DC980000}"/>
    <cellStyle name="Percentuale 39 4 4" xfId="20040" xr:uid="{00000000-0005-0000-0000-0000DD980000}"/>
    <cellStyle name="Percentuale 39 4 5" xfId="11868" xr:uid="{00000000-0005-0000-0000-0000DE980000}"/>
    <cellStyle name="Percentuale 39 5" xfId="1533" xr:uid="{00000000-0005-0000-0000-0000DF980000}"/>
    <cellStyle name="Percentuale 39 5 2" xfId="11869" xr:uid="{00000000-0005-0000-0000-0000E0980000}"/>
    <cellStyle name="Percentuale 39 6" xfId="1534" xr:uid="{00000000-0005-0000-0000-0000E1980000}"/>
    <cellStyle name="Percentuale 39 6 2" xfId="21860" xr:uid="{00000000-0005-0000-0000-0000E2980000}"/>
    <cellStyle name="Percentuale 4" xfId="1535" xr:uid="{00000000-0005-0000-0000-0000E3980000}"/>
    <cellStyle name="Percentuale 4 2" xfId="1536" xr:uid="{00000000-0005-0000-0000-0000E4980000}"/>
    <cellStyle name="Percentuale 4 2 2" xfId="3774" xr:uid="{00000000-0005-0000-0000-0000E5980000}"/>
    <cellStyle name="Percentuale 4 3" xfId="1537" xr:uid="{00000000-0005-0000-0000-0000E6980000}"/>
    <cellStyle name="Percentuale 4 3 2" xfId="1538" xr:uid="{00000000-0005-0000-0000-0000E7980000}"/>
    <cellStyle name="Percentuale 4 3 3" xfId="20043" xr:uid="{00000000-0005-0000-0000-0000E8980000}"/>
    <cellStyle name="Percentuale 4 3 3 2" xfId="21049" xr:uid="{00000000-0005-0000-0000-0000E9980000}"/>
    <cellStyle name="Percentuale 4 3 4" xfId="21048" xr:uid="{00000000-0005-0000-0000-0000EA980000}"/>
    <cellStyle name="Percentuale 4 3 5" xfId="20042" xr:uid="{00000000-0005-0000-0000-0000EB980000}"/>
    <cellStyle name="Percentuale 4 4" xfId="1539" xr:uid="{00000000-0005-0000-0000-0000EC980000}"/>
    <cellStyle name="Percentuale 4 4 2" xfId="20045" xr:uid="{00000000-0005-0000-0000-0000ED980000}"/>
    <cellStyle name="Percentuale 4 4 2 2" xfId="21051" xr:uid="{00000000-0005-0000-0000-0000EE980000}"/>
    <cellStyle name="Percentuale 4 4 3" xfId="21050" xr:uid="{00000000-0005-0000-0000-0000EF980000}"/>
    <cellStyle name="Percentuale 4 4 4" xfId="20044" xr:uid="{00000000-0005-0000-0000-0000F0980000}"/>
    <cellStyle name="Percentuale 4 4 5" xfId="11870" xr:uid="{00000000-0005-0000-0000-0000F1980000}"/>
    <cellStyle name="Percentuale 4 5" xfId="1540" xr:uid="{00000000-0005-0000-0000-0000F2980000}"/>
    <cellStyle name="Percentuale 4 5 2" xfId="11871" xr:uid="{00000000-0005-0000-0000-0000F3980000}"/>
    <cellStyle name="Percentuale 4 6" xfId="1541" xr:uid="{00000000-0005-0000-0000-0000F4980000}"/>
    <cellStyle name="Percentuale 4 6 2" xfId="21861" xr:uid="{00000000-0005-0000-0000-0000F5980000}"/>
    <cellStyle name="Percentuale 40" xfId="1542" xr:uid="{00000000-0005-0000-0000-0000F6980000}"/>
    <cellStyle name="Percentuale 40 2" xfId="1543" xr:uid="{00000000-0005-0000-0000-0000F7980000}"/>
    <cellStyle name="Percentuale 40 2 2" xfId="3775" xr:uid="{00000000-0005-0000-0000-0000F8980000}"/>
    <cellStyle name="Percentuale 40 3" xfId="1544" xr:uid="{00000000-0005-0000-0000-0000F9980000}"/>
    <cellStyle name="Percentuale 40 3 2" xfId="1545" xr:uid="{00000000-0005-0000-0000-0000FA980000}"/>
    <cellStyle name="Percentuale 40 3 3" xfId="20047" xr:uid="{00000000-0005-0000-0000-0000FB980000}"/>
    <cellStyle name="Percentuale 40 3 3 2" xfId="21053" xr:uid="{00000000-0005-0000-0000-0000FC980000}"/>
    <cellStyle name="Percentuale 40 3 4" xfId="21052" xr:uid="{00000000-0005-0000-0000-0000FD980000}"/>
    <cellStyle name="Percentuale 40 3 5" xfId="20046" xr:uid="{00000000-0005-0000-0000-0000FE980000}"/>
    <cellStyle name="Percentuale 40 4" xfId="1546" xr:uid="{00000000-0005-0000-0000-0000FF980000}"/>
    <cellStyle name="Percentuale 40 4 2" xfId="20049" xr:uid="{00000000-0005-0000-0000-000000990000}"/>
    <cellStyle name="Percentuale 40 4 2 2" xfId="21055" xr:uid="{00000000-0005-0000-0000-000001990000}"/>
    <cellStyle name="Percentuale 40 4 3" xfId="21054" xr:uid="{00000000-0005-0000-0000-000002990000}"/>
    <cellStyle name="Percentuale 40 4 4" xfId="20048" xr:uid="{00000000-0005-0000-0000-000003990000}"/>
    <cellStyle name="Percentuale 40 4 5" xfId="11872" xr:uid="{00000000-0005-0000-0000-000004990000}"/>
    <cellStyle name="Percentuale 40 5" xfId="1547" xr:uid="{00000000-0005-0000-0000-000005990000}"/>
    <cellStyle name="Percentuale 40 5 2" xfId="11873" xr:uid="{00000000-0005-0000-0000-000006990000}"/>
    <cellStyle name="Percentuale 40 6" xfId="1548" xr:uid="{00000000-0005-0000-0000-000007990000}"/>
    <cellStyle name="Percentuale 40 6 2" xfId="21862" xr:uid="{00000000-0005-0000-0000-000008990000}"/>
    <cellStyle name="Percentuale 41" xfId="1549" xr:uid="{00000000-0005-0000-0000-000009990000}"/>
    <cellStyle name="Percentuale 41 2" xfId="1550" xr:uid="{00000000-0005-0000-0000-00000A990000}"/>
    <cellStyle name="Percentuale 41 2 2" xfId="3776" xr:uid="{00000000-0005-0000-0000-00000B990000}"/>
    <cellStyle name="Percentuale 41 3" xfId="1551" xr:uid="{00000000-0005-0000-0000-00000C990000}"/>
    <cellStyle name="Percentuale 41 3 2" xfId="1552" xr:uid="{00000000-0005-0000-0000-00000D990000}"/>
    <cellStyle name="Percentuale 41 3 3" xfId="20051" xr:uid="{00000000-0005-0000-0000-00000E990000}"/>
    <cellStyle name="Percentuale 41 3 3 2" xfId="21057" xr:uid="{00000000-0005-0000-0000-00000F990000}"/>
    <cellStyle name="Percentuale 41 3 4" xfId="21056" xr:uid="{00000000-0005-0000-0000-000010990000}"/>
    <cellStyle name="Percentuale 41 3 5" xfId="20050" xr:uid="{00000000-0005-0000-0000-000011990000}"/>
    <cellStyle name="Percentuale 41 4" xfId="1553" xr:uid="{00000000-0005-0000-0000-000012990000}"/>
    <cellStyle name="Percentuale 41 4 2" xfId="20053" xr:uid="{00000000-0005-0000-0000-000013990000}"/>
    <cellStyle name="Percentuale 41 4 2 2" xfId="21059" xr:uid="{00000000-0005-0000-0000-000014990000}"/>
    <cellStyle name="Percentuale 41 4 3" xfId="21058" xr:uid="{00000000-0005-0000-0000-000015990000}"/>
    <cellStyle name="Percentuale 41 4 4" xfId="20052" xr:uid="{00000000-0005-0000-0000-000016990000}"/>
    <cellStyle name="Percentuale 41 4 5" xfId="11874" xr:uid="{00000000-0005-0000-0000-000017990000}"/>
    <cellStyle name="Percentuale 41 5" xfId="1554" xr:uid="{00000000-0005-0000-0000-000018990000}"/>
    <cellStyle name="Percentuale 41 5 2" xfId="11875" xr:uid="{00000000-0005-0000-0000-000019990000}"/>
    <cellStyle name="Percentuale 41 6" xfId="1555" xr:uid="{00000000-0005-0000-0000-00001A990000}"/>
    <cellStyle name="Percentuale 41 6 2" xfId="21863" xr:uid="{00000000-0005-0000-0000-00001B990000}"/>
    <cellStyle name="Percentuale 42" xfId="1556" xr:uid="{00000000-0005-0000-0000-00001C990000}"/>
    <cellStyle name="Percentuale 42 2" xfId="1557" xr:uid="{00000000-0005-0000-0000-00001D990000}"/>
    <cellStyle name="Percentuale 42 2 2" xfId="3777" xr:uid="{00000000-0005-0000-0000-00001E990000}"/>
    <cellStyle name="Percentuale 42 3" xfId="1558" xr:uid="{00000000-0005-0000-0000-00001F990000}"/>
    <cellStyle name="Percentuale 42 3 2" xfId="1559" xr:uid="{00000000-0005-0000-0000-000020990000}"/>
    <cellStyle name="Percentuale 42 3 3" xfId="20055" xr:uid="{00000000-0005-0000-0000-000021990000}"/>
    <cellStyle name="Percentuale 42 3 3 2" xfId="21061" xr:uid="{00000000-0005-0000-0000-000022990000}"/>
    <cellStyle name="Percentuale 42 3 4" xfId="21060" xr:uid="{00000000-0005-0000-0000-000023990000}"/>
    <cellStyle name="Percentuale 42 3 5" xfId="20054" xr:uid="{00000000-0005-0000-0000-000024990000}"/>
    <cellStyle name="Percentuale 42 4" xfId="1560" xr:uid="{00000000-0005-0000-0000-000025990000}"/>
    <cellStyle name="Percentuale 42 4 2" xfId="20057" xr:uid="{00000000-0005-0000-0000-000026990000}"/>
    <cellStyle name="Percentuale 42 4 2 2" xfId="21063" xr:uid="{00000000-0005-0000-0000-000027990000}"/>
    <cellStyle name="Percentuale 42 4 3" xfId="21062" xr:uid="{00000000-0005-0000-0000-000028990000}"/>
    <cellStyle name="Percentuale 42 4 4" xfId="20056" xr:uid="{00000000-0005-0000-0000-000029990000}"/>
    <cellStyle name="Percentuale 42 4 5" xfId="11876" xr:uid="{00000000-0005-0000-0000-00002A990000}"/>
    <cellStyle name="Percentuale 42 5" xfId="1561" xr:uid="{00000000-0005-0000-0000-00002B990000}"/>
    <cellStyle name="Percentuale 42 5 2" xfId="11877" xr:uid="{00000000-0005-0000-0000-00002C990000}"/>
    <cellStyle name="Percentuale 42 6" xfId="1562" xr:uid="{00000000-0005-0000-0000-00002D990000}"/>
    <cellStyle name="Percentuale 42 6 2" xfId="21864" xr:uid="{00000000-0005-0000-0000-00002E990000}"/>
    <cellStyle name="Percentuale 43" xfId="1563" xr:uid="{00000000-0005-0000-0000-00002F990000}"/>
    <cellStyle name="Percentuale 43 2" xfId="1564" xr:uid="{00000000-0005-0000-0000-000030990000}"/>
    <cellStyle name="Percentuale 43 2 2" xfId="3778" xr:uid="{00000000-0005-0000-0000-000031990000}"/>
    <cellStyle name="Percentuale 43 3" xfId="1565" xr:uid="{00000000-0005-0000-0000-000032990000}"/>
    <cellStyle name="Percentuale 43 3 2" xfId="1566" xr:uid="{00000000-0005-0000-0000-000033990000}"/>
    <cellStyle name="Percentuale 43 3 3" xfId="20059" xr:uid="{00000000-0005-0000-0000-000034990000}"/>
    <cellStyle name="Percentuale 43 3 3 2" xfId="21065" xr:uid="{00000000-0005-0000-0000-000035990000}"/>
    <cellStyle name="Percentuale 43 3 4" xfId="21064" xr:uid="{00000000-0005-0000-0000-000036990000}"/>
    <cellStyle name="Percentuale 43 3 5" xfId="20058" xr:uid="{00000000-0005-0000-0000-000037990000}"/>
    <cellStyle name="Percentuale 43 4" xfId="1567" xr:uid="{00000000-0005-0000-0000-000038990000}"/>
    <cellStyle name="Percentuale 43 4 2" xfId="20061" xr:uid="{00000000-0005-0000-0000-000039990000}"/>
    <cellStyle name="Percentuale 43 4 2 2" xfId="21067" xr:uid="{00000000-0005-0000-0000-00003A990000}"/>
    <cellStyle name="Percentuale 43 4 3" xfId="21066" xr:uid="{00000000-0005-0000-0000-00003B990000}"/>
    <cellStyle name="Percentuale 43 4 4" xfId="20060" xr:uid="{00000000-0005-0000-0000-00003C990000}"/>
    <cellStyle name="Percentuale 43 4 5" xfId="11878" xr:uid="{00000000-0005-0000-0000-00003D990000}"/>
    <cellStyle name="Percentuale 43 5" xfId="1568" xr:uid="{00000000-0005-0000-0000-00003E990000}"/>
    <cellStyle name="Percentuale 43 5 2" xfId="11879" xr:uid="{00000000-0005-0000-0000-00003F990000}"/>
    <cellStyle name="Percentuale 43 6" xfId="1569" xr:uid="{00000000-0005-0000-0000-000040990000}"/>
    <cellStyle name="Percentuale 43 6 2" xfId="21865" xr:uid="{00000000-0005-0000-0000-000041990000}"/>
    <cellStyle name="Percentuale 44" xfId="1570" xr:uid="{00000000-0005-0000-0000-000042990000}"/>
    <cellStyle name="Percentuale 44 2" xfId="1571" xr:uid="{00000000-0005-0000-0000-000043990000}"/>
    <cellStyle name="Percentuale 44 2 2" xfId="3779" xr:uid="{00000000-0005-0000-0000-000044990000}"/>
    <cellStyle name="Percentuale 44 3" xfId="1572" xr:uid="{00000000-0005-0000-0000-000045990000}"/>
    <cellStyle name="Percentuale 44 3 2" xfId="1573" xr:uid="{00000000-0005-0000-0000-000046990000}"/>
    <cellStyle name="Percentuale 44 3 3" xfId="20063" xr:uid="{00000000-0005-0000-0000-000047990000}"/>
    <cellStyle name="Percentuale 44 3 3 2" xfId="21069" xr:uid="{00000000-0005-0000-0000-000048990000}"/>
    <cellStyle name="Percentuale 44 3 4" xfId="21068" xr:uid="{00000000-0005-0000-0000-000049990000}"/>
    <cellStyle name="Percentuale 44 3 5" xfId="20062" xr:uid="{00000000-0005-0000-0000-00004A990000}"/>
    <cellStyle name="Percentuale 44 4" xfId="1574" xr:uid="{00000000-0005-0000-0000-00004B990000}"/>
    <cellStyle name="Percentuale 44 4 2" xfId="20065" xr:uid="{00000000-0005-0000-0000-00004C990000}"/>
    <cellStyle name="Percentuale 44 4 2 2" xfId="21071" xr:uid="{00000000-0005-0000-0000-00004D990000}"/>
    <cellStyle name="Percentuale 44 4 3" xfId="21070" xr:uid="{00000000-0005-0000-0000-00004E990000}"/>
    <cellStyle name="Percentuale 44 4 4" xfId="20064" xr:uid="{00000000-0005-0000-0000-00004F990000}"/>
    <cellStyle name="Percentuale 44 4 5" xfId="11880" xr:uid="{00000000-0005-0000-0000-000050990000}"/>
    <cellStyle name="Percentuale 44 5" xfId="1575" xr:uid="{00000000-0005-0000-0000-000051990000}"/>
    <cellStyle name="Percentuale 44 5 2" xfId="11881" xr:uid="{00000000-0005-0000-0000-000052990000}"/>
    <cellStyle name="Percentuale 44 6" xfId="1576" xr:uid="{00000000-0005-0000-0000-000053990000}"/>
    <cellStyle name="Percentuale 44 6 2" xfId="21866" xr:uid="{00000000-0005-0000-0000-000054990000}"/>
    <cellStyle name="Percentuale 45" xfId="1577" xr:uid="{00000000-0005-0000-0000-000055990000}"/>
    <cellStyle name="Percentuale 45 2" xfId="1578" xr:uid="{00000000-0005-0000-0000-000056990000}"/>
    <cellStyle name="Percentuale 45 2 2" xfId="3780" xr:uid="{00000000-0005-0000-0000-000057990000}"/>
    <cellStyle name="Percentuale 45 3" xfId="1579" xr:uid="{00000000-0005-0000-0000-000058990000}"/>
    <cellStyle name="Percentuale 45 3 2" xfId="1580" xr:uid="{00000000-0005-0000-0000-000059990000}"/>
    <cellStyle name="Percentuale 45 3 3" xfId="20067" xr:uid="{00000000-0005-0000-0000-00005A990000}"/>
    <cellStyle name="Percentuale 45 3 3 2" xfId="21073" xr:uid="{00000000-0005-0000-0000-00005B990000}"/>
    <cellStyle name="Percentuale 45 3 4" xfId="21072" xr:uid="{00000000-0005-0000-0000-00005C990000}"/>
    <cellStyle name="Percentuale 45 3 5" xfId="20066" xr:uid="{00000000-0005-0000-0000-00005D990000}"/>
    <cellStyle name="Percentuale 45 4" xfId="1581" xr:uid="{00000000-0005-0000-0000-00005E990000}"/>
    <cellStyle name="Percentuale 45 4 2" xfId="20069" xr:uid="{00000000-0005-0000-0000-00005F990000}"/>
    <cellStyle name="Percentuale 45 4 2 2" xfId="21075" xr:uid="{00000000-0005-0000-0000-000060990000}"/>
    <cellStyle name="Percentuale 45 4 3" xfId="21074" xr:uid="{00000000-0005-0000-0000-000061990000}"/>
    <cellStyle name="Percentuale 45 4 4" xfId="20068" xr:uid="{00000000-0005-0000-0000-000062990000}"/>
    <cellStyle name="Percentuale 45 4 5" xfId="11882" xr:uid="{00000000-0005-0000-0000-000063990000}"/>
    <cellStyle name="Percentuale 45 5" xfId="1582" xr:uid="{00000000-0005-0000-0000-000064990000}"/>
    <cellStyle name="Percentuale 45 5 2" xfId="11883" xr:uid="{00000000-0005-0000-0000-000065990000}"/>
    <cellStyle name="Percentuale 45 6" xfId="1583" xr:uid="{00000000-0005-0000-0000-000066990000}"/>
    <cellStyle name="Percentuale 45 6 2" xfId="21867" xr:uid="{00000000-0005-0000-0000-000067990000}"/>
    <cellStyle name="Percentuale 46" xfId="1584" xr:uid="{00000000-0005-0000-0000-000068990000}"/>
    <cellStyle name="Percentuale 46 2" xfId="1585" xr:uid="{00000000-0005-0000-0000-000069990000}"/>
    <cellStyle name="Percentuale 46 2 2" xfId="3781" xr:uid="{00000000-0005-0000-0000-00006A990000}"/>
    <cellStyle name="Percentuale 46 3" xfId="1586" xr:uid="{00000000-0005-0000-0000-00006B990000}"/>
    <cellStyle name="Percentuale 46 3 2" xfId="1587" xr:uid="{00000000-0005-0000-0000-00006C990000}"/>
    <cellStyle name="Percentuale 46 3 3" xfId="20071" xr:uid="{00000000-0005-0000-0000-00006D990000}"/>
    <cellStyle name="Percentuale 46 3 3 2" xfId="21077" xr:uid="{00000000-0005-0000-0000-00006E990000}"/>
    <cellStyle name="Percentuale 46 3 4" xfId="21076" xr:uid="{00000000-0005-0000-0000-00006F990000}"/>
    <cellStyle name="Percentuale 46 3 5" xfId="20070" xr:uid="{00000000-0005-0000-0000-000070990000}"/>
    <cellStyle name="Percentuale 46 4" xfId="1588" xr:uid="{00000000-0005-0000-0000-000071990000}"/>
    <cellStyle name="Percentuale 46 4 2" xfId="20073" xr:uid="{00000000-0005-0000-0000-000072990000}"/>
    <cellStyle name="Percentuale 46 4 2 2" xfId="21079" xr:uid="{00000000-0005-0000-0000-000073990000}"/>
    <cellStyle name="Percentuale 46 4 3" xfId="21078" xr:uid="{00000000-0005-0000-0000-000074990000}"/>
    <cellStyle name="Percentuale 46 4 4" xfId="20072" xr:uid="{00000000-0005-0000-0000-000075990000}"/>
    <cellStyle name="Percentuale 46 4 5" xfId="11884" xr:uid="{00000000-0005-0000-0000-000076990000}"/>
    <cellStyle name="Percentuale 46 5" xfId="1589" xr:uid="{00000000-0005-0000-0000-000077990000}"/>
    <cellStyle name="Percentuale 46 5 2" xfId="11885" xr:uid="{00000000-0005-0000-0000-000078990000}"/>
    <cellStyle name="Percentuale 46 6" xfId="1590" xr:uid="{00000000-0005-0000-0000-000079990000}"/>
    <cellStyle name="Percentuale 46 6 2" xfId="21868" xr:uid="{00000000-0005-0000-0000-00007A990000}"/>
    <cellStyle name="Percentuale 47" xfId="1591" xr:uid="{00000000-0005-0000-0000-00007B990000}"/>
    <cellStyle name="Percentuale 47 2" xfId="1592" xr:uid="{00000000-0005-0000-0000-00007C990000}"/>
    <cellStyle name="Percentuale 47 2 2" xfId="3782" xr:uid="{00000000-0005-0000-0000-00007D990000}"/>
    <cellStyle name="Percentuale 47 3" xfId="1593" xr:uid="{00000000-0005-0000-0000-00007E990000}"/>
    <cellStyle name="Percentuale 47 3 2" xfId="1594" xr:uid="{00000000-0005-0000-0000-00007F990000}"/>
    <cellStyle name="Percentuale 47 3 3" xfId="20075" xr:uid="{00000000-0005-0000-0000-000080990000}"/>
    <cellStyle name="Percentuale 47 3 3 2" xfId="21081" xr:uid="{00000000-0005-0000-0000-000081990000}"/>
    <cellStyle name="Percentuale 47 3 4" xfId="21080" xr:uid="{00000000-0005-0000-0000-000082990000}"/>
    <cellStyle name="Percentuale 47 3 5" xfId="20074" xr:uid="{00000000-0005-0000-0000-000083990000}"/>
    <cellStyle name="Percentuale 47 4" xfId="1595" xr:uid="{00000000-0005-0000-0000-000084990000}"/>
    <cellStyle name="Percentuale 47 4 2" xfId="20077" xr:uid="{00000000-0005-0000-0000-000085990000}"/>
    <cellStyle name="Percentuale 47 4 2 2" xfId="21083" xr:uid="{00000000-0005-0000-0000-000086990000}"/>
    <cellStyle name="Percentuale 47 4 3" xfId="21082" xr:uid="{00000000-0005-0000-0000-000087990000}"/>
    <cellStyle name="Percentuale 47 4 4" xfId="20076" xr:uid="{00000000-0005-0000-0000-000088990000}"/>
    <cellStyle name="Percentuale 47 4 5" xfId="11886" xr:uid="{00000000-0005-0000-0000-000089990000}"/>
    <cellStyle name="Percentuale 47 5" xfId="1596" xr:uid="{00000000-0005-0000-0000-00008A990000}"/>
    <cellStyle name="Percentuale 47 5 2" xfId="11887" xr:uid="{00000000-0005-0000-0000-00008B990000}"/>
    <cellStyle name="Percentuale 47 6" xfId="1597" xr:uid="{00000000-0005-0000-0000-00008C990000}"/>
    <cellStyle name="Percentuale 47 6 2" xfId="21869" xr:uid="{00000000-0005-0000-0000-00008D990000}"/>
    <cellStyle name="Percentuale 48" xfId="1598" xr:uid="{00000000-0005-0000-0000-00008E990000}"/>
    <cellStyle name="Percentuale 48 2" xfId="1599" xr:uid="{00000000-0005-0000-0000-00008F990000}"/>
    <cellStyle name="Percentuale 48 2 2" xfId="3783" xr:uid="{00000000-0005-0000-0000-000090990000}"/>
    <cellStyle name="Percentuale 48 3" xfId="1600" xr:uid="{00000000-0005-0000-0000-000091990000}"/>
    <cellStyle name="Percentuale 48 3 2" xfId="1601" xr:uid="{00000000-0005-0000-0000-000092990000}"/>
    <cellStyle name="Percentuale 48 3 3" xfId="20079" xr:uid="{00000000-0005-0000-0000-000093990000}"/>
    <cellStyle name="Percentuale 48 3 3 2" xfId="21085" xr:uid="{00000000-0005-0000-0000-000094990000}"/>
    <cellStyle name="Percentuale 48 3 4" xfId="21084" xr:uid="{00000000-0005-0000-0000-000095990000}"/>
    <cellStyle name="Percentuale 48 3 5" xfId="20078" xr:uid="{00000000-0005-0000-0000-000096990000}"/>
    <cellStyle name="Percentuale 48 4" xfId="1602" xr:uid="{00000000-0005-0000-0000-000097990000}"/>
    <cellStyle name="Percentuale 48 4 2" xfId="20081" xr:uid="{00000000-0005-0000-0000-000098990000}"/>
    <cellStyle name="Percentuale 48 4 2 2" xfId="21087" xr:uid="{00000000-0005-0000-0000-000099990000}"/>
    <cellStyle name="Percentuale 48 4 3" xfId="21086" xr:uid="{00000000-0005-0000-0000-00009A990000}"/>
    <cellStyle name="Percentuale 48 4 4" xfId="20080" xr:uid="{00000000-0005-0000-0000-00009B990000}"/>
    <cellStyle name="Percentuale 48 4 5" xfId="11888" xr:uid="{00000000-0005-0000-0000-00009C990000}"/>
    <cellStyle name="Percentuale 48 5" xfId="1603" xr:uid="{00000000-0005-0000-0000-00009D990000}"/>
    <cellStyle name="Percentuale 48 5 2" xfId="11889" xr:uid="{00000000-0005-0000-0000-00009E990000}"/>
    <cellStyle name="Percentuale 48 6" xfId="1604" xr:uid="{00000000-0005-0000-0000-00009F990000}"/>
    <cellStyle name="Percentuale 48 6 2" xfId="21870" xr:uid="{00000000-0005-0000-0000-0000A0990000}"/>
    <cellStyle name="Percentuale 49" xfId="1605" xr:uid="{00000000-0005-0000-0000-0000A1990000}"/>
    <cellStyle name="Percentuale 49 2" xfId="1606" xr:uid="{00000000-0005-0000-0000-0000A2990000}"/>
    <cellStyle name="Percentuale 49 2 2" xfId="3784" xr:uid="{00000000-0005-0000-0000-0000A3990000}"/>
    <cellStyle name="Percentuale 49 3" xfId="1607" xr:uid="{00000000-0005-0000-0000-0000A4990000}"/>
    <cellStyle name="Percentuale 49 3 2" xfId="1608" xr:uid="{00000000-0005-0000-0000-0000A5990000}"/>
    <cellStyle name="Percentuale 49 3 3" xfId="20083" xr:uid="{00000000-0005-0000-0000-0000A6990000}"/>
    <cellStyle name="Percentuale 49 3 3 2" xfId="21089" xr:uid="{00000000-0005-0000-0000-0000A7990000}"/>
    <cellStyle name="Percentuale 49 3 4" xfId="21088" xr:uid="{00000000-0005-0000-0000-0000A8990000}"/>
    <cellStyle name="Percentuale 49 3 5" xfId="20082" xr:uid="{00000000-0005-0000-0000-0000A9990000}"/>
    <cellStyle name="Percentuale 49 4" xfId="1609" xr:uid="{00000000-0005-0000-0000-0000AA990000}"/>
    <cellStyle name="Percentuale 49 4 2" xfId="20085" xr:uid="{00000000-0005-0000-0000-0000AB990000}"/>
    <cellStyle name="Percentuale 49 4 2 2" xfId="21091" xr:uid="{00000000-0005-0000-0000-0000AC990000}"/>
    <cellStyle name="Percentuale 49 4 3" xfId="21090" xr:uid="{00000000-0005-0000-0000-0000AD990000}"/>
    <cellStyle name="Percentuale 49 4 4" xfId="20084" xr:uid="{00000000-0005-0000-0000-0000AE990000}"/>
    <cellStyle name="Percentuale 49 4 5" xfId="11890" xr:uid="{00000000-0005-0000-0000-0000AF990000}"/>
    <cellStyle name="Percentuale 49 5" xfId="1610" xr:uid="{00000000-0005-0000-0000-0000B0990000}"/>
    <cellStyle name="Percentuale 49 5 2" xfId="11891" xr:uid="{00000000-0005-0000-0000-0000B1990000}"/>
    <cellStyle name="Percentuale 49 6" xfId="1611" xr:uid="{00000000-0005-0000-0000-0000B2990000}"/>
    <cellStyle name="Percentuale 49 6 2" xfId="21871" xr:uid="{00000000-0005-0000-0000-0000B3990000}"/>
    <cellStyle name="Percentuale 5" xfId="1612" xr:uid="{00000000-0005-0000-0000-0000B4990000}"/>
    <cellStyle name="Percentuale 5 2" xfId="1613" xr:uid="{00000000-0005-0000-0000-0000B5990000}"/>
    <cellStyle name="Percentuale 5 2 2" xfId="3785" xr:uid="{00000000-0005-0000-0000-0000B6990000}"/>
    <cellStyle name="Percentuale 5 3" xfId="1614" xr:uid="{00000000-0005-0000-0000-0000B7990000}"/>
    <cellStyle name="Percentuale 5 3 2" xfId="1615" xr:uid="{00000000-0005-0000-0000-0000B8990000}"/>
    <cellStyle name="Percentuale 5 3 3" xfId="20087" xr:uid="{00000000-0005-0000-0000-0000B9990000}"/>
    <cellStyle name="Percentuale 5 3 3 2" xfId="21093" xr:uid="{00000000-0005-0000-0000-0000BA990000}"/>
    <cellStyle name="Percentuale 5 3 4" xfId="21092" xr:uid="{00000000-0005-0000-0000-0000BB990000}"/>
    <cellStyle name="Percentuale 5 3 5" xfId="20086" xr:uid="{00000000-0005-0000-0000-0000BC990000}"/>
    <cellStyle name="Percentuale 5 4" xfId="1616" xr:uid="{00000000-0005-0000-0000-0000BD990000}"/>
    <cellStyle name="Percentuale 5 4 2" xfId="20089" xr:uid="{00000000-0005-0000-0000-0000BE990000}"/>
    <cellStyle name="Percentuale 5 4 2 2" xfId="21095" xr:uid="{00000000-0005-0000-0000-0000BF990000}"/>
    <cellStyle name="Percentuale 5 4 3" xfId="21094" xr:uid="{00000000-0005-0000-0000-0000C0990000}"/>
    <cellStyle name="Percentuale 5 4 4" xfId="20088" xr:uid="{00000000-0005-0000-0000-0000C1990000}"/>
    <cellStyle name="Percentuale 5 4 5" xfId="11892" xr:uid="{00000000-0005-0000-0000-0000C2990000}"/>
    <cellStyle name="Percentuale 5 5" xfId="1617" xr:uid="{00000000-0005-0000-0000-0000C3990000}"/>
    <cellStyle name="Percentuale 5 5 2" xfId="11893" xr:uid="{00000000-0005-0000-0000-0000C4990000}"/>
    <cellStyle name="Percentuale 5 6" xfId="1618" xr:uid="{00000000-0005-0000-0000-0000C5990000}"/>
    <cellStyle name="Percentuale 5 6 2" xfId="21872" xr:uid="{00000000-0005-0000-0000-0000C6990000}"/>
    <cellStyle name="Percentuale 50" xfId="1619" xr:uid="{00000000-0005-0000-0000-0000C7990000}"/>
    <cellStyle name="Percentuale 50 2" xfId="1620" xr:uid="{00000000-0005-0000-0000-0000C8990000}"/>
    <cellStyle name="Percentuale 50 2 2" xfId="3786" xr:uid="{00000000-0005-0000-0000-0000C9990000}"/>
    <cellStyle name="Percentuale 50 3" xfId="1621" xr:uid="{00000000-0005-0000-0000-0000CA990000}"/>
    <cellStyle name="Percentuale 50 3 2" xfId="1622" xr:uid="{00000000-0005-0000-0000-0000CB990000}"/>
    <cellStyle name="Percentuale 50 3 3" xfId="20091" xr:uid="{00000000-0005-0000-0000-0000CC990000}"/>
    <cellStyle name="Percentuale 50 3 3 2" xfId="21097" xr:uid="{00000000-0005-0000-0000-0000CD990000}"/>
    <cellStyle name="Percentuale 50 3 4" xfId="21096" xr:uid="{00000000-0005-0000-0000-0000CE990000}"/>
    <cellStyle name="Percentuale 50 3 5" xfId="20090" xr:uid="{00000000-0005-0000-0000-0000CF990000}"/>
    <cellStyle name="Percentuale 50 4" xfId="1623" xr:uid="{00000000-0005-0000-0000-0000D0990000}"/>
    <cellStyle name="Percentuale 50 4 2" xfId="20093" xr:uid="{00000000-0005-0000-0000-0000D1990000}"/>
    <cellStyle name="Percentuale 50 4 2 2" xfId="21099" xr:uid="{00000000-0005-0000-0000-0000D2990000}"/>
    <cellStyle name="Percentuale 50 4 3" xfId="21098" xr:uid="{00000000-0005-0000-0000-0000D3990000}"/>
    <cellStyle name="Percentuale 50 4 4" xfId="20092" xr:uid="{00000000-0005-0000-0000-0000D4990000}"/>
    <cellStyle name="Percentuale 50 4 5" xfId="11894" xr:uid="{00000000-0005-0000-0000-0000D5990000}"/>
    <cellStyle name="Percentuale 50 5" xfId="1624" xr:uid="{00000000-0005-0000-0000-0000D6990000}"/>
    <cellStyle name="Percentuale 50 5 2" xfId="11895" xr:uid="{00000000-0005-0000-0000-0000D7990000}"/>
    <cellStyle name="Percentuale 50 6" xfId="1625" xr:uid="{00000000-0005-0000-0000-0000D8990000}"/>
    <cellStyle name="Percentuale 50 6 2" xfId="21873" xr:uid="{00000000-0005-0000-0000-0000D9990000}"/>
    <cellStyle name="Percentuale 51" xfId="1626" xr:uid="{00000000-0005-0000-0000-0000DA990000}"/>
    <cellStyle name="Percentuale 51 2" xfId="1627" xr:uid="{00000000-0005-0000-0000-0000DB990000}"/>
    <cellStyle name="Percentuale 51 2 2" xfId="3787" xr:uid="{00000000-0005-0000-0000-0000DC990000}"/>
    <cellStyle name="Percentuale 51 3" xfId="1628" xr:uid="{00000000-0005-0000-0000-0000DD990000}"/>
    <cellStyle name="Percentuale 51 3 2" xfId="1629" xr:uid="{00000000-0005-0000-0000-0000DE990000}"/>
    <cellStyle name="Percentuale 51 3 3" xfId="20095" xr:uid="{00000000-0005-0000-0000-0000DF990000}"/>
    <cellStyle name="Percentuale 51 3 3 2" xfId="21101" xr:uid="{00000000-0005-0000-0000-0000E0990000}"/>
    <cellStyle name="Percentuale 51 3 4" xfId="21100" xr:uid="{00000000-0005-0000-0000-0000E1990000}"/>
    <cellStyle name="Percentuale 51 3 5" xfId="20094" xr:uid="{00000000-0005-0000-0000-0000E2990000}"/>
    <cellStyle name="Percentuale 51 4" xfId="1630" xr:uid="{00000000-0005-0000-0000-0000E3990000}"/>
    <cellStyle name="Percentuale 51 4 2" xfId="20097" xr:uid="{00000000-0005-0000-0000-0000E4990000}"/>
    <cellStyle name="Percentuale 51 4 2 2" xfId="21103" xr:uid="{00000000-0005-0000-0000-0000E5990000}"/>
    <cellStyle name="Percentuale 51 4 3" xfId="21102" xr:uid="{00000000-0005-0000-0000-0000E6990000}"/>
    <cellStyle name="Percentuale 51 4 4" xfId="20096" xr:uid="{00000000-0005-0000-0000-0000E7990000}"/>
    <cellStyle name="Percentuale 51 4 5" xfId="11896" xr:uid="{00000000-0005-0000-0000-0000E8990000}"/>
    <cellStyle name="Percentuale 51 5" xfId="1631" xr:uid="{00000000-0005-0000-0000-0000E9990000}"/>
    <cellStyle name="Percentuale 51 5 2" xfId="11897" xr:uid="{00000000-0005-0000-0000-0000EA990000}"/>
    <cellStyle name="Percentuale 51 6" xfId="1632" xr:uid="{00000000-0005-0000-0000-0000EB990000}"/>
    <cellStyle name="Percentuale 51 6 2" xfId="21874" xr:uid="{00000000-0005-0000-0000-0000EC990000}"/>
    <cellStyle name="Percentuale 52" xfId="1633" xr:uid="{00000000-0005-0000-0000-0000ED990000}"/>
    <cellStyle name="Percentuale 52 2" xfId="1634" xr:uid="{00000000-0005-0000-0000-0000EE990000}"/>
    <cellStyle name="Percentuale 52 2 2" xfId="3788" xr:uid="{00000000-0005-0000-0000-0000EF990000}"/>
    <cellStyle name="Percentuale 52 3" xfId="1635" xr:uid="{00000000-0005-0000-0000-0000F0990000}"/>
    <cellStyle name="Percentuale 52 3 2" xfId="1636" xr:uid="{00000000-0005-0000-0000-0000F1990000}"/>
    <cellStyle name="Percentuale 52 3 3" xfId="20099" xr:uid="{00000000-0005-0000-0000-0000F2990000}"/>
    <cellStyle name="Percentuale 52 3 3 2" xfId="21105" xr:uid="{00000000-0005-0000-0000-0000F3990000}"/>
    <cellStyle name="Percentuale 52 3 4" xfId="21104" xr:uid="{00000000-0005-0000-0000-0000F4990000}"/>
    <cellStyle name="Percentuale 52 3 5" xfId="20098" xr:uid="{00000000-0005-0000-0000-0000F5990000}"/>
    <cellStyle name="Percentuale 52 4" xfId="1637" xr:uid="{00000000-0005-0000-0000-0000F6990000}"/>
    <cellStyle name="Percentuale 52 4 2" xfId="20101" xr:uid="{00000000-0005-0000-0000-0000F7990000}"/>
    <cellStyle name="Percentuale 52 4 2 2" xfId="21107" xr:uid="{00000000-0005-0000-0000-0000F8990000}"/>
    <cellStyle name="Percentuale 52 4 3" xfId="21106" xr:uid="{00000000-0005-0000-0000-0000F9990000}"/>
    <cellStyle name="Percentuale 52 4 4" xfId="20100" xr:uid="{00000000-0005-0000-0000-0000FA990000}"/>
    <cellStyle name="Percentuale 52 4 5" xfId="11898" xr:uid="{00000000-0005-0000-0000-0000FB990000}"/>
    <cellStyle name="Percentuale 52 5" xfId="1638" xr:uid="{00000000-0005-0000-0000-0000FC990000}"/>
    <cellStyle name="Percentuale 52 5 2" xfId="11899" xr:uid="{00000000-0005-0000-0000-0000FD990000}"/>
    <cellStyle name="Percentuale 52 6" xfId="1639" xr:uid="{00000000-0005-0000-0000-0000FE990000}"/>
    <cellStyle name="Percentuale 52 6 2" xfId="21875" xr:uid="{00000000-0005-0000-0000-0000FF990000}"/>
    <cellStyle name="Percentuale 53" xfId="1640" xr:uid="{00000000-0005-0000-0000-0000009A0000}"/>
    <cellStyle name="Percentuale 53 2" xfId="1641" xr:uid="{00000000-0005-0000-0000-0000019A0000}"/>
    <cellStyle name="Percentuale 53 2 2" xfId="3789" xr:uid="{00000000-0005-0000-0000-0000029A0000}"/>
    <cellStyle name="Percentuale 53 3" xfId="1642" xr:uid="{00000000-0005-0000-0000-0000039A0000}"/>
    <cellStyle name="Percentuale 53 3 2" xfId="1643" xr:uid="{00000000-0005-0000-0000-0000049A0000}"/>
    <cellStyle name="Percentuale 53 3 3" xfId="20103" xr:uid="{00000000-0005-0000-0000-0000059A0000}"/>
    <cellStyle name="Percentuale 53 3 3 2" xfId="21109" xr:uid="{00000000-0005-0000-0000-0000069A0000}"/>
    <cellStyle name="Percentuale 53 3 4" xfId="21108" xr:uid="{00000000-0005-0000-0000-0000079A0000}"/>
    <cellStyle name="Percentuale 53 3 5" xfId="20102" xr:uid="{00000000-0005-0000-0000-0000089A0000}"/>
    <cellStyle name="Percentuale 53 4" xfId="1644" xr:uid="{00000000-0005-0000-0000-0000099A0000}"/>
    <cellStyle name="Percentuale 53 4 2" xfId="20105" xr:uid="{00000000-0005-0000-0000-00000A9A0000}"/>
    <cellStyle name="Percentuale 53 4 2 2" xfId="21111" xr:uid="{00000000-0005-0000-0000-00000B9A0000}"/>
    <cellStyle name="Percentuale 53 4 3" xfId="21110" xr:uid="{00000000-0005-0000-0000-00000C9A0000}"/>
    <cellStyle name="Percentuale 53 4 4" xfId="20104" xr:uid="{00000000-0005-0000-0000-00000D9A0000}"/>
    <cellStyle name="Percentuale 53 4 5" xfId="11900" xr:uid="{00000000-0005-0000-0000-00000E9A0000}"/>
    <cellStyle name="Percentuale 53 5" xfId="1645" xr:uid="{00000000-0005-0000-0000-00000F9A0000}"/>
    <cellStyle name="Percentuale 53 5 2" xfId="11901" xr:uid="{00000000-0005-0000-0000-0000109A0000}"/>
    <cellStyle name="Percentuale 53 6" xfId="1646" xr:uid="{00000000-0005-0000-0000-0000119A0000}"/>
    <cellStyle name="Percentuale 53 6 2" xfId="21876" xr:uid="{00000000-0005-0000-0000-0000129A0000}"/>
    <cellStyle name="Percentuale 54" xfId="1647" xr:uid="{00000000-0005-0000-0000-0000139A0000}"/>
    <cellStyle name="Percentuale 54 2" xfId="1648" xr:uid="{00000000-0005-0000-0000-0000149A0000}"/>
    <cellStyle name="Percentuale 54 2 2" xfId="3790" xr:uid="{00000000-0005-0000-0000-0000159A0000}"/>
    <cellStyle name="Percentuale 54 3" xfId="1649" xr:uid="{00000000-0005-0000-0000-0000169A0000}"/>
    <cellStyle name="Percentuale 54 3 2" xfId="1650" xr:uid="{00000000-0005-0000-0000-0000179A0000}"/>
    <cellStyle name="Percentuale 54 3 3" xfId="20107" xr:uid="{00000000-0005-0000-0000-0000189A0000}"/>
    <cellStyle name="Percentuale 54 3 3 2" xfId="21113" xr:uid="{00000000-0005-0000-0000-0000199A0000}"/>
    <cellStyle name="Percentuale 54 3 4" xfId="21112" xr:uid="{00000000-0005-0000-0000-00001A9A0000}"/>
    <cellStyle name="Percentuale 54 3 5" xfId="20106" xr:uid="{00000000-0005-0000-0000-00001B9A0000}"/>
    <cellStyle name="Percentuale 54 4" xfId="1651" xr:uid="{00000000-0005-0000-0000-00001C9A0000}"/>
    <cellStyle name="Percentuale 54 4 2" xfId="20109" xr:uid="{00000000-0005-0000-0000-00001D9A0000}"/>
    <cellStyle name="Percentuale 54 4 2 2" xfId="21115" xr:uid="{00000000-0005-0000-0000-00001E9A0000}"/>
    <cellStyle name="Percentuale 54 4 3" xfId="21114" xr:uid="{00000000-0005-0000-0000-00001F9A0000}"/>
    <cellStyle name="Percentuale 54 4 4" xfId="20108" xr:uid="{00000000-0005-0000-0000-0000209A0000}"/>
    <cellStyle name="Percentuale 54 4 5" xfId="11902" xr:uid="{00000000-0005-0000-0000-0000219A0000}"/>
    <cellStyle name="Percentuale 54 5" xfId="1652" xr:uid="{00000000-0005-0000-0000-0000229A0000}"/>
    <cellStyle name="Percentuale 54 5 2" xfId="11903" xr:uid="{00000000-0005-0000-0000-0000239A0000}"/>
    <cellStyle name="Percentuale 54 6" xfId="1653" xr:uid="{00000000-0005-0000-0000-0000249A0000}"/>
    <cellStyle name="Percentuale 54 6 2" xfId="21877" xr:uid="{00000000-0005-0000-0000-0000259A0000}"/>
    <cellStyle name="Percentuale 55" xfId="1654" xr:uid="{00000000-0005-0000-0000-0000269A0000}"/>
    <cellStyle name="Percentuale 55 2" xfId="1655" xr:uid="{00000000-0005-0000-0000-0000279A0000}"/>
    <cellStyle name="Percentuale 55 2 2" xfId="3791" xr:uid="{00000000-0005-0000-0000-0000289A0000}"/>
    <cellStyle name="Percentuale 55 3" xfId="1656" xr:uid="{00000000-0005-0000-0000-0000299A0000}"/>
    <cellStyle name="Percentuale 55 3 2" xfId="1657" xr:uid="{00000000-0005-0000-0000-00002A9A0000}"/>
    <cellStyle name="Percentuale 55 3 3" xfId="20111" xr:uid="{00000000-0005-0000-0000-00002B9A0000}"/>
    <cellStyle name="Percentuale 55 3 3 2" xfId="21117" xr:uid="{00000000-0005-0000-0000-00002C9A0000}"/>
    <cellStyle name="Percentuale 55 3 4" xfId="21116" xr:uid="{00000000-0005-0000-0000-00002D9A0000}"/>
    <cellStyle name="Percentuale 55 3 5" xfId="20110" xr:uid="{00000000-0005-0000-0000-00002E9A0000}"/>
    <cellStyle name="Percentuale 55 4" xfId="1658" xr:uid="{00000000-0005-0000-0000-00002F9A0000}"/>
    <cellStyle name="Percentuale 55 4 2" xfId="20113" xr:uid="{00000000-0005-0000-0000-0000309A0000}"/>
    <cellStyle name="Percentuale 55 4 2 2" xfId="21119" xr:uid="{00000000-0005-0000-0000-0000319A0000}"/>
    <cellStyle name="Percentuale 55 4 3" xfId="21118" xr:uid="{00000000-0005-0000-0000-0000329A0000}"/>
    <cellStyle name="Percentuale 55 4 4" xfId="20112" xr:uid="{00000000-0005-0000-0000-0000339A0000}"/>
    <cellStyle name="Percentuale 55 4 5" xfId="11904" xr:uid="{00000000-0005-0000-0000-0000349A0000}"/>
    <cellStyle name="Percentuale 55 5" xfId="1659" xr:uid="{00000000-0005-0000-0000-0000359A0000}"/>
    <cellStyle name="Percentuale 55 5 2" xfId="11905" xr:uid="{00000000-0005-0000-0000-0000369A0000}"/>
    <cellStyle name="Percentuale 55 6" xfId="1660" xr:uid="{00000000-0005-0000-0000-0000379A0000}"/>
    <cellStyle name="Percentuale 55 6 2" xfId="21878" xr:uid="{00000000-0005-0000-0000-0000389A0000}"/>
    <cellStyle name="Percentuale 56" xfId="1661" xr:uid="{00000000-0005-0000-0000-0000399A0000}"/>
    <cellStyle name="Percentuale 56 2" xfId="1662" xr:uid="{00000000-0005-0000-0000-00003A9A0000}"/>
    <cellStyle name="Percentuale 56 2 2" xfId="3792" xr:uid="{00000000-0005-0000-0000-00003B9A0000}"/>
    <cellStyle name="Percentuale 56 3" xfId="1663" xr:uid="{00000000-0005-0000-0000-00003C9A0000}"/>
    <cellStyle name="Percentuale 56 3 2" xfId="1664" xr:uid="{00000000-0005-0000-0000-00003D9A0000}"/>
    <cellStyle name="Percentuale 56 3 3" xfId="20115" xr:uid="{00000000-0005-0000-0000-00003E9A0000}"/>
    <cellStyle name="Percentuale 56 3 3 2" xfId="21121" xr:uid="{00000000-0005-0000-0000-00003F9A0000}"/>
    <cellStyle name="Percentuale 56 3 4" xfId="21120" xr:uid="{00000000-0005-0000-0000-0000409A0000}"/>
    <cellStyle name="Percentuale 56 3 5" xfId="20114" xr:uid="{00000000-0005-0000-0000-0000419A0000}"/>
    <cellStyle name="Percentuale 56 4" xfId="1665" xr:uid="{00000000-0005-0000-0000-0000429A0000}"/>
    <cellStyle name="Percentuale 56 4 2" xfId="20117" xr:uid="{00000000-0005-0000-0000-0000439A0000}"/>
    <cellStyle name="Percentuale 56 4 2 2" xfId="21123" xr:uid="{00000000-0005-0000-0000-0000449A0000}"/>
    <cellStyle name="Percentuale 56 4 3" xfId="21122" xr:uid="{00000000-0005-0000-0000-0000459A0000}"/>
    <cellStyle name="Percentuale 56 4 4" xfId="20116" xr:uid="{00000000-0005-0000-0000-0000469A0000}"/>
    <cellStyle name="Percentuale 56 4 5" xfId="11906" xr:uid="{00000000-0005-0000-0000-0000479A0000}"/>
    <cellStyle name="Percentuale 56 5" xfId="1666" xr:uid="{00000000-0005-0000-0000-0000489A0000}"/>
    <cellStyle name="Percentuale 56 5 2" xfId="11907" xr:uid="{00000000-0005-0000-0000-0000499A0000}"/>
    <cellStyle name="Percentuale 56 6" xfId="1667" xr:uid="{00000000-0005-0000-0000-00004A9A0000}"/>
    <cellStyle name="Percentuale 56 6 2" xfId="21879" xr:uid="{00000000-0005-0000-0000-00004B9A0000}"/>
    <cellStyle name="Percentuale 57" xfId="1668" xr:uid="{00000000-0005-0000-0000-00004C9A0000}"/>
    <cellStyle name="Percentuale 57 2" xfId="1669" xr:uid="{00000000-0005-0000-0000-00004D9A0000}"/>
    <cellStyle name="Percentuale 57 2 2" xfId="3793" xr:uid="{00000000-0005-0000-0000-00004E9A0000}"/>
    <cellStyle name="Percentuale 57 3" xfId="1670" xr:uid="{00000000-0005-0000-0000-00004F9A0000}"/>
    <cellStyle name="Percentuale 57 3 2" xfId="1671" xr:uid="{00000000-0005-0000-0000-0000509A0000}"/>
    <cellStyle name="Percentuale 57 3 3" xfId="20119" xr:uid="{00000000-0005-0000-0000-0000519A0000}"/>
    <cellStyle name="Percentuale 57 3 3 2" xfId="21125" xr:uid="{00000000-0005-0000-0000-0000529A0000}"/>
    <cellStyle name="Percentuale 57 3 4" xfId="21124" xr:uid="{00000000-0005-0000-0000-0000539A0000}"/>
    <cellStyle name="Percentuale 57 3 5" xfId="20118" xr:uid="{00000000-0005-0000-0000-0000549A0000}"/>
    <cellStyle name="Percentuale 57 4" xfId="1672" xr:uid="{00000000-0005-0000-0000-0000559A0000}"/>
    <cellStyle name="Percentuale 57 4 2" xfId="20121" xr:uid="{00000000-0005-0000-0000-0000569A0000}"/>
    <cellStyle name="Percentuale 57 4 2 2" xfId="21127" xr:uid="{00000000-0005-0000-0000-0000579A0000}"/>
    <cellStyle name="Percentuale 57 4 3" xfId="21126" xr:uid="{00000000-0005-0000-0000-0000589A0000}"/>
    <cellStyle name="Percentuale 57 4 4" xfId="20120" xr:uid="{00000000-0005-0000-0000-0000599A0000}"/>
    <cellStyle name="Percentuale 57 4 5" xfId="11908" xr:uid="{00000000-0005-0000-0000-00005A9A0000}"/>
    <cellStyle name="Percentuale 57 5" xfId="1673" xr:uid="{00000000-0005-0000-0000-00005B9A0000}"/>
    <cellStyle name="Percentuale 57 5 2" xfId="11909" xr:uid="{00000000-0005-0000-0000-00005C9A0000}"/>
    <cellStyle name="Percentuale 57 6" xfId="1674" xr:uid="{00000000-0005-0000-0000-00005D9A0000}"/>
    <cellStyle name="Percentuale 57 6 2" xfId="21880" xr:uid="{00000000-0005-0000-0000-00005E9A0000}"/>
    <cellStyle name="Percentuale 58" xfId="1675" xr:uid="{00000000-0005-0000-0000-00005F9A0000}"/>
    <cellStyle name="Percentuale 58 2" xfId="1676" xr:uid="{00000000-0005-0000-0000-0000609A0000}"/>
    <cellStyle name="Percentuale 58 2 2" xfId="3794" xr:uid="{00000000-0005-0000-0000-0000619A0000}"/>
    <cellStyle name="Percentuale 58 3" xfId="1677" xr:uid="{00000000-0005-0000-0000-0000629A0000}"/>
    <cellStyle name="Percentuale 58 3 2" xfId="1678" xr:uid="{00000000-0005-0000-0000-0000639A0000}"/>
    <cellStyle name="Percentuale 58 3 3" xfId="20123" xr:uid="{00000000-0005-0000-0000-0000649A0000}"/>
    <cellStyle name="Percentuale 58 3 3 2" xfId="21129" xr:uid="{00000000-0005-0000-0000-0000659A0000}"/>
    <cellStyle name="Percentuale 58 3 4" xfId="21128" xr:uid="{00000000-0005-0000-0000-0000669A0000}"/>
    <cellStyle name="Percentuale 58 3 5" xfId="20122" xr:uid="{00000000-0005-0000-0000-0000679A0000}"/>
    <cellStyle name="Percentuale 58 4" xfId="1679" xr:uid="{00000000-0005-0000-0000-0000689A0000}"/>
    <cellStyle name="Percentuale 58 4 2" xfId="20125" xr:uid="{00000000-0005-0000-0000-0000699A0000}"/>
    <cellStyle name="Percentuale 58 4 2 2" xfId="21131" xr:uid="{00000000-0005-0000-0000-00006A9A0000}"/>
    <cellStyle name="Percentuale 58 4 3" xfId="21130" xr:uid="{00000000-0005-0000-0000-00006B9A0000}"/>
    <cellStyle name="Percentuale 58 4 4" xfId="20124" xr:uid="{00000000-0005-0000-0000-00006C9A0000}"/>
    <cellStyle name="Percentuale 58 4 5" xfId="11910" xr:uid="{00000000-0005-0000-0000-00006D9A0000}"/>
    <cellStyle name="Percentuale 58 5" xfId="1680" xr:uid="{00000000-0005-0000-0000-00006E9A0000}"/>
    <cellStyle name="Percentuale 58 5 2" xfId="11911" xr:uid="{00000000-0005-0000-0000-00006F9A0000}"/>
    <cellStyle name="Percentuale 58 6" xfId="1681" xr:uid="{00000000-0005-0000-0000-0000709A0000}"/>
    <cellStyle name="Percentuale 58 6 2" xfId="21881" xr:uid="{00000000-0005-0000-0000-0000719A0000}"/>
    <cellStyle name="Percentuale 59" xfId="1682" xr:uid="{00000000-0005-0000-0000-0000729A0000}"/>
    <cellStyle name="Percentuale 59 2" xfId="1683" xr:uid="{00000000-0005-0000-0000-0000739A0000}"/>
    <cellStyle name="Percentuale 59 2 2" xfId="3795" xr:uid="{00000000-0005-0000-0000-0000749A0000}"/>
    <cellStyle name="Percentuale 59 3" xfId="1684" xr:uid="{00000000-0005-0000-0000-0000759A0000}"/>
    <cellStyle name="Percentuale 59 3 2" xfId="1685" xr:uid="{00000000-0005-0000-0000-0000769A0000}"/>
    <cellStyle name="Percentuale 59 3 3" xfId="20127" xr:uid="{00000000-0005-0000-0000-0000779A0000}"/>
    <cellStyle name="Percentuale 59 3 3 2" xfId="21133" xr:uid="{00000000-0005-0000-0000-0000789A0000}"/>
    <cellStyle name="Percentuale 59 3 4" xfId="21132" xr:uid="{00000000-0005-0000-0000-0000799A0000}"/>
    <cellStyle name="Percentuale 59 3 5" xfId="20126" xr:uid="{00000000-0005-0000-0000-00007A9A0000}"/>
    <cellStyle name="Percentuale 59 4" xfId="1686" xr:uid="{00000000-0005-0000-0000-00007B9A0000}"/>
    <cellStyle name="Percentuale 59 4 2" xfId="20129" xr:uid="{00000000-0005-0000-0000-00007C9A0000}"/>
    <cellStyle name="Percentuale 59 4 2 2" xfId="21135" xr:uid="{00000000-0005-0000-0000-00007D9A0000}"/>
    <cellStyle name="Percentuale 59 4 3" xfId="21134" xr:uid="{00000000-0005-0000-0000-00007E9A0000}"/>
    <cellStyle name="Percentuale 59 4 4" xfId="20128" xr:uid="{00000000-0005-0000-0000-00007F9A0000}"/>
    <cellStyle name="Percentuale 59 4 5" xfId="11912" xr:uid="{00000000-0005-0000-0000-0000809A0000}"/>
    <cellStyle name="Percentuale 59 5" xfId="1687" xr:uid="{00000000-0005-0000-0000-0000819A0000}"/>
    <cellStyle name="Percentuale 59 5 2" xfId="11913" xr:uid="{00000000-0005-0000-0000-0000829A0000}"/>
    <cellStyle name="Percentuale 59 6" xfId="1688" xr:uid="{00000000-0005-0000-0000-0000839A0000}"/>
    <cellStyle name="Percentuale 59 6 2" xfId="21882" xr:uid="{00000000-0005-0000-0000-0000849A0000}"/>
    <cellStyle name="Percentuale 6" xfId="1689" xr:uid="{00000000-0005-0000-0000-0000859A0000}"/>
    <cellStyle name="Percentuale 6 2" xfId="1690" xr:uid="{00000000-0005-0000-0000-0000869A0000}"/>
    <cellStyle name="Percentuale 6 2 2" xfId="3796" xr:uid="{00000000-0005-0000-0000-0000879A0000}"/>
    <cellStyle name="Percentuale 6 3" xfId="1691" xr:uid="{00000000-0005-0000-0000-0000889A0000}"/>
    <cellStyle name="Percentuale 6 3 2" xfId="1692" xr:uid="{00000000-0005-0000-0000-0000899A0000}"/>
    <cellStyle name="Percentuale 6 3 3" xfId="20132" xr:uid="{00000000-0005-0000-0000-00008A9A0000}"/>
    <cellStyle name="Percentuale 6 3 3 2" xfId="21137" xr:uid="{00000000-0005-0000-0000-00008B9A0000}"/>
    <cellStyle name="Percentuale 6 3 4" xfId="21136" xr:uid="{00000000-0005-0000-0000-00008C9A0000}"/>
    <cellStyle name="Percentuale 6 3 5" xfId="20130" xr:uid="{00000000-0005-0000-0000-00008D9A0000}"/>
    <cellStyle name="Percentuale 6 4" xfId="1693" xr:uid="{00000000-0005-0000-0000-00008E9A0000}"/>
    <cellStyle name="Percentuale 6 4 2" xfId="20134" xr:uid="{00000000-0005-0000-0000-00008F9A0000}"/>
    <cellStyle name="Percentuale 6 4 2 2" xfId="21139" xr:uid="{00000000-0005-0000-0000-0000909A0000}"/>
    <cellStyle name="Percentuale 6 4 3" xfId="21138" xr:uid="{00000000-0005-0000-0000-0000919A0000}"/>
    <cellStyle name="Percentuale 6 4 4" xfId="20133" xr:uid="{00000000-0005-0000-0000-0000929A0000}"/>
    <cellStyle name="Percentuale 6 4 5" xfId="11914" xr:uid="{00000000-0005-0000-0000-0000939A0000}"/>
    <cellStyle name="Percentuale 6 5" xfId="1694" xr:uid="{00000000-0005-0000-0000-0000949A0000}"/>
    <cellStyle name="Percentuale 6 5 2" xfId="11915" xr:uid="{00000000-0005-0000-0000-0000959A0000}"/>
    <cellStyle name="Percentuale 6 6" xfId="1695" xr:uid="{00000000-0005-0000-0000-0000969A0000}"/>
    <cellStyle name="Percentuale 6 6 2" xfId="21883" xr:uid="{00000000-0005-0000-0000-0000979A0000}"/>
    <cellStyle name="Percentuale 60" xfId="1696" xr:uid="{00000000-0005-0000-0000-0000989A0000}"/>
    <cellStyle name="Percentuale 60 2" xfId="1697" xr:uid="{00000000-0005-0000-0000-0000999A0000}"/>
    <cellStyle name="Percentuale 60 2 2" xfId="3797" xr:uid="{00000000-0005-0000-0000-00009A9A0000}"/>
    <cellStyle name="Percentuale 60 3" xfId="1698" xr:uid="{00000000-0005-0000-0000-00009B9A0000}"/>
    <cellStyle name="Percentuale 60 3 2" xfId="1699" xr:uid="{00000000-0005-0000-0000-00009C9A0000}"/>
    <cellStyle name="Percentuale 60 3 3" xfId="20136" xr:uid="{00000000-0005-0000-0000-00009D9A0000}"/>
    <cellStyle name="Percentuale 60 3 3 2" xfId="21141" xr:uid="{00000000-0005-0000-0000-00009E9A0000}"/>
    <cellStyle name="Percentuale 60 3 4" xfId="21140" xr:uid="{00000000-0005-0000-0000-00009F9A0000}"/>
    <cellStyle name="Percentuale 60 3 5" xfId="20135" xr:uid="{00000000-0005-0000-0000-0000A09A0000}"/>
    <cellStyle name="Percentuale 60 4" xfId="1700" xr:uid="{00000000-0005-0000-0000-0000A19A0000}"/>
    <cellStyle name="Percentuale 60 4 2" xfId="20138" xr:uid="{00000000-0005-0000-0000-0000A29A0000}"/>
    <cellStyle name="Percentuale 60 4 2 2" xfId="21143" xr:uid="{00000000-0005-0000-0000-0000A39A0000}"/>
    <cellStyle name="Percentuale 60 4 3" xfId="21142" xr:uid="{00000000-0005-0000-0000-0000A49A0000}"/>
    <cellStyle name="Percentuale 60 4 4" xfId="20137" xr:uid="{00000000-0005-0000-0000-0000A59A0000}"/>
    <cellStyle name="Percentuale 60 4 5" xfId="11916" xr:uid="{00000000-0005-0000-0000-0000A69A0000}"/>
    <cellStyle name="Percentuale 60 5" xfId="1701" xr:uid="{00000000-0005-0000-0000-0000A79A0000}"/>
    <cellStyle name="Percentuale 60 5 2" xfId="11917" xr:uid="{00000000-0005-0000-0000-0000A89A0000}"/>
    <cellStyle name="Percentuale 60 6" xfId="1702" xr:uid="{00000000-0005-0000-0000-0000A99A0000}"/>
    <cellStyle name="Percentuale 60 6 2" xfId="21884" xr:uid="{00000000-0005-0000-0000-0000AA9A0000}"/>
    <cellStyle name="Percentuale 61" xfId="1703" xr:uid="{00000000-0005-0000-0000-0000AB9A0000}"/>
    <cellStyle name="Percentuale 61 2" xfId="1704" xr:uid="{00000000-0005-0000-0000-0000AC9A0000}"/>
    <cellStyle name="Percentuale 61 2 2" xfId="3798" xr:uid="{00000000-0005-0000-0000-0000AD9A0000}"/>
    <cellStyle name="Percentuale 61 3" xfId="1705" xr:uid="{00000000-0005-0000-0000-0000AE9A0000}"/>
    <cellStyle name="Percentuale 61 3 2" xfId="1706" xr:uid="{00000000-0005-0000-0000-0000AF9A0000}"/>
    <cellStyle name="Percentuale 61 3 3" xfId="20140" xr:uid="{00000000-0005-0000-0000-0000B09A0000}"/>
    <cellStyle name="Percentuale 61 3 3 2" xfId="21145" xr:uid="{00000000-0005-0000-0000-0000B19A0000}"/>
    <cellStyle name="Percentuale 61 3 4" xfId="21144" xr:uid="{00000000-0005-0000-0000-0000B29A0000}"/>
    <cellStyle name="Percentuale 61 3 5" xfId="20139" xr:uid="{00000000-0005-0000-0000-0000B39A0000}"/>
    <cellStyle name="Percentuale 61 4" xfId="1707" xr:uid="{00000000-0005-0000-0000-0000B49A0000}"/>
    <cellStyle name="Percentuale 61 4 2" xfId="20142" xr:uid="{00000000-0005-0000-0000-0000B59A0000}"/>
    <cellStyle name="Percentuale 61 4 2 2" xfId="21147" xr:uid="{00000000-0005-0000-0000-0000B69A0000}"/>
    <cellStyle name="Percentuale 61 4 3" xfId="21146" xr:uid="{00000000-0005-0000-0000-0000B79A0000}"/>
    <cellStyle name="Percentuale 61 4 4" xfId="20141" xr:uid="{00000000-0005-0000-0000-0000B89A0000}"/>
    <cellStyle name="Percentuale 61 4 5" xfId="11918" xr:uid="{00000000-0005-0000-0000-0000B99A0000}"/>
    <cellStyle name="Percentuale 61 5" xfId="1708" xr:uid="{00000000-0005-0000-0000-0000BA9A0000}"/>
    <cellStyle name="Percentuale 61 5 2" xfId="11919" xr:uid="{00000000-0005-0000-0000-0000BB9A0000}"/>
    <cellStyle name="Percentuale 61 6" xfId="1709" xr:uid="{00000000-0005-0000-0000-0000BC9A0000}"/>
    <cellStyle name="Percentuale 61 6 2" xfId="21885" xr:uid="{00000000-0005-0000-0000-0000BD9A0000}"/>
    <cellStyle name="Percentuale 62" xfId="1710" xr:uid="{00000000-0005-0000-0000-0000BE9A0000}"/>
    <cellStyle name="Percentuale 62 2" xfId="3799" xr:uid="{00000000-0005-0000-0000-0000BF9A0000}"/>
    <cellStyle name="Percentuale 63" xfId="1711" xr:uid="{00000000-0005-0000-0000-0000C09A0000}"/>
    <cellStyle name="Percentuale 63 2" xfId="3800" xr:uid="{00000000-0005-0000-0000-0000C19A0000}"/>
    <cellStyle name="Percentuale 64" xfId="1712" xr:uid="{00000000-0005-0000-0000-0000C29A0000}"/>
    <cellStyle name="Percentuale 64 2" xfId="3801" xr:uid="{00000000-0005-0000-0000-0000C39A0000}"/>
    <cellStyle name="Percentuale 65" xfId="1713" xr:uid="{00000000-0005-0000-0000-0000C49A0000}"/>
    <cellStyle name="Percentuale 65 2" xfId="3802" xr:uid="{00000000-0005-0000-0000-0000C59A0000}"/>
    <cellStyle name="Percentuale 66" xfId="1714" xr:uid="{00000000-0005-0000-0000-0000C69A0000}"/>
    <cellStyle name="Percentuale 66 2" xfId="3803" xr:uid="{00000000-0005-0000-0000-0000C79A0000}"/>
    <cellStyle name="Percentuale 67" xfId="1715" xr:uid="{00000000-0005-0000-0000-0000C89A0000}"/>
    <cellStyle name="Percentuale 67 2" xfId="3804" xr:uid="{00000000-0005-0000-0000-0000C99A0000}"/>
    <cellStyle name="Percentuale 68" xfId="1716" xr:uid="{00000000-0005-0000-0000-0000CA9A0000}"/>
    <cellStyle name="Percentuale 68 2" xfId="1717" xr:uid="{00000000-0005-0000-0000-0000CB9A0000}"/>
    <cellStyle name="Percentuale 68 2 2" xfId="3805" xr:uid="{00000000-0005-0000-0000-0000CC9A0000}"/>
    <cellStyle name="Percentuale 68 3" xfId="1718" xr:uid="{00000000-0005-0000-0000-0000CD9A0000}"/>
    <cellStyle name="Percentuale 68 3 2" xfId="1719" xr:uid="{00000000-0005-0000-0000-0000CE9A0000}"/>
    <cellStyle name="Percentuale 68 3 3" xfId="20144" xr:uid="{00000000-0005-0000-0000-0000CF9A0000}"/>
    <cellStyle name="Percentuale 68 3 3 2" xfId="21149" xr:uid="{00000000-0005-0000-0000-0000D09A0000}"/>
    <cellStyle name="Percentuale 68 3 4" xfId="21148" xr:uid="{00000000-0005-0000-0000-0000D19A0000}"/>
    <cellStyle name="Percentuale 68 3 5" xfId="20143" xr:uid="{00000000-0005-0000-0000-0000D29A0000}"/>
    <cellStyle name="Percentuale 68 4" xfId="1720" xr:uid="{00000000-0005-0000-0000-0000D39A0000}"/>
    <cellStyle name="Percentuale 68 4 2" xfId="20146" xr:uid="{00000000-0005-0000-0000-0000D49A0000}"/>
    <cellStyle name="Percentuale 68 4 2 2" xfId="21151" xr:uid="{00000000-0005-0000-0000-0000D59A0000}"/>
    <cellStyle name="Percentuale 68 4 3" xfId="21150" xr:uid="{00000000-0005-0000-0000-0000D69A0000}"/>
    <cellStyle name="Percentuale 68 4 4" xfId="20145" xr:uid="{00000000-0005-0000-0000-0000D79A0000}"/>
    <cellStyle name="Percentuale 68 4 5" xfId="11920" xr:uid="{00000000-0005-0000-0000-0000D89A0000}"/>
    <cellStyle name="Percentuale 68 5" xfId="1721" xr:uid="{00000000-0005-0000-0000-0000D99A0000}"/>
    <cellStyle name="Percentuale 68 5 2" xfId="11921" xr:uid="{00000000-0005-0000-0000-0000DA9A0000}"/>
    <cellStyle name="Percentuale 68 6" xfId="1722" xr:uid="{00000000-0005-0000-0000-0000DB9A0000}"/>
    <cellStyle name="Percentuale 68 6 2" xfId="21886" xr:uid="{00000000-0005-0000-0000-0000DC9A0000}"/>
    <cellStyle name="Percentuale 69" xfId="1723" xr:uid="{00000000-0005-0000-0000-0000DD9A0000}"/>
    <cellStyle name="Percentuale 69 2" xfId="1724" xr:uid="{00000000-0005-0000-0000-0000DE9A0000}"/>
    <cellStyle name="Percentuale 69 2 2" xfId="3806" xr:uid="{00000000-0005-0000-0000-0000DF9A0000}"/>
    <cellStyle name="Percentuale 69 3" xfId="1725" xr:uid="{00000000-0005-0000-0000-0000E09A0000}"/>
    <cellStyle name="Percentuale 69 3 2" xfId="1726" xr:uid="{00000000-0005-0000-0000-0000E19A0000}"/>
    <cellStyle name="Percentuale 69 3 3" xfId="20148" xr:uid="{00000000-0005-0000-0000-0000E29A0000}"/>
    <cellStyle name="Percentuale 69 3 3 2" xfId="21153" xr:uid="{00000000-0005-0000-0000-0000E39A0000}"/>
    <cellStyle name="Percentuale 69 3 4" xfId="21152" xr:uid="{00000000-0005-0000-0000-0000E49A0000}"/>
    <cellStyle name="Percentuale 69 3 5" xfId="20147" xr:uid="{00000000-0005-0000-0000-0000E59A0000}"/>
    <cellStyle name="Percentuale 69 4" xfId="1727" xr:uid="{00000000-0005-0000-0000-0000E69A0000}"/>
    <cellStyle name="Percentuale 69 4 2" xfId="20150" xr:uid="{00000000-0005-0000-0000-0000E79A0000}"/>
    <cellStyle name="Percentuale 69 4 2 2" xfId="21155" xr:uid="{00000000-0005-0000-0000-0000E89A0000}"/>
    <cellStyle name="Percentuale 69 4 3" xfId="21154" xr:uid="{00000000-0005-0000-0000-0000E99A0000}"/>
    <cellStyle name="Percentuale 69 4 4" xfId="20149" xr:uid="{00000000-0005-0000-0000-0000EA9A0000}"/>
    <cellStyle name="Percentuale 69 4 5" xfId="11922" xr:uid="{00000000-0005-0000-0000-0000EB9A0000}"/>
    <cellStyle name="Percentuale 69 5" xfId="1728" xr:uid="{00000000-0005-0000-0000-0000EC9A0000}"/>
    <cellStyle name="Percentuale 69 5 2" xfId="11923" xr:uid="{00000000-0005-0000-0000-0000ED9A0000}"/>
    <cellStyle name="Percentuale 69 6" xfId="1729" xr:uid="{00000000-0005-0000-0000-0000EE9A0000}"/>
    <cellStyle name="Percentuale 69 6 2" xfId="21887" xr:uid="{00000000-0005-0000-0000-0000EF9A0000}"/>
    <cellStyle name="Percentuale 7" xfId="1730" xr:uid="{00000000-0005-0000-0000-0000F09A0000}"/>
    <cellStyle name="Percentuale 7 2" xfId="1731" xr:uid="{00000000-0005-0000-0000-0000F19A0000}"/>
    <cellStyle name="Percentuale 7 2 2" xfId="3807" xr:uid="{00000000-0005-0000-0000-0000F29A0000}"/>
    <cellStyle name="Percentuale 7 3" xfId="1732" xr:uid="{00000000-0005-0000-0000-0000F39A0000}"/>
    <cellStyle name="Percentuale 7 3 2" xfId="1733" xr:uid="{00000000-0005-0000-0000-0000F49A0000}"/>
    <cellStyle name="Percentuale 7 3 3" xfId="20152" xr:uid="{00000000-0005-0000-0000-0000F59A0000}"/>
    <cellStyle name="Percentuale 7 3 3 2" xfId="21157" xr:uid="{00000000-0005-0000-0000-0000F69A0000}"/>
    <cellStyle name="Percentuale 7 3 4" xfId="21156" xr:uid="{00000000-0005-0000-0000-0000F79A0000}"/>
    <cellStyle name="Percentuale 7 3 5" xfId="20151" xr:uid="{00000000-0005-0000-0000-0000F89A0000}"/>
    <cellStyle name="Percentuale 7 4" xfId="1734" xr:uid="{00000000-0005-0000-0000-0000F99A0000}"/>
    <cellStyle name="Percentuale 7 4 2" xfId="20154" xr:uid="{00000000-0005-0000-0000-0000FA9A0000}"/>
    <cellStyle name="Percentuale 7 4 2 2" xfId="21159" xr:uid="{00000000-0005-0000-0000-0000FB9A0000}"/>
    <cellStyle name="Percentuale 7 4 3" xfId="21158" xr:uid="{00000000-0005-0000-0000-0000FC9A0000}"/>
    <cellStyle name="Percentuale 7 4 4" xfId="20153" xr:uid="{00000000-0005-0000-0000-0000FD9A0000}"/>
    <cellStyle name="Percentuale 7 4 5" xfId="11924" xr:uid="{00000000-0005-0000-0000-0000FE9A0000}"/>
    <cellStyle name="Percentuale 7 5" xfId="1735" xr:uid="{00000000-0005-0000-0000-0000FF9A0000}"/>
    <cellStyle name="Percentuale 7 5 2" xfId="11925" xr:uid="{00000000-0005-0000-0000-0000009B0000}"/>
    <cellStyle name="Percentuale 7 6" xfId="1736" xr:uid="{00000000-0005-0000-0000-0000019B0000}"/>
    <cellStyle name="Percentuale 7 6 2" xfId="21888" xr:uid="{00000000-0005-0000-0000-0000029B0000}"/>
    <cellStyle name="Percentuale 8" xfId="1737" xr:uid="{00000000-0005-0000-0000-0000039B0000}"/>
    <cellStyle name="Percentuale 8 2" xfId="1738" xr:uid="{00000000-0005-0000-0000-0000049B0000}"/>
    <cellStyle name="Percentuale 8 2 2" xfId="3808" xr:uid="{00000000-0005-0000-0000-0000059B0000}"/>
    <cellStyle name="Percentuale 8 3" xfId="1739" xr:uid="{00000000-0005-0000-0000-0000069B0000}"/>
    <cellStyle name="Percentuale 8 3 2" xfId="1740" xr:uid="{00000000-0005-0000-0000-0000079B0000}"/>
    <cellStyle name="Percentuale 8 3 3" xfId="20156" xr:uid="{00000000-0005-0000-0000-0000089B0000}"/>
    <cellStyle name="Percentuale 8 3 3 2" xfId="21161" xr:uid="{00000000-0005-0000-0000-0000099B0000}"/>
    <cellStyle name="Percentuale 8 3 4" xfId="21160" xr:uid="{00000000-0005-0000-0000-00000A9B0000}"/>
    <cellStyle name="Percentuale 8 3 5" xfId="20155" xr:uid="{00000000-0005-0000-0000-00000B9B0000}"/>
    <cellStyle name="Percentuale 8 4" xfId="1741" xr:uid="{00000000-0005-0000-0000-00000C9B0000}"/>
    <cellStyle name="Percentuale 8 4 2" xfId="20158" xr:uid="{00000000-0005-0000-0000-00000D9B0000}"/>
    <cellStyle name="Percentuale 8 4 2 2" xfId="21163" xr:uid="{00000000-0005-0000-0000-00000E9B0000}"/>
    <cellStyle name="Percentuale 8 4 3" xfId="21162" xr:uid="{00000000-0005-0000-0000-00000F9B0000}"/>
    <cellStyle name="Percentuale 8 4 4" xfId="20157" xr:uid="{00000000-0005-0000-0000-0000109B0000}"/>
    <cellStyle name="Percentuale 8 4 5" xfId="11926" xr:uid="{00000000-0005-0000-0000-0000119B0000}"/>
    <cellStyle name="Percentuale 8 5" xfId="1742" xr:uid="{00000000-0005-0000-0000-0000129B0000}"/>
    <cellStyle name="Percentuale 8 5 2" xfId="11927" xr:uid="{00000000-0005-0000-0000-0000139B0000}"/>
    <cellStyle name="Percentuale 8 6" xfId="1743" xr:uid="{00000000-0005-0000-0000-0000149B0000}"/>
    <cellStyle name="Percentuale 8 6 2" xfId="21889" xr:uid="{00000000-0005-0000-0000-0000159B0000}"/>
    <cellStyle name="Percentuale 9" xfId="1744" xr:uid="{00000000-0005-0000-0000-0000169B0000}"/>
    <cellStyle name="Percentuale 9 2" xfId="1745" xr:uid="{00000000-0005-0000-0000-0000179B0000}"/>
    <cellStyle name="Percentuale 9 2 2" xfId="3809" xr:uid="{00000000-0005-0000-0000-0000189B0000}"/>
    <cellStyle name="Percentuale 9 3" xfId="1746" xr:uid="{00000000-0005-0000-0000-0000199B0000}"/>
    <cellStyle name="Percentuale 9 3 2" xfId="1747" xr:uid="{00000000-0005-0000-0000-00001A9B0000}"/>
    <cellStyle name="Percentuale 9 3 3" xfId="20160" xr:uid="{00000000-0005-0000-0000-00001B9B0000}"/>
    <cellStyle name="Percentuale 9 3 3 2" xfId="21165" xr:uid="{00000000-0005-0000-0000-00001C9B0000}"/>
    <cellStyle name="Percentuale 9 3 4" xfId="21164" xr:uid="{00000000-0005-0000-0000-00001D9B0000}"/>
    <cellStyle name="Percentuale 9 3 5" xfId="20159" xr:uid="{00000000-0005-0000-0000-00001E9B0000}"/>
    <cellStyle name="Percentuale 9 4" xfId="1748" xr:uid="{00000000-0005-0000-0000-00001F9B0000}"/>
    <cellStyle name="Percentuale 9 4 2" xfId="20162" xr:uid="{00000000-0005-0000-0000-0000209B0000}"/>
    <cellStyle name="Percentuale 9 4 2 2" xfId="21167" xr:uid="{00000000-0005-0000-0000-0000219B0000}"/>
    <cellStyle name="Percentuale 9 4 3" xfId="21166" xr:uid="{00000000-0005-0000-0000-0000229B0000}"/>
    <cellStyle name="Percentuale 9 4 4" xfId="20161" xr:uid="{00000000-0005-0000-0000-0000239B0000}"/>
    <cellStyle name="Percentuale 9 4 5" xfId="11928" xr:uid="{00000000-0005-0000-0000-0000249B0000}"/>
    <cellStyle name="Percentuale 9 5" xfId="1749" xr:uid="{00000000-0005-0000-0000-0000259B0000}"/>
    <cellStyle name="Percentuale 9 5 2" xfId="11929" xr:uid="{00000000-0005-0000-0000-0000269B0000}"/>
    <cellStyle name="Percentuale 9 6" xfId="1750" xr:uid="{00000000-0005-0000-0000-0000279B0000}"/>
    <cellStyle name="Percentuale 9 6 2" xfId="21890" xr:uid="{00000000-0005-0000-0000-0000289B0000}"/>
    <cellStyle name="Preliminary data" xfId="3475" xr:uid="{00000000-0005-0000-0000-0000299B0000}"/>
    <cellStyle name="Preliminary data 2" xfId="12294" xr:uid="{00000000-0005-0000-0000-00002A9B0000}"/>
    <cellStyle name="Procent 10" xfId="2860" xr:uid="{00000000-0005-0000-0000-00002B9B0000}"/>
    <cellStyle name="Procent 10 2" xfId="2861" xr:uid="{00000000-0005-0000-0000-00002C9B0000}"/>
    <cellStyle name="Procent 10 2 2" xfId="2862" xr:uid="{00000000-0005-0000-0000-00002D9B0000}"/>
    <cellStyle name="Procent 10 2 2 2" xfId="22895" xr:uid="{00000000-0005-0000-0000-00002E9B0000}"/>
    <cellStyle name="Procent 10 2 3" xfId="22894" xr:uid="{00000000-0005-0000-0000-00002F9B0000}"/>
    <cellStyle name="Procent 10 3" xfId="2863" xr:uid="{00000000-0005-0000-0000-0000309B0000}"/>
    <cellStyle name="Procent 10 3 2" xfId="2864" xr:uid="{00000000-0005-0000-0000-0000319B0000}"/>
    <cellStyle name="Procent 10 3 2 2" xfId="22897" xr:uid="{00000000-0005-0000-0000-0000329B0000}"/>
    <cellStyle name="Procent 10 3 3" xfId="22896" xr:uid="{00000000-0005-0000-0000-0000339B0000}"/>
    <cellStyle name="Procent 10 4" xfId="2865" xr:uid="{00000000-0005-0000-0000-0000349B0000}"/>
    <cellStyle name="Procent 10 4 2" xfId="2866" xr:uid="{00000000-0005-0000-0000-0000359B0000}"/>
    <cellStyle name="Procent 10 4 2 2" xfId="22899" xr:uid="{00000000-0005-0000-0000-0000369B0000}"/>
    <cellStyle name="Procent 10 4 3" xfId="22898" xr:uid="{00000000-0005-0000-0000-0000379B0000}"/>
    <cellStyle name="Procent 10 5" xfId="2867" xr:uid="{00000000-0005-0000-0000-0000389B0000}"/>
    <cellStyle name="Procent 10 5 2" xfId="22900" xr:uid="{00000000-0005-0000-0000-0000399B0000}"/>
    <cellStyle name="Procent 10 6" xfId="7494" xr:uid="{00000000-0005-0000-0000-00003A9B0000}"/>
    <cellStyle name="Procent 10 7" xfId="22893" xr:uid="{00000000-0005-0000-0000-00003B9B0000}"/>
    <cellStyle name="Procent 11" xfId="2868" xr:uid="{00000000-0005-0000-0000-00003C9B0000}"/>
    <cellStyle name="Procent 11 2" xfId="2869" xr:uid="{00000000-0005-0000-0000-00003D9B0000}"/>
    <cellStyle name="Procent 11 2 2" xfId="22902" xr:uid="{00000000-0005-0000-0000-00003E9B0000}"/>
    <cellStyle name="Procent 11 3" xfId="7495" xr:uid="{00000000-0005-0000-0000-00003F9B0000}"/>
    <cellStyle name="Procent 11 4" xfId="22901" xr:uid="{00000000-0005-0000-0000-0000409B0000}"/>
    <cellStyle name="Procent 12" xfId="2870" xr:uid="{00000000-0005-0000-0000-0000419B0000}"/>
    <cellStyle name="Procent 12 2" xfId="2871" xr:uid="{00000000-0005-0000-0000-0000429B0000}"/>
    <cellStyle name="Procent 12 2 2" xfId="7497" xr:uid="{00000000-0005-0000-0000-0000439B0000}"/>
    <cellStyle name="Procent 12 2 3" xfId="22904" xr:uid="{00000000-0005-0000-0000-0000449B0000}"/>
    <cellStyle name="Procent 12 3" xfId="7496" xr:uid="{00000000-0005-0000-0000-0000459B0000}"/>
    <cellStyle name="Procent 12 4" xfId="22903" xr:uid="{00000000-0005-0000-0000-0000469B0000}"/>
    <cellStyle name="Procent 13" xfId="2872" xr:uid="{00000000-0005-0000-0000-0000479B0000}"/>
    <cellStyle name="Procent 13 2" xfId="7498" xr:uid="{00000000-0005-0000-0000-0000489B0000}"/>
    <cellStyle name="Procent 14" xfId="7499" xr:uid="{00000000-0005-0000-0000-0000499B0000}"/>
    <cellStyle name="Procent 15" xfId="7493" xr:uid="{00000000-0005-0000-0000-00004A9B0000}"/>
    <cellStyle name="Procent 16" xfId="3816" xr:uid="{00000000-0005-0000-0000-00004B9B0000}"/>
    <cellStyle name="Procent 16 2" xfId="11149" xr:uid="{00000000-0005-0000-0000-00004C9B0000}"/>
    <cellStyle name="Procent 17" xfId="11073" xr:uid="{00000000-0005-0000-0000-00004D9B0000}"/>
    <cellStyle name="Procent 2" xfId="2873" xr:uid="{00000000-0005-0000-0000-00004E9B0000}"/>
    <cellStyle name="Procent 2 10" xfId="2874" xr:uid="{00000000-0005-0000-0000-00004F9B0000}"/>
    <cellStyle name="Procent 2 10 2" xfId="2875" xr:uid="{00000000-0005-0000-0000-0000509B0000}"/>
    <cellStyle name="Procent 2 10 2 2" xfId="2876" xr:uid="{00000000-0005-0000-0000-0000519B0000}"/>
    <cellStyle name="Procent 2 10 2 2 2" xfId="22908" xr:uid="{00000000-0005-0000-0000-0000529B0000}"/>
    <cellStyle name="Procent 2 10 2 3" xfId="22907" xr:uid="{00000000-0005-0000-0000-0000539B0000}"/>
    <cellStyle name="Procent 2 10 3" xfId="2877" xr:uid="{00000000-0005-0000-0000-0000549B0000}"/>
    <cellStyle name="Procent 2 10 3 2" xfId="22909" xr:uid="{00000000-0005-0000-0000-0000559B0000}"/>
    <cellStyle name="Procent 2 10 4" xfId="22906" xr:uid="{00000000-0005-0000-0000-0000569B0000}"/>
    <cellStyle name="Procent 2 11" xfId="2878" xr:uid="{00000000-0005-0000-0000-0000579B0000}"/>
    <cellStyle name="Procent 2 11 2" xfId="2879" xr:uid="{00000000-0005-0000-0000-0000589B0000}"/>
    <cellStyle name="Procent 2 11 2 2" xfId="22911" xr:uid="{00000000-0005-0000-0000-0000599B0000}"/>
    <cellStyle name="Procent 2 11 3" xfId="22910" xr:uid="{00000000-0005-0000-0000-00005A9B0000}"/>
    <cellStyle name="Procent 2 12" xfId="2880" xr:uid="{00000000-0005-0000-0000-00005B9B0000}"/>
    <cellStyle name="Procent 2 12 2" xfId="2881" xr:uid="{00000000-0005-0000-0000-00005C9B0000}"/>
    <cellStyle name="Procent 2 12 2 2" xfId="22913" xr:uid="{00000000-0005-0000-0000-00005D9B0000}"/>
    <cellStyle name="Procent 2 12 3" xfId="22912" xr:uid="{00000000-0005-0000-0000-00005E9B0000}"/>
    <cellStyle name="Procent 2 13" xfId="2882" xr:uid="{00000000-0005-0000-0000-00005F9B0000}"/>
    <cellStyle name="Procent 2 13 2" xfId="2883" xr:uid="{00000000-0005-0000-0000-0000609B0000}"/>
    <cellStyle name="Procent 2 13 2 2" xfId="22915" xr:uid="{00000000-0005-0000-0000-0000619B0000}"/>
    <cellStyle name="Procent 2 13 3" xfId="22914" xr:uid="{00000000-0005-0000-0000-0000629B0000}"/>
    <cellStyle name="Procent 2 14" xfId="2884" xr:uid="{00000000-0005-0000-0000-0000639B0000}"/>
    <cellStyle name="Procent 2 14 2" xfId="2885" xr:uid="{00000000-0005-0000-0000-0000649B0000}"/>
    <cellStyle name="Procent 2 14 2 2" xfId="22917" xr:uid="{00000000-0005-0000-0000-0000659B0000}"/>
    <cellStyle name="Procent 2 14 3" xfId="22916" xr:uid="{00000000-0005-0000-0000-0000669B0000}"/>
    <cellStyle name="Procent 2 15" xfId="2886" xr:uid="{00000000-0005-0000-0000-0000679B0000}"/>
    <cellStyle name="Procent 2 15 2" xfId="22918" xr:uid="{00000000-0005-0000-0000-0000689B0000}"/>
    <cellStyle name="Procent 2 16" xfId="22905" xr:uid="{00000000-0005-0000-0000-0000699B0000}"/>
    <cellStyle name="Procent 2 2" xfId="2887" xr:uid="{00000000-0005-0000-0000-00006A9B0000}"/>
    <cellStyle name="Procent 2 2 10" xfId="22919" xr:uid="{00000000-0005-0000-0000-00006B9B0000}"/>
    <cellStyle name="Procent 2 2 11" xfId="39380" xr:uid="{00000000-0005-0000-0000-00006C9B0000}"/>
    <cellStyle name="Procent 2 2 2" xfId="2888" xr:uid="{00000000-0005-0000-0000-00006D9B0000}"/>
    <cellStyle name="Procent 2 2 2 2" xfId="2889" xr:uid="{00000000-0005-0000-0000-00006E9B0000}"/>
    <cellStyle name="Procent 2 2 2 2 2" xfId="2890" xr:uid="{00000000-0005-0000-0000-00006F9B0000}"/>
    <cellStyle name="Procent 2 2 2 2 2 2" xfId="22922" xr:uid="{00000000-0005-0000-0000-0000709B0000}"/>
    <cellStyle name="Procent 2 2 2 2 3" xfId="18915" xr:uid="{00000000-0005-0000-0000-0000719B0000}"/>
    <cellStyle name="Procent 2 2 2 2 3 2" xfId="37075" xr:uid="{00000000-0005-0000-0000-0000729B0000}"/>
    <cellStyle name="Procent 2 2 2 2 4" xfId="22921" xr:uid="{00000000-0005-0000-0000-0000739B0000}"/>
    <cellStyle name="Procent 2 2 2 3" xfId="2891" xr:uid="{00000000-0005-0000-0000-0000749B0000}"/>
    <cellStyle name="Procent 2 2 2 3 2" xfId="2892" xr:uid="{00000000-0005-0000-0000-0000759B0000}"/>
    <cellStyle name="Procent 2 2 2 3 2 2" xfId="22924" xr:uid="{00000000-0005-0000-0000-0000769B0000}"/>
    <cellStyle name="Procent 2 2 2 3 3" xfId="22923" xr:uid="{00000000-0005-0000-0000-0000779B0000}"/>
    <cellStyle name="Procent 2 2 2 4" xfId="2893" xr:uid="{00000000-0005-0000-0000-0000789B0000}"/>
    <cellStyle name="Procent 2 2 2 4 2" xfId="2894" xr:uid="{00000000-0005-0000-0000-0000799B0000}"/>
    <cellStyle name="Procent 2 2 2 4 2 2" xfId="22926" xr:uid="{00000000-0005-0000-0000-00007A9B0000}"/>
    <cellStyle name="Procent 2 2 2 4 3" xfId="22925" xr:uid="{00000000-0005-0000-0000-00007B9B0000}"/>
    <cellStyle name="Procent 2 2 2 5" xfId="2895" xr:uid="{00000000-0005-0000-0000-00007C9B0000}"/>
    <cellStyle name="Procent 2 2 2 5 2" xfId="2896" xr:uid="{00000000-0005-0000-0000-00007D9B0000}"/>
    <cellStyle name="Procent 2 2 2 5 2 2" xfId="22928" xr:uid="{00000000-0005-0000-0000-00007E9B0000}"/>
    <cellStyle name="Procent 2 2 2 5 3" xfId="22927" xr:uid="{00000000-0005-0000-0000-00007F9B0000}"/>
    <cellStyle name="Procent 2 2 2 6" xfId="2897" xr:uid="{00000000-0005-0000-0000-0000809B0000}"/>
    <cellStyle name="Procent 2 2 2 6 2" xfId="22929" xr:uid="{00000000-0005-0000-0000-0000819B0000}"/>
    <cellStyle name="Procent 2 2 2 7" xfId="11066" xr:uid="{00000000-0005-0000-0000-0000829B0000}"/>
    <cellStyle name="Procent 2 2 2 7 2" xfId="30074" xr:uid="{00000000-0005-0000-0000-0000839B0000}"/>
    <cellStyle name="Procent 2 2 2 8" xfId="22920" xr:uid="{00000000-0005-0000-0000-0000849B0000}"/>
    <cellStyle name="Procent 2 2 3" xfId="2898" xr:uid="{00000000-0005-0000-0000-0000859B0000}"/>
    <cellStyle name="Procent 2 2 3 2" xfId="2899" xr:uid="{00000000-0005-0000-0000-0000869B0000}"/>
    <cellStyle name="Procent 2 2 3 2 2" xfId="2900" xr:uid="{00000000-0005-0000-0000-0000879B0000}"/>
    <cellStyle name="Procent 2 2 3 2 2 2" xfId="22932" xr:uid="{00000000-0005-0000-0000-0000889B0000}"/>
    <cellStyle name="Procent 2 2 3 2 3" xfId="22931" xr:uid="{00000000-0005-0000-0000-0000899B0000}"/>
    <cellStyle name="Procent 2 2 3 3" xfId="2901" xr:uid="{00000000-0005-0000-0000-00008A9B0000}"/>
    <cellStyle name="Procent 2 2 3 3 2" xfId="22933" xr:uid="{00000000-0005-0000-0000-00008B9B0000}"/>
    <cellStyle name="Procent 2 2 3 4" xfId="7500" xr:uid="{00000000-0005-0000-0000-00008C9B0000}"/>
    <cellStyle name="Procent 2 2 3 5" xfId="22930" xr:uid="{00000000-0005-0000-0000-00008D9B0000}"/>
    <cellStyle name="Procent 2 2 4" xfId="2902" xr:uid="{00000000-0005-0000-0000-00008E9B0000}"/>
    <cellStyle name="Procent 2 2 4 2" xfId="2903" xr:uid="{00000000-0005-0000-0000-00008F9B0000}"/>
    <cellStyle name="Procent 2 2 4 2 2" xfId="18956" xr:uid="{00000000-0005-0000-0000-0000909B0000}"/>
    <cellStyle name="Procent 2 2 4 2 2 2" xfId="37115" xr:uid="{00000000-0005-0000-0000-0000919B0000}"/>
    <cellStyle name="Procent 2 2 4 2 3" xfId="22935" xr:uid="{00000000-0005-0000-0000-0000929B0000}"/>
    <cellStyle name="Procent 2 2 4 3" xfId="11182" xr:uid="{00000000-0005-0000-0000-0000939B0000}"/>
    <cellStyle name="Procent 2 2 4 3 2" xfId="30114" xr:uid="{00000000-0005-0000-0000-0000949B0000}"/>
    <cellStyle name="Procent 2 2 4 4" xfId="22934" xr:uid="{00000000-0005-0000-0000-0000959B0000}"/>
    <cellStyle name="Procent 2 2 5" xfId="2904" xr:uid="{00000000-0005-0000-0000-0000969B0000}"/>
    <cellStyle name="Procent 2 2 5 2" xfId="2905" xr:uid="{00000000-0005-0000-0000-0000979B0000}"/>
    <cellStyle name="Procent 2 2 5 2 2" xfId="22937" xr:uid="{00000000-0005-0000-0000-0000989B0000}"/>
    <cellStyle name="Procent 2 2 5 3" xfId="12296" xr:uid="{00000000-0005-0000-0000-0000999B0000}"/>
    <cellStyle name="Procent 2 2 5 3 2" xfId="30466" xr:uid="{00000000-0005-0000-0000-00009A9B0000}"/>
    <cellStyle name="Procent 2 2 5 4" xfId="22936" xr:uid="{00000000-0005-0000-0000-00009B9B0000}"/>
    <cellStyle name="Procent 2 2 6" xfId="2906" xr:uid="{00000000-0005-0000-0000-00009C9B0000}"/>
    <cellStyle name="Procent 2 2 6 2" xfId="2907" xr:uid="{00000000-0005-0000-0000-00009D9B0000}"/>
    <cellStyle name="Procent 2 2 6 2 2" xfId="22939" xr:uid="{00000000-0005-0000-0000-00009E9B0000}"/>
    <cellStyle name="Procent 2 2 6 3" xfId="21168" xr:uid="{00000000-0005-0000-0000-00009F9B0000}"/>
    <cellStyle name="Procent 2 2 6 4" xfId="22938" xr:uid="{00000000-0005-0000-0000-0000A09B0000}"/>
    <cellStyle name="Procent 2 2 7" xfId="2908" xr:uid="{00000000-0005-0000-0000-0000A19B0000}"/>
    <cellStyle name="Procent 2 2 7 2" xfId="2909" xr:uid="{00000000-0005-0000-0000-0000A29B0000}"/>
    <cellStyle name="Procent 2 2 7 2 2" xfId="22941" xr:uid="{00000000-0005-0000-0000-0000A39B0000}"/>
    <cellStyle name="Procent 2 2 7 3" xfId="22940" xr:uid="{00000000-0005-0000-0000-0000A49B0000}"/>
    <cellStyle name="Procent 2 2 8" xfId="2910" xr:uid="{00000000-0005-0000-0000-0000A59B0000}"/>
    <cellStyle name="Procent 2 2 8 2" xfId="22942" xr:uid="{00000000-0005-0000-0000-0000A69B0000}"/>
    <cellStyle name="Procent 2 2 9" xfId="3487" xr:uid="{00000000-0005-0000-0000-0000A79B0000}"/>
    <cellStyle name="Procent 2 2 9 2" xfId="23464" xr:uid="{00000000-0005-0000-0000-0000A89B0000}"/>
    <cellStyle name="Procent 2 3" xfId="2911" xr:uid="{00000000-0005-0000-0000-0000A99B0000}"/>
    <cellStyle name="Procent 2 3 10" xfId="22943" xr:uid="{00000000-0005-0000-0000-0000AA9B0000}"/>
    <cellStyle name="Procent 2 3 2" xfId="2912" xr:uid="{00000000-0005-0000-0000-0000AB9B0000}"/>
    <cellStyle name="Procent 2 3 2 2" xfId="2913" xr:uid="{00000000-0005-0000-0000-0000AC9B0000}"/>
    <cellStyle name="Procent 2 3 2 2 2" xfId="2914" xr:uid="{00000000-0005-0000-0000-0000AD9B0000}"/>
    <cellStyle name="Procent 2 3 2 2 2 2" xfId="22946" xr:uid="{00000000-0005-0000-0000-0000AE9B0000}"/>
    <cellStyle name="Procent 2 3 2 2 3" xfId="22945" xr:uid="{00000000-0005-0000-0000-0000AF9B0000}"/>
    <cellStyle name="Procent 2 3 2 3" xfId="2915" xr:uid="{00000000-0005-0000-0000-0000B09B0000}"/>
    <cellStyle name="Procent 2 3 2 3 2" xfId="2916" xr:uid="{00000000-0005-0000-0000-0000B19B0000}"/>
    <cellStyle name="Procent 2 3 2 3 2 2" xfId="22948" xr:uid="{00000000-0005-0000-0000-0000B29B0000}"/>
    <cellStyle name="Procent 2 3 2 3 3" xfId="22947" xr:uid="{00000000-0005-0000-0000-0000B39B0000}"/>
    <cellStyle name="Procent 2 3 2 4" xfId="2917" xr:uid="{00000000-0005-0000-0000-0000B49B0000}"/>
    <cellStyle name="Procent 2 3 2 4 2" xfId="22949" xr:uid="{00000000-0005-0000-0000-0000B59B0000}"/>
    <cellStyle name="Procent 2 3 2 5" xfId="22944" xr:uid="{00000000-0005-0000-0000-0000B69B0000}"/>
    <cellStyle name="Procent 2 3 3" xfId="2918" xr:uid="{00000000-0005-0000-0000-0000B79B0000}"/>
    <cellStyle name="Procent 2 3 3 2" xfId="2919" xr:uid="{00000000-0005-0000-0000-0000B89B0000}"/>
    <cellStyle name="Procent 2 3 3 2 2" xfId="22951" xr:uid="{00000000-0005-0000-0000-0000B99B0000}"/>
    <cellStyle name="Procent 2 3 3 3" xfId="22950" xr:uid="{00000000-0005-0000-0000-0000BA9B0000}"/>
    <cellStyle name="Procent 2 3 4" xfId="2920" xr:uid="{00000000-0005-0000-0000-0000BB9B0000}"/>
    <cellStyle name="Procent 2 3 4 2" xfId="2921" xr:uid="{00000000-0005-0000-0000-0000BC9B0000}"/>
    <cellStyle name="Procent 2 3 4 2 2" xfId="22953" xr:uid="{00000000-0005-0000-0000-0000BD9B0000}"/>
    <cellStyle name="Procent 2 3 4 3" xfId="22952" xr:uid="{00000000-0005-0000-0000-0000BE9B0000}"/>
    <cellStyle name="Procent 2 3 5" xfId="2922" xr:uid="{00000000-0005-0000-0000-0000BF9B0000}"/>
    <cellStyle name="Procent 2 3 5 2" xfId="2923" xr:uid="{00000000-0005-0000-0000-0000C09B0000}"/>
    <cellStyle name="Procent 2 3 5 2 2" xfId="22955" xr:uid="{00000000-0005-0000-0000-0000C19B0000}"/>
    <cellStyle name="Procent 2 3 5 3" xfId="22954" xr:uid="{00000000-0005-0000-0000-0000C29B0000}"/>
    <cellStyle name="Procent 2 3 6" xfId="2924" xr:uid="{00000000-0005-0000-0000-0000C39B0000}"/>
    <cellStyle name="Procent 2 3 6 2" xfId="2925" xr:uid="{00000000-0005-0000-0000-0000C49B0000}"/>
    <cellStyle name="Procent 2 3 6 2 2" xfId="22957" xr:uid="{00000000-0005-0000-0000-0000C59B0000}"/>
    <cellStyle name="Procent 2 3 6 3" xfId="22956" xr:uid="{00000000-0005-0000-0000-0000C69B0000}"/>
    <cellStyle name="Procent 2 3 7" xfId="2926" xr:uid="{00000000-0005-0000-0000-0000C79B0000}"/>
    <cellStyle name="Procent 2 3 7 2" xfId="2927" xr:uid="{00000000-0005-0000-0000-0000C89B0000}"/>
    <cellStyle name="Procent 2 3 7 2 2" xfId="22959" xr:uid="{00000000-0005-0000-0000-0000C99B0000}"/>
    <cellStyle name="Procent 2 3 7 3" xfId="22958" xr:uid="{00000000-0005-0000-0000-0000CA9B0000}"/>
    <cellStyle name="Procent 2 3 8" xfId="2928" xr:uid="{00000000-0005-0000-0000-0000CB9B0000}"/>
    <cellStyle name="Procent 2 3 8 2" xfId="22960" xr:uid="{00000000-0005-0000-0000-0000CC9B0000}"/>
    <cellStyle name="Procent 2 3 9" xfId="7501" xr:uid="{00000000-0005-0000-0000-0000CD9B0000}"/>
    <cellStyle name="Procent 2 4" xfId="2929" xr:uid="{00000000-0005-0000-0000-0000CE9B0000}"/>
    <cellStyle name="Procent 2 4 10" xfId="22961" xr:uid="{00000000-0005-0000-0000-0000CF9B0000}"/>
    <cellStyle name="Procent 2 4 2" xfId="2930" xr:uid="{00000000-0005-0000-0000-0000D09B0000}"/>
    <cellStyle name="Procent 2 4 2 2" xfId="2931" xr:uid="{00000000-0005-0000-0000-0000D19B0000}"/>
    <cellStyle name="Procent 2 4 2 2 2" xfId="2932" xr:uid="{00000000-0005-0000-0000-0000D29B0000}"/>
    <cellStyle name="Procent 2 4 2 2 2 2" xfId="22964" xr:uid="{00000000-0005-0000-0000-0000D39B0000}"/>
    <cellStyle name="Procent 2 4 2 2 3" xfId="22963" xr:uid="{00000000-0005-0000-0000-0000D49B0000}"/>
    <cellStyle name="Procent 2 4 2 3" xfId="2933" xr:uid="{00000000-0005-0000-0000-0000D59B0000}"/>
    <cellStyle name="Procent 2 4 2 3 2" xfId="2934" xr:uid="{00000000-0005-0000-0000-0000D69B0000}"/>
    <cellStyle name="Procent 2 4 2 3 2 2" xfId="22966" xr:uid="{00000000-0005-0000-0000-0000D79B0000}"/>
    <cellStyle name="Procent 2 4 2 3 3" xfId="22965" xr:uid="{00000000-0005-0000-0000-0000D89B0000}"/>
    <cellStyle name="Procent 2 4 2 4" xfId="2935" xr:uid="{00000000-0005-0000-0000-0000D99B0000}"/>
    <cellStyle name="Procent 2 4 2 4 2" xfId="22967" xr:uid="{00000000-0005-0000-0000-0000DA9B0000}"/>
    <cellStyle name="Procent 2 4 2 5" xfId="7503" xr:uid="{00000000-0005-0000-0000-0000DB9B0000}"/>
    <cellStyle name="Procent 2 4 2 6" xfId="22962" xr:uid="{00000000-0005-0000-0000-0000DC9B0000}"/>
    <cellStyle name="Procent 2 4 3" xfId="2936" xr:uid="{00000000-0005-0000-0000-0000DD9B0000}"/>
    <cellStyle name="Procent 2 4 3 2" xfId="2937" xr:uid="{00000000-0005-0000-0000-0000DE9B0000}"/>
    <cellStyle name="Procent 2 4 3 2 2" xfId="22969" xr:uid="{00000000-0005-0000-0000-0000DF9B0000}"/>
    <cellStyle name="Procent 2 4 3 3" xfId="22968" xr:uid="{00000000-0005-0000-0000-0000E09B0000}"/>
    <cellStyle name="Procent 2 4 4" xfId="2938" xr:uid="{00000000-0005-0000-0000-0000E19B0000}"/>
    <cellStyle name="Procent 2 4 4 2" xfId="2939" xr:uid="{00000000-0005-0000-0000-0000E29B0000}"/>
    <cellStyle name="Procent 2 4 4 2 2" xfId="22971" xr:uid="{00000000-0005-0000-0000-0000E39B0000}"/>
    <cellStyle name="Procent 2 4 4 3" xfId="22970" xr:uid="{00000000-0005-0000-0000-0000E49B0000}"/>
    <cellStyle name="Procent 2 4 5" xfId="2940" xr:uid="{00000000-0005-0000-0000-0000E59B0000}"/>
    <cellStyle name="Procent 2 4 5 2" xfId="2941" xr:uid="{00000000-0005-0000-0000-0000E69B0000}"/>
    <cellStyle name="Procent 2 4 5 2 2" xfId="22973" xr:uid="{00000000-0005-0000-0000-0000E79B0000}"/>
    <cellStyle name="Procent 2 4 5 3" xfId="22972" xr:uid="{00000000-0005-0000-0000-0000E89B0000}"/>
    <cellStyle name="Procent 2 4 6" xfId="2942" xr:uid="{00000000-0005-0000-0000-0000E99B0000}"/>
    <cellStyle name="Procent 2 4 6 2" xfId="2943" xr:uid="{00000000-0005-0000-0000-0000EA9B0000}"/>
    <cellStyle name="Procent 2 4 6 2 2" xfId="22975" xr:uid="{00000000-0005-0000-0000-0000EB9B0000}"/>
    <cellStyle name="Procent 2 4 6 3" xfId="22974" xr:uid="{00000000-0005-0000-0000-0000EC9B0000}"/>
    <cellStyle name="Procent 2 4 7" xfId="2944" xr:uid="{00000000-0005-0000-0000-0000ED9B0000}"/>
    <cellStyle name="Procent 2 4 7 2" xfId="2945" xr:uid="{00000000-0005-0000-0000-0000EE9B0000}"/>
    <cellStyle name="Procent 2 4 7 2 2" xfId="22977" xr:uid="{00000000-0005-0000-0000-0000EF9B0000}"/>
    <cellStyle name="Procent 2 4 7 3" xfId="22976" xr:uid="{00000000-0005-0000-0000-0000F09B0000}"/>
    <cellStyle name="Procent 2 4 8" xfId="2946" xr:uid="{00000000-0005-0000-0000-0000F19B0000}"/>
    <cellStyle name="Procent 2 4 8 2" xfId="22978" xr:uid="{00000000-0005-0000-0000-0000F29B0000}"/>
    <cellStyle name="Procent 2 4 9" xfId="7502" xr:uid="{00000000-0005-0000-0000-0000F39B0000}"/>
    <cellStyle name="Procent 2 5" xfId="1751" xr:uid="{00000000-0005-0000-0000-0000F49B0000}"/>
    <cellStyle name="Procent 2 5 2" xfId="2947" xr:uid="{00000000-0005-0000-0000-0000F59B0000}"/>
    <cellStyle name="Procent 2 5 2 2" xfId="2948" xr:uid="{00000000-0005-0000-0000-0000F69B0000}"/>
    <cellStyle name="Procent 2 5 2 2 2" xfId="2949" xr:uid="{00000000-0005-0000-0000-0000F79B0000}"/>
    <cellStyle name="Procent 2 5 2 2 2 2" xfId="22981" xr:uid="{00000000-0005-0000-0000-0000F89B0000}"/>
    <cellStyle name="Procent 2 5 2 2 3" xfId="22980" xr:uid="{00000000-0005-0000-0000-0000F99B0000}"/>
    <cellStyle name="Procent 2 5 2 3" xfId="2950" xr:uid="{00000000-0005-0000-0000-0000FA9B0000}"/>
    <cellStyle name="Procent 2 5 2 3 2" xfId="2951" xr:uid="{00000000-0005-0000-0000-0000FB9B0000}"/>
    <cellStyle name="Procent 2 5 2 3 2 2" xfId="22983" xr:uid="{00000000-0005-0000-0000-0000FC9B0000}"/>
    <cellStyle name="Procent 2 5 2 3 3" xfId="22982" xr:uid="{00000000-0005-0000-0000-0000FD9B0000}"/>
    <cellStyle name="Procent 2 5 2 4" xfId="2952" xr:uid="{00000000-0005-0000-0000-0000FE9B0000}"/>
    <cellStyle name="Procent 2 5 2 4 2" xfId="22984" xr:uid="{00000000-0005-0000-0000-0000FF9B0000}"/>
    <cellStyle name="Procent 2 5 2 5" xfId="11119" xr:uid="{00000000-0005-0000-0000-0000009C0000}"/>
    <cellStyle name="Procent 2 5 2 6" xfId="22979" xr:uid="{00000000-0005-0000-0000-0000019C0000}"/>
    <cellStyle name="Procent 2 5 3" xfId="2953" xr:uid="{00000000-0005-0000-0000-0000029C0000}"/>
    <cellStyle name="Procent 2 5 3 2" xfId="2954" xr:uid="{00000000-0005-0000-0000-0000039C0000}"/>
    <cellStyle name="Procent 2 5 3 2 2" xfId="22986" xr:uid="{00000000-0005-0000-0000-0000049C0000}"/>
    <cellStyle name="Procent 2 5 3 3" xfId="22985" xr:uid="{00000000-0005-0000-0000-0000059C0000}"/>
    <cellStyle name="Procent 2 5 4" xfId="2955" xr:uid="{00000000-0005-0000-0000-0000069C0000}"/>
    <cellStyle name="Procent 2 5 4 2" xfId="2956" xr:uid="{00000000-0005-0000-0000-0000079C0000}"/>
    <cellStyle name="Procent 2 5 4 2 2" xfId="22988" xr:uid="{00000000-0005-0000-0000-0000089C0000}"/>
    <cellStyle name="Procent 2 5 4 3" xfId="22987" xr:uid="{00000000-0005-0000-0000-0000099C0000}"/>
    <cellStyle name="Procent 2 5 5" xfId="2957" xr:uid="{00000000-0005-0000-0000-00000A9C0000}"/>
    <cellStyle name="Procent 2 5 5 2" xfId="2958" xr:uid="{00000000-0005-0000-0000-00000B9C0000}"/>
    <cellStyle name="Procent 2 5 5 2 2" xfId="22990" xr:uid="{00000000-0005-0000-0000-00000C9C0000}"/>
    <cellStyle name="Procent 2 5 5 3" xfId="22989" xr:uid="{00000000-0005-0000-0000-00000D9C0000}"/>
    <cellStyle name="Procent 2 5 6" xfId="2959" xr:uid="{00000000-0005-0000-0000-00000E9C0000}"/>
    <cellStyle name="Procent 2 5 6 2" xfId="2960" xr:uid="{00000000-0005-0000-0000-00000F9C0000}"/>
    <cellStyle name="Procent 2 5 6 2 2" xfId="22992" xr:uid="{00000000-0005-0000-0000-0000109C0000}"/>
    <cellStyle name="Procent 2 5 6 3" xfId="22991" xr:uid="{00000000-0005-0000-0000-0000119C0000}"/>
    <cellStyle name="Procent 2 6" xfId="2961" xr:uid="{00000000-0005-0000-0000-0000129C0000}"/>
    <cellStyle name="Procent 2 6 2" xfId="2962" xr:uid="{00000000-0005-0000-0000-0000139C0000}"/>
    <cellStyle name="Procent 2 6 2 2" xfId="2963" xr:uid="{00000000-0005-0000-0000-0000149C0000}"/>
    <cellStyle name="Procent 2 6 2 2 2" xfId="2964" xr:uid="{00000000-0005-0000-0000-0000159C0000}"/>
    <cellStyle name="Procent 2 6 2 2 2 2" xfId="22996" xr:uid="{00000000-0005-0000-0000-0000169C0000}"/>
    <cellStyle name="Procent 2 6 2 2 3" xfId="22995" xr:uid="{00000000-0005-0000-0000-0000179C0000}"/>
    <cellStyle name="Procent 2 6 2 3" xfId="2965" xr:uid="{00000000-0005-0000-0000-0000189C0000}"/>
    <cellStyle name="Procent 2 6 2 3 2" xfId="2966" xr:uid="{00000000-0005-0000-0000-0000199C0000}"/>
    <cellStyle name="Procent 2 6 2 3 2 2" xfId="22998" xr:uid="{00000000-0005-0000-0000-00001A9C0000}"/>
    <cellStyle name="Procent 2 6 2 3 3" xfId="22997" xr:uid="{00000000-0005-0000-0000-00001B9C0000}"/>
    <cellStyle name="Procent 2 6 2 4" xfId="2967" xr:uid="{00000000-0005-0000-0000-00001C9C0000}"/>
    <cellStyle name="Procent 2 6 2 4 2" xfId="22999" xr:uid="{00000000-0005-0000-0000-00001D9C0000}"/>
    <cellStyle name="Procent 2 6 2 5" xfId="12374" xr:uid="{00000000-0005-0000-0000-00001E9C0000}"/>
    <cellStyle name="Procent 2 6 2 5 2" xfId="30541" xr:uid="{00000000-0005-0000-0000-00001F9C0000}"/>
    <cellStyle name="Procent 2 6 2 6" xfId="22994" xr:uid="{00000000-0005-0000-0000-0000209C0000}"/>
    <cellStyle name="Procent 2 6 3" xfId="2968" xr:uid="{00000000-0005-0000-0000-0000219C0000}"/>
    <cellStyle name="Procent 2 6 3 2" xfId="2969" xr:uid="{00000000-0005-0000-0000-0000229C0000}"/>
    <cellStyle name="Procent 2 6 3 2 2" xfId="23001" xr:uid="{00000000-0005-0000-0000-0000239C0000}"/>
    <cellStyle name="Procent 2 6 3 3" xfId="23000" xr:uid="{00000000-0005-0000-0000-0000249C0000}"/>
    <cellStyle name="Procent 2 6 4" xfId="2970" xr:uid="{00000000-0005-0000-0000-0000259C0000}"/>
    <cellStyle name="Procent 2 6 4 2" xfId="2971" xr:uid="{00000000-0005-0000-0000-0000269C0000}"/>
    <cellStyle name="Procent 2 6 4 2 2" xfId="23003" xr:uid="{00000000-0005-0000-0000-0000279C0000}"/>
    <cellStyle name="Procent 2 6 4 3" xfId="23002" xr:uid="{00000000-0005-0000-0000-0000289C0000}"/>
    <cellStyle name="Procent 2 6 5" xfId="2972" xr:uid="{00000000-0005-0000-0000-0000299C0000}"/>
    <cellStyle name="Procent 2 6 5 2" xfId="2973" xr:uid="{00000000-0005-0000-0000-00002A9C0000}"/>
    <cellStyle name="Procent 2 6 5 2 2" xfId="23005" xr:uid="{00000000-0005-0000-0000-00002B9C0000}"/>
    <cellStyle name="Procent 2 6 5 3" xfId="23004" xr:uid="{00000000-0005-0000-0000-00002C9C0000}"/>
    <cellStyle name="Procent 2 6 6" xfId="2974" xr:uid="{00000000-0005-0000-0000-00002D9C0000}"/>
    <cellStyle name="Procent 2 6 6 2" xfId="23006" xr:uid="{00000000-0005-0000-0000-00002E9C0000}"/>
    <cellStyle name="Procent 2 6 7" xfId="3818" xr:uid="{00000000-0005-0000-0000-00002F9C0000}"/>
    <cellStyle name="Procent 2 6 7 2" xfId="23539" xr:uid="{00000000-0005-0000-0000-0000309C0000}"/>
    <cellStyle name="Procent 2 6 8" xfId="22993" xr:uid="{00000000-0005-0000-0000-0000319C0000}"/>
    <cellStyle name="Procent 2 7" xfId="2975" xr:uid="{00000000-0005-0000-0000-0000329C0000}"/>
    <cellStyle name="Procent 2 7 2" xfId="2976" xr:uid="{00000000-0005-0000-0000-0000339C0000}"/>
    <cellStyle name="Procent 2 7 2 2" xfId="2977" xr:uid="{00000000-0005-0000-0000-0000349C0000}"/>
    <cellStyle name="Procent 2 7 2 2 2" xfId="2978" xr:uid="{00000000-0005-0000-0000-0000359C0000}"/>
    <cellStyle name="Procent 2 7 2 2 2 2" xfId="23010" xr:uid="{00000000-0005-0000-0000-0000369C0000}"/>
    <cellStyle name="Procent 2 7 2 2 3" xfId="23009" xr:uid="{00000000-0005-0000-0000-0000379C0000}"/>
    <cellStyle name="Procent 2 7 2 3" xfId="2979" xr:uid="{00000000-0005-0000-0000-0000389C0000}"/>
    <cellStyle name="Procent 2 7 2 3 2" xfId="2980" xr:uid="{00000000-0005-0000-0000-0000399C0000}"/>
    <cellStyle name="Procent 2 7 2 3 2 2" xfId="23012" xr:uid="{00000000-0005-0000-0000-00003A9C0000}"/>
    <cellStyle name="Procent 2 7 2 3 3" xfId="23011" xr:uid="{00000000-0005-0000-0000-00003B9C0000}"/>
    <cellStyle name="Procent 2 7 2 4" xfId="2981" xr:uid="{00000000-0005-0000-0000-00003C9C0000}"/>
    <cellStyle name="Procent 2 7 2 4 2" xfId="23013" xr:uid="{00000000-0005-0000-0000-00003D9C0000}"/>
    <cellStyle name="Procent 2 7 2 5" xfId="23008" xr:uid="{00000000-0005-0000-0000-00003E9C0000}"/>
    <cellStyle name="Procent 2 7 3" xfId="2982" xr:uid="{00000000-0005-0000-0000-00003F9C0000}"/>
    <cellStyle name="Procent 2 7 3 2" xfId="2983" xr:uid="{00000000-0005-0000-0000-0000409C0000}"/>
    <cellStyle name="Procent 2 7 3 2 2" xfId="23015" xr:uid="{00000000-0005-0000-0000-0000419C0000}"/>
    <cellStyle name="Procent 2 7 3 3" xfId="23014" xr:uid="{00000000-0005-0000-0000-0000429C0000}"/>
    <cellStyle name="Procent 2 7 4" xfId="2984" xr:uid="{00000000-0005-0000-0000-0000439C0000}"/>
    <cellStyle name="Procent 2 7 4 2" xfId="2985" xr:uid="{00000000-0005-0000-0000-0000449C0000}"/>
    <cellStyle name="Procent 2 7 4 2 2" xfId="23017" xr:uid="{00000000-0005-0000-0000-0000459C0000}"/>
    <cellStyle name="Procent 2 7 4 3" xfId="23016" xr:uid="{00000000-0005-0000-0000-0000469C0000}"/>
    <cellStyle name="Procent 2 7 5" xfId="2986" xr:uid="{00000000-0005-0000-0000-0000479C0000}"/>
    <cellStyle name="Procent 2 7 5 2" xfId="2987" xr:uid="{00000000-0005-0000-0000-0000489C0000}"/>
    <cellStyle name="Procent 2 7 5 2 2" xfId="23019" xr:uid="{00000000-0005-0000-0000-0000499C0000}"/>
    <cellStyle name="Procent 2 7 5 3" xfId="23018" xr:uid="{00000000-0005-0000-0000-00004A9C0000}"/>
    <cellStyle name="Procent 2 7 6" xfId="2988" xr:uid="{00000000-0005-0000-0000-00004B9C0000}"/>
    <cellStyle name="Procent 2 7 6 2" xfId="23020" xr:uid="{00000000-0005-0000-0000-00004C9C0000}"/>
    <cellStyle name="Procent 2 7 7" xfId="23007" xr:uid="{00000000-0005-0000-0000-00004D9C0000}"/>
    <cellStyle name="Procent 2 8" xfId="2989" xr:uid="{00000000-0005-0000-0000-00004E9C0000}"/>
    <cellStyle name="Procent 2 8 2" xfId="2990" xr:uid="{00000000-0005-0000-0000-00004F9C0000}"/>
    <cellStyle name="Procent 2 8 2 2" xfId="2991" xr:uid="{00000000-0005-0000-0000-0000509C0000}"/>
    <cellStyle name="Procent 2 8 2 2 2" xfId="2992" xr:uid="{00000000-0005-0000-0000-0000519C0000}"/>
    <cellStyle name="Procent 2 8 2 2 2 2" xfId="23024" xr:uid="{00000000-0005-0000-0000-0000529C0000}"/>
    <cellStyle name="Procent 2 8 2 2 3" xfId="23023" xr:uid="{00000000-0005-0000-0000-0000539C0000}"/>
    <cellStyle name="Procent 2 8 2 3" xfId="2993" xr:uid="{00000000-0005-0000-0000-0000549C0000}"/>
    <cellStyle name="Procent 2 8 2 3 2" xfId="2994" xr:uid="{00000000-0005-0000-0000-0000559C0000}"/>
    <cellStyle name="Procent 2 8 2 3 2 2" xfId="23026" xr:uid="{00000000-0005-0000-0000-0000569C0000}"/>
    <cellStyle name="Procent 2 8 2 3 3" xfId="23025" xr:uid="{00000000-0005-0000-0000-0000579C0000}"/>
    <cellStyle name="Procent 2 8 2 4" xfId="2995" xr:uid="{00000000-0005-0000-0000-0000589C0000}"/>
    <cellStyle name="Procent 2 8 2 4 2" xfId="23027" xr:uid="{00000000-0005-0000-0000-0000599C0000}"/>
    <cellStyle name="Procent 2 8 2 5" xfId="23022" xr:uid="{00000000-0005-0000-0000-00005A9C0000}"/>
    <cellStyle name="Procent 2 8 3" xfId="2996" xr:uid="{00000000-0005-0000-0000-00005B9C0000}"/>
    <cellStyle name="Procent 2 8 3 2" xfId="2997" xr:uid="{00000000-0005-0000-0000-00005C9C0000}"/>
    <cellStyle name="Procent 2 8 3 2 2" xfId="23029" xr:uid="{00000000-0005-0000-0000-00005D9C0000}"/>
    <cellStyle name="Procent 2 8 3 3" xfId="23028" xr:uid="{00000000-0005-0000-0000-00005E9C0000}"/>
    <cellStyle name="Procent 2 8 4" xfId="2998" xr:uid="{00000000-0005-0000-0000-00005F9C0000}"/>
    <cellStyle name="Procent 2 8 4 2" xfId="2999" xr:uid="{00000000-0005-0000-0000-0000609C0000}"/>
    <cellStyle name="Procent 2 8 4 2 2" xfId="23031" xr:uid="{00000000-0005-0000-0000-0000619C0000}"/>
    <cellStyle name="Procent 2 8 4 3" xfId="23030" xr:uid="{00000000-0005-0000-0000-0000629C0000}"/>
    <cellStyle name="Procent 2 8 5" xfId="3000" xr:uid="{00000000-0005-0000-0000-0000639C0000}"/>
    <cellStyle name="Procent 2 8 5 2" xfId="3001" xr:uid="{00000000-0005-0000-0000-0000649C0000}"/>
    <cellStyle name="Procent 2 8 5 2 2" xfId="23033" xr:uid="{00000000-0005-0000-0000-0000659C0000}"/>
    <cellStyle name="Procent 2 8 5 3" xfId="23032" xr:uid="{00000000-0005-0000-0000-0000669C0000}"/>
    <cellStyle name="Procent 2 8 6" xfId="3002" xr:uid="{00000000-0005-0000-0000-0000679C0000}"/>
    <cellStyle name="Procent 2 8 6 2" xfId="23034" xr:uid="{00000000-0005-0000-0000-0000689C0000}"/>
    <cellStyle name="Procent 2 8 7" xfId="23021" xr:uid="{00000000-0005-0000-0000-0000699C0000}"/>
    <cellStyle name="Procent 2 9" xfId="3003" xr:uid="{00000000-0005-0000-0000-00006A9C0000}"/>
    <cellStyle name="Procent 2 9 2" xfId="3004" xr:uid="{00000000-0005-0000-0000-00006B9C0000}"/>
    <cellStyle name="Procent 2 9 2 2" xfId="3005" xr:uid="{00000000-0005-0000-0000-00006C9C0000}"/>
    <cellStyle name="Procent 2 9 2 2 2" xfId="23037" xr:uid="{00000000-0005-0000-0000-00006D9C0000}"/>
    <cellStyle name="Procent 2 9 2 3" xfId="23036" xr:uid="{00000000-0005-0000-0000-00006E9C0000}"/>
    <cellStyle name="Procent 2 9 3" xfId="3006" xr:uid="{00000000-0005-0000-0000-00006F9C0000}"/>
    <cellStyle name="Procent 2 9 3 2" xfId="3007" xr:uid="{00000000-0005-0000-0000-0000709C0000}"/>
    <cellStyle name="Procent 2 9 3 2 2" xfId="23039" xr:uid="{00000000-0005-0000-0000-0000719C0000}"/>
    <cellStyle name="Procent 2 9 3 3" xfId="23038" xr:uid="{00000000-0005-0000-0000-0000729C0000}"/>
    <cellStyle name="Procent 2 9 4" xfId="3008" xr:uid="{00000000-0005-0000-0000-0000739C0000}"/>
    <cellStyle name="Procent 2 9 4 2" xfId="23040" xr:uid="{00000000-0005-0000-0000-0000749C0000}"/>
    <cellStyle name="Procent 2 9 5" xfId="23035" xr:uid="{00000000-0005-0000-0000-0000759C0000}"/>
    <cellStyle name="Procent 3" xfId="3009" xr:uid="{00000000-0005-0000-0000-0000769C0000}"/>
    <cellStyle name="Procent 3 2" xfId="3010" xr:uid="{00000000-0005-0000-0000-0000779C0000}"/>
    <cellStyle name="Procent 3 2 2" xfId="3011" xr:uid="{00000000-0005-0000-0000-0000789C0000}"/>
    <cellStyle name="Procent 3 2 2 2" xfId="3012" xr:uid="{00000000-0005-0000-0000-0000799C0000}"/>
    <cellStyle name="Procent 3 2 2 2 2" xfId="23044" xr:uid="{00000000-0005-0000-0000-00007A9C0000}"/>
    <cellStyle name="Procent 3 2 2 3" xfId="20164" xr:uid="{00000000-0005-0000-0000-00007B9C0000}"/>
    <cellStyle name="Procent 3 2 2 4" xfId="23043" xr:uid="{00000000-0005-0000-0000-00007C9C0000}"/>
    <cellStyle name="Procent 3 2 3" xfId="3013" xr:uid="{00000000-0005-0000-0000-00007D9C0000}"/>
    <cellStyle name="Procent 3 2 3 2" xfId="3014" xr:uid="{00000000-0005-0000-0000-00007E9C0000}"/>
    <cellStyle name="Procent 3 2 3 2 2" xfId="23046" xr:uid="{00000000-0005-0000-0000-00007F9C0000}"/>
    <cellStyle name="Procent 3 2 3 3" xfId="23045" xr:uid="{00000000-0005-0000-0000-0000809C0000}"/>
    <cellStyle name="Procent 3 2 4" xfId="3015" xr:uid="{00000000-0005-0000-0000-0000819C0000}"/>
    <cellStyle name="Procent 3 2 4 2" xfId="23047" xr:uid="{00000000-0005-0000-0000-0000829C0000}"/>
    <cellStyle name="Procent 3 2 5" xfId="7505" xr:uid="{00000000-0005-0000-0000-0000839C0000}"/>
    <cellStyle name="Procent 3 2 6" xfId="23042" xr:uid="{00000000-0005-0000-0000-0000849C0000}"/>
    <cellStyle name="Procent 3 3" xfId="3016" xr:uid="{00000000-0005-0000-0000-0000859C0000}"/>
    <cellStyle name="Procent 3 3 2" xfId="3017" xr:uid="{00000000-0005-0000-0000-0000869C0000}"/>
    <cellStyle name="Procent 3 3 2 2" xfId="23049" xr:uid="{00000000-0005-0000-0000-0000879C0000}"/>
    <cellStyle name="Procent 3 3 3" xfId="7504" xr:uid="{00000000-0005-0000-0000-0000889C0000}"/>
    <cellStyle name="Procent 3 3 4" xfId="23048" xr:uid="{00000000-0005-0000-0000-0000899C0000}"/>
    <cellStyle name="Procent 3 4" xfId="3018" xr:uid="{00000000-0005-0000-0000-00008A9C0000}"/>
    <cellStyle name="Procent 3 4 2" xfId="3019" xr:uid="{00000000-0005-0000-0000-00008B9C0000}"/>
    <cellStyle name="Procent 3 4 2 2" xfId="23051" xr:uid="{00000000-0005-0000-0000-00008C9C0000}"/>
    <cellStyle name="Procent 3 4 3" xfId="20163" xr:uid="{00000000-0005-0000-0000-00008D9C0000}"/>
    <cellStyle name="Procent 3 4 4" xfId="23050" xr:uid="{00000000-0005-0000-0000-00008E9C0000}"/>
    <cellStyle name="Procent 3 5" xfId="3020" xr:uid="{00000000-0005-0000-0000-00008F9C0000}"/>
    <cellStyle name="Procent 3 6" xfId="3021" xr:uid="{00000000-0005-0000-0000-0000909C0000}"/>
    <cellStyle name="Procent 3 6 2" xfId="23052" xr:uid="{00000000-0005-0000-0000-0000919C0000}"/>
    <cellStyle name="Procent 3 7" xfId="3478" xr:uid="{00000000-0005-0000-0000-0000929C0000}"/>
    <cellStyle name="Procent 3 8" xfId="23041" xr:uid="{00000000-0005-0000-0000-0000939C0000}"/>
    <cellStyle name="Procent 4" xfId="3022" xr:uid="{00000000-0005-0000-0000-0000949C0000}"/>
    <cellStyle name="Procent 4 2" xfId="3023" xr:uid="{00000000-0005-0000-0000-0000959C0000}"/>
    <cellStyle name="Procent 4 2 2" xfId="3024" xr:uid="{00000000-0005-0000-0000-0000969C0000}"/>
    <cellStyle name="Procent 4 2 2 2" xfId="3025" xr:uid="{00000000-0005-0000-0000-0000979C0000}"/>
    <cellStyle name="Procent 4 2 2 2 2" xfId="17974" xr:uid="{00000000-0005-0000-0000-0000989C0000}"/>
    <cellStyle name="Procent 4 2 2 2 2 2" xfId="36134" xr:uid="{00000000-0005-0000-0000-0000999C0000}"/>
    <cellStyle name="Procent 4 2 2 2 3" xfId="10073" xr:uid="{00000000-0005-0000-0000-00009A9C0000}"/>
    <cellStyle name="Procent 4 2 2 2 3 2" xfId="29133" xr:uid="{00000000-0005-0000-0000-00009B9C0000}"/>
    <cellStyle name="Procent 4 2 2 2 4" xfId="23056" xr:uid="{00000000-0005-0000-0000-00009C9C0000}"/>
    <cellStyle name="Procent 4 2 2 3" xfId="21216" xr:uid="{00000000-0005-0000-0000-00009D9C0000}"/>
    <cellStyle name="Procent 4 2 2 3 2" xfId="38067" xr:uid="{00000000-0005-0000-0000-00009E9C0000}"/>
    <cellStyle name="Procent 4 2 2 4" xfId="7508" xr:uid="{00000000-0005-0000-0000-00009F9C0000}"/>
    <cellStyle name="Procent 4 2 2 5" xfId="23055" xr:uid="{00000000-0005-0000-0000-0000A09C0000}"/>
    <cellStyle name="Procent 4 2 2 6" xfId="39022" xr:uid="{00000000-0005-0000-0000-0000A19C0000}"/>
    <cellStyle name="Procent 4 2 3" xfId="3026" xr:uid="{00000000-0005-0000-0000-0000A29C0000}"/>
    <cellStyle name="Procent 4 2 3 2" xfId="3027" xr:uid="{00000000-0005-0000-0000-0000A39C0000}"/>
    <cellStyle name="Procent 4 2 3 2 2" xfId="23058" xr:uid="{00000000-0005-0000-0000-0000A49C0000}"/>
    <cellStyle name="Procent 4 2 3 3" xfId="21169" xr:uid="{00000000-0005-0000-0000-0000A59C0000}"/>
    <cellStyle name="Procent 4 2 3 3 2" xfId="38047" xr:uid="{00000000-0005-0000-0000-0000A69C0000}"/>
    <cellStyle name="Procent 4 2 3 4" xfId="23057" xr:uid="{00000000-0005-0000-0000-0000A79C0000}"/>
    <cellStyle name="Procent 4 2 4" xfId="3028" xr:uid="{00000000-0005-0000-0000-0000A89C0000}"/>
    <cellStyle name="Procent 4 2 4 2" xfId="23059" xr:uid="{00000000-0005-0000-0000-0000A99C0000}"/>
    <cellStyle name="Procent 4 2 5" xfId="7507" xr:uid="{00000000-0005-0000-0000-0000AA9C0000}"/>
    <cellStyle name="Procent 4 2 6" xfId="23054" xr:uid="{00000000-0005-0000-0000-0000AB9C0000}"/>
    <cellStyle name="Procent 4 2 7" xfId="39002" xr:uid="{00000000-0005-0000-0000-0000AC9C0000}"/>
    <cellStyle name="Procent 4 3" xfId="3029" xr:uid="{00000000-0005-0000-0000-0000AD9C0000}"/>
    <cellStyle name="Procent 4 3 2" xfId="3030" xr:uid="{00000000-0005-0000-0000-0000AE9C0000}"/>
    <cellStyle name="Procent 4 3 2 2" xfId="10974" xr:uid="{00000000-0005-0000-0000-0000AF9C0000}"/>
    <cellStyle name="Procent 4 3 2 2 2" xfId="18853" xr:uid="{00000000-0005-0000-0000-0000B09C0000}"/>
    <cellStyle name="Procent 4 3 2 2 2 2" xfId="37013" xr:uid="{00000000-0005-0000-0000-0000B19C0000}"/>
    <cellStyle name="Procent 4 3 2 2 3" xfId="30012" xr:uid="{00000000-0005-0000-0000-0000B29C0000}"/>
    <cellStyle name="Procent 4 3 2 3" xfId="7510" xr:uid="{00000000-0005-0000-0000-0000B39C0000}"/>
    <cellStyle name="Procent 4 3 2 4" xfId="23061" xr:uid="{00000000-0005-0000-0000-0000B49C0000}"/>
    <cellStyle name="Procent 4 3 3" xfId="8620" xr:uid="{00000000-0005-0000-0000-0000B59C0000}"/>
    <cellStyle name="Procent 4 3 3 2" xfId="16534" xr:uid="{00000000-0005-0000-0000-0000B69C0000}"/>
    <cellStyle name="Procent 4 3 3 2 2" xfId="34694" xr:uid="{00000000-0005-0000-0000-0000B79C0000}"/>
    <cellStyle name="Procent 4 3 3 3" xfId="27693" xr:uid="{00000000-0005-0000-0000-0000B89C0000}"/>
    <cellStyle name="Procent 4 3 4" xfId="21197" xr:uid="{00000000-0005-0000-0000-0000B99C0000}"/>
    <cellStyle name="Procent 4 3 4 2" xfId="38057" xr:uid="{00000000-0005-0000-0000-0000BA9C0000}"/>
    <cellStyle name="Procent 4 3 5" xfId="7509" xr:uid="{00000000-0005-0000-0000-0000BB9C0000}"/>
    <cellStyle name="Procent 4 3 6" xfId="23060" xr:uid="{00000000-0005-0000-0000-0000BC9C0000}"/>
    <cellStyle name="Procent 4 3 7" xfId="39012" xr:uid="{00000000-0005-0000-0000-0000BD9C0000}"/>
    <cellStyle name="Procent 4 4" xfId="3031" xr:uid="{00000000-0005-0000-0000-0000BE9C0000}"/>
    <cellStyle name="Procent 4 4 2" xfId="3032" xr:uid="{00000000-0005-0000-0000-0000BF9C0000}"/>
    <cellStyle name="Procent 4 4 2 2" xfId="17226" xr:uid="{00000000-0005-0000-0000-0000C09C0000}"/>
    <cellStyle name="Procent 4 4 2 2 2" xfId="35386" xr:uid="{00000000-0005-0000-0000-0000C19C0000}"/>
    <cellStyle name="Procent 4 4 2 3" xfId="9315" xr:uid="{00000000-0005-0000-0000-0000C29C0000}"/>
    <cellStyle name="Procent 4 4 2 3 2" xfId="28385" xr:uid="{00000000-0005-0000-0000-0000C39C0000}"/>
    <cellStyle name="Procent 4 4 2 4" xfId="23063" xr:uid="{00000000-0005-0000-0000-0000C49C0000}"/>
    <cellStyle name="Procent 4 4 3" xfId="7511" xr:uid="{00000000-0005-0000-0000-0000C59C0000}"/>
    <cellStyle name="Procent 4 4 4" xfId="23062" xr:uid="{00000000-0005-0000-0000-0000C69C0000}"/>
    <cellStyle name="Procent 4 5" xfId="3033" xr:uid="{00000000-0005-0000-0000-0000C79C0000}"/>
    <cellStyle name="Procent 4 5 2" xfId="3034" xr:uid="{00000000-0005-0000-0000-0000C89C0000}"/>
    <cellStyle name="Procent 4 5 2 2" xfId="23065" xr:uid="{00000000-0005-0000-0000-0000C99C0000}"/>
    <cellStyle name="Procent 4 5 3" xfId="20165" xr:uid="{00000000-0005-0000-0000-0000CA9C0000}"/>
    <cellStyle name="Procent 4 5 3 2" xfId="37678" xr:uid="{00000000-0005-0000-0000-0000CB9C0000}"/>
    <cellStyle name="Procent 4 5 4" xfId="23064" xr:uid="{00000000-0005-0000-0000-0000CC9C0000}"/>
    <cellStyle name="Procent 4 6" xfId="3035" xr:uid="{00000000-0005-0000-0000-0000CD9C0000}"/>
    <cellStyle name="Procent 4 6 2" xfId="23066" xr:uid="{00000000-0005-0000-0000-0000CE9C0000}"/>
    <cellStyle name="Procent 4 7" xfId="7506" xr:uid="{00000000-0005-0000-0000-0000CF9C0000}"/>
    <cellStyle name="Procent 4 8" xfId="23053" xr:uid="{00000000-0005-0000-0000-0000D09C0000}"/>
    <cellStyle name="Procent 4 9" xfId="38633" xr:uid="{00000000-0005-0000-0000-0000D19C0000}"/>
    <cellStyle name="Procent 5" xfId="3036" xr:uid="{00000000-0005-0000-0000-0000D29C0000}"/>
    <cellStyle name="Procent 5 2" xfId="3037" xr:uid="{00000000-0005-0000-0000-0000D39C0000}"/>
    <cellStyle name="Procent 5 2 2" xfId="3038" xr:uid="{00000000-0005-0000-0000-0000D49C0000}"/>
    <cellStyle name="Procent 5 2 2 2" xfId="3039" xr:uid="{00000000-0005-0000-0000-0000D59C0000}"/>
    <cellStyle name="Procent 5 2 2 2 2" xfId="23070" xr:uid="{00000000-0005-0000-0000-0000D69C0000}"/>
    <cellStyle name="Procent 5 2 2 3" xfId="23069" xr:uid="{00000000-0005-0000-0000-0000D79C0000}"/>
    <cellStyle name="Procent 5 2 3" xfId="3040" xr:uid="{00000000-0005-0000-0000-0000D89C0000}"/>
    <cellStyle name="Procent 5 2 3 2" xfId="3041" xr:uid="{00000000-0005-0000-0000-0000D99C0000}"/>
    <cellStyle name="Procent 5 2 3 2 2" xfId="23072" xr:uid="{00000000-0005-0000-0000-0000DA9C0000}"/>
    <cellStyle name="Procent 5 2 3 3" xfId="23071" xr:uid="{00000000-0005-0000-0000-0000DB9C0000}"/>
    <cellStyle name="Procent 5 2 4" xfId="3042" xr:uid="{00000000-0005-0000-0000-0000DC9C0000}"/>
    <cellStyle name="Procent 5 2 4 2" xfId="23073" xr:uid="{00000000-0005-0000-0000-0000DD9C0000}"/>
    <cellStyle name="Procent 5 2 5" xfId="11120" xr:uid="{00000000-0005-0000-0000-0000DE9C0000}"/>
    <cellStyle name="Procent 5 2 6" xfId="23068" xr:uid="{00000000-0005-0000-0000-0000DF9C0000}"/>
    <cellStyle name="Procent 5 3" xfId="3043" xr:uid="{00000000-0005-0000-0000-0000E09C0000}"/>
    <cellStyle name="Procent 5 3 2" xfId="3044" xr:uid="{00000000-0005-0000-0000-0000E19C0000}"/>
    <cellStyle name="Procent 5 3 2 2" xfId="23075" xr:uid="{00000000-0005-0000-0000-0000E29C0000}"/>
    <cellStyle name="Procent 5 3 3" xfId="21220" xr:uid="{00000000-0005-0000-0000-0000E39C0000}"/>
    <cellStyle name="Procent 5 3 3 2" xfId="38071" xr:uid="{00000000-0005-0000-0000-0000E49C0000}"/>
    <cellStyle name="Procent 5 3 4" xfId="23074" xr:uid="{00000000-0005-0000-0000-0000E59C0000}"/>
    <cellStyle name="Procent 5 4" xfId="3045" xr:uid="{00000000-0005-0000-0000-0000E69C0000}"/>
    <cellStyle name="Procent 5 4 2" xfId="3046" xr:uid="{00000000-0005-0000-0000-0000E79C0000}"/>
    <cellStyle name="Procent 5 4 2 2" xfId="23077" xr:uid="{00000000-0005-0000-0000-0000E89C0000}"/>
    <cellStyle name="Procent 5 4 3" xfId="23076" xr:uid="{00000000-0005-0000-0000-0000E99C0000}"/>
    <cellStyle name="Procent 5 5" xfId="3047" xr:uid="{00000000-0005-0000-0000-0000EA9C0000}"/>
    <cellStyle name="Procent 5 5 2" xfId="3048" xr:uid="{00000000-0005-0000-0000-0000EB9C0000}"/>
    <cellStyle name="Procent 5 5 2 2" xfId="23079" xr:uid="{00000000-0005-0000-0000-0000EC9C0000}"/>
    <cellStyle name="Procent 5 5 3" xfId="23078" xr:uid="{00000000-0005-0000-0000-0000ED9C0000}"/>
    <cellStyle name="Procent 5 6" xfId="3049" xr:uid="{00000000-0005-0000-0000-0000EE9C0000}"/>
    <cellStyle name="Procent 5 6 2" xfId="23080" xr:uid="{00000000-0005-0000-0000-0000EF9C0000}"/>
    <cellStyle name="Procent 5 7" xfId="7512" xr:uid="{00000000-0005-0000-0000-0000F09C0000}"/>
    <cellStyle name="Procent 5 8" xfId="23067" xr:uid="{00000000-0005-0000-0000-0000F19C0000}"/>
    <cellStyle name="Procent 5 9" xfId="39026" xr:uid="{00000000-0005-0000-0000-0000F29C0000}"/>
    <cellStyle name="Procent 6" xfId="3050" xr:uid="{00000000-0005-0000-0000-0000F39C0000}"/>
    <cellStyle name="Procent 6 2" xfId="3051" xr:uid="{00000000-0005-0000-0000-0000F49C0000}"/>
    <cellStyle name="Procent 6 2 2" xfId="3052" xr:uid="{00000000-0005-0000-0000-0000F59C0000}"/>
    <cellStyle name="Procent 6 2 2 2" xfId="3053" xr:uid="{00000000-0005-0000-0000-0000F69C0000}"/>
    <cellStyle name="Procent 6 2 2 2 2" xfId="23084" xr:uid="{00000000-0005-0000-0000-0000F79C0000}"/>
    <cellStyle name="Procent 6 2 2 3" xfId="23083" xr:uid="{00000000-0005-0000-0000-0000F89C0000}"/>
    <cellStyle name="Procent 6 2 3" xfId="3054" xr:uid="{00000000-0005-0000-0000-0000F99C0000}"/>
    <cellStyle name="Procent 6 2 3 2" xfId="3055" xr:uid="{00000000-0005-0000-0000-0000FA9C0000}"/>
    <cellStyle name="Procent 6 2 3 2 2" xfId="23086" xr:uid="{00000000-0005-0000-0000-0000FB9C0000}"/>
    <cellStyle name="Procent 6 2 3 3" xfId="23085" xr:uid="{00000000-0005-0000-0000-0000FC9C0000}"/>
    <cellStyle name="Procent 6 2 4" xfId="3056" xr:uid="{00000000-0005-0000-0000-0000FD9C0000}"/>
    <cellStyle name="Procent 6 2 4 2" xfId="23087" xr:uid="{00000000-0005-0000-0000-0000FE9C0000}"/>
    <cellStyle name="Procent 6 2 5" xfId="11121" xr:uid="{00000000-0005-0000-0000-0000FF9C0000}"/>
    <cellStyle name="Procent 6 2 6" xfId="23082" xr:uid="{00000000-0005-0000-0000-0000009D0000}"/>
    <cellStyle name="Procent 6 3" xfId="3057" xr:uid="{00000000-0005-0000-0000-0000019D0000}"/>
    <cellStyle name="Procent 6 3 2" xfId="3058" xr:uid="{00000000-0005-0000-0000-0000029D0000}"/>
    <cellStyle name="Procent 6 3 2 2" xfId="23089" xr:uid="{00000000-0005-0000-0000-0000039D0000}"/>
    <cellStyle name="Procent 6 3 3" xfId="23088" xr:uid="{00000000-0005-0000-0000-0000049D0000}"/>
    <cellStyle name="Procent 6 4" xfId="3059" xr:uid="{00000000-0005-0000-0000-0000059D0000}"/>
    <cellStyle name="Procent 6 4 2" xfId="3060" xr:uid="{00000000-0005-0000-0000-0000069D0000}"/>
    <cellStyle name="Procent 6 4 2 2" xfId="23091" xr:uid="{00000000-0005-0000-0000-0000079D0000}"/>
    <cellStyle name="Procent 6 4 3" xfId="23090" xr:uid="{00000000-0005-0000-0000-0000089D0000}"/>
    <cellStyle name="Procent 6 5" xfId="3061" xr:uid="{00000000-0005-0000-0000-0000099D0000}"/>
    <cellStyle name="Procent 6 5 2" xfId="3062" xr:uid="{00000000-0005-0000-0000-00000A9D0000}"/>
    <cellStyle name="Procent 6 5 2 2" xfId="23093" xr:uid="{00000000-0005-0000-0000-00000B9D0000}"/>
    <cellStyle name="Procent 6 5 3" xfId="23092" xr:uid="{00000000-0005-0000-0000-00000C9D0000}"/>
    <cellStyle name="Procent 6 6" xfId="3063" xr:uid="{00000000-0005-0000-0000-00000D9D0000}"/>
    <cellStyle name="Procent 6 6 2" xfId="23094" xr:uid="{00000000-0005-0000-0000-00000E9D0000}"/>
    <cellStyle name="Procent 6 7" xfId="7513" xr:uid="{00000000-0005-0000-0000-00000F9D0000}"/>
    <cellStyle name="Procent 6 8" xfId="23081" xr:uid="{00000000-0005-0000-0000-0000109D0000}"/>
    <cellStyle name="Procent 7" xfId="3064" xr:uid="{00000000-0005-0000-0000-0000119D0000}"/>
    <cellStyle name="Procent 7 2" xfId="3065" xr:uid="{00000000-0005-0000-0000-0000129D0000}"/>
    <cellStyle name="Procent 7 2 2" xfId="3066" xr:uid="{00000000-0005-0000-0000-0000139D0000}"/>
    <cellStyle name="Procent 7 2 2 2" xfId="3067" xr:uid="{00000000-0005-0000-0000-0000149D0000}"/>
    <cellStyle name="Procent 7 2 2 2 2" xfId="23098" xr:uid="{00000000-0005-0000-0000-0000159D0000}"/>
    <cellStyle name="Procent 7 2 2 3" xfId="11123" xr:uid="{00000000-0005-0000-0000-0000169D0000}"/>
    <cellStyle name="Procent 7 2 2 4" xfId="23097" xr:uid="{00000000-0005-0000-0000-0000179D0000}"/>
    <cellStyle name="Procent 7 2 3" xfId="3068" xr:uid="{00000000-0005-0000-0000-0000189D0000}"/>
    <cellStyle name="Procent 7 2 3 2" xfId="3069" xr:uid="{00000000-0005-0000-0000-0000199D0000}"/>
    <cellStyle name="Procent 7 2 3 2 2" xfId="23100" xr:uid="{00000000-0005-0000-0000-00001A9D0000}"/>
    <cellStyle name="Procent 7 2 3 3" xfId="23099" xr:uid="{00000000-0005-0000-0000-00001B9D0000}"/>
    <cellStyle name="Procent 7 2 4" xfId="3070" xr:uid="{00000000-0005-0000-0000-00001C9D0000}"/>
    <cellStyle name="Procent 7 2 4 2" xfId="23101" xr:uid="{00000000-0005-0000-0000-00001D9D0000}"/>
    <cellStyle name="Procent 7 2 5" xfId="7515" xr:uid="{00000000-0005-0000-0000-00001E9D0000}"/>
    <cellStyle name="Procent 7 2 6" xfId="23096" xr:uid="{00000000-0005-0000-0000-00001F9D0000}"/>
    <cellStyle name="Procent 7 3" xfId="3071" xr:uid="{00000000-0005-0000-0000-0000209D0000}"/>
    <cellStyle name="Procent 7 3 2" xfId="3072" xr:uid="{00000000-0005-0000-0000-0000219D0000}"/>
    <cellStyle name="Procent 7 3 2 2" xfId="23103" xr:uid="{00000000-0005-0000-0000-0000229D0000}"/>
    <cellStyle name="Procent 7 3 3" xfId="11122" xr:uid="{00000000-0005-0000-0000-0000239D0000}"/>
    <cellStyle name="Procent 7 3 4" xfId="23102" xr:uid="{00000000-0005-0000-0000-0000249D0000}"/>
    <cellStyle name="Procent 7 4" xfId="3073" xr:uid="{00000000-0005-0000-0000-0000259D0000}"/>
    <cellStyle name="Procent 7 4 2" xfId="3074" xr:uid="{00000000-0005-0000-0000-0000269D0000}"/>
    <cellStyle name="Procent 7 4 2 2" xfId="23105" xr:uid="{00000000-0005-0000-0000-0000279D0000}"/>
    <cellStyle name="Procent 7 4 3" xfId="23104" xr:uid="{00000000-0005-0000-0000-0000289D0000}"/>
    <cellStyle name="Procent 7 5" xfId="3075" xr:uid="{00000000-0005-0000-0000-0000299D0000}"/>
    <cellStyle name="Procent 7 5 2" xfId="3076" xr:uid="{00000000-0005-0000-0000-00002A9D0000}"/>
    <cellStyle name="Procent 7 5 2 2" xfId="23107" xr:uid="{00000000-0005-0000-0000-00002B9D0000}"/>
    <cellStyle name="Procent 7 5 3" xfId="23106" xr:uid="{00000000-0005-0000-0000-00002C9D0000}"/>
    <cellStyle name="Procent 7 6" xfId="3077" xr:uid="{00000000-0005-0000-0000-00002D9D0000}"/>
    <cellStyle name="Procent 7 6 2" xfId="23108" xr:uid="{00000000-0005-0000-0000-00002E9D0000}"/>
    <cellStyle name="Procent 7 7" xfId="7514" xr:uid="{00000000-0005-0000-0000-00002F9D0000}"/>
    <cellStyle name="Procent 7 8" xfId="23095" xr:uid="{00000000-0005-0000-0000-0000309D0000}"/>
    <cellStyle name="Procent 8" xfId="3078" xr:uid="{00000000-0005-0000-0000-0000319D0000}"/>
    <cellStyle name="Procent 8 2" xfId="3079" xr:uid="{00000000-0005-0000-0000-0000329D0000}"/>
    <cellStyle name="Procent 8 2 2" xfId="3080" xr:uid="{00000000-0005-0000-0000-0000339D0000}"/>
    <cellStyle name="Procent 8 2 2 2" xfId="3081" xr:uid="{00000000-0005-0000-0000-0000349D0000}"/>
    <cellStyle name="Procent 8 2 2 2 2" xfId="23112" xr:uid="{00000000-0005-0000-0000-0000359D0000}"/>
    <cellStyle name="Procent 8 2 2 3" xfId="9713" xr:uid="{00000000-0005-0000-0000-0000369D0000}"/>
    <cellStyle name="Procent 8 2 2 4" xfId="23111" xr:uid="{00000000-0005-0000-0000-0000379D0000}"/>
    <cellStyle name="Procent 8 2 3" xfId="3082" xr:uid="{00000000-0005-0000-0000-0000389D0000}"/>
    <cellStyle name="Procent 8 2 3 2" xfId="3083" xr:uid="{00000000-0005-0000-0000-0000399D0000}"/>
    <cellStyle name="Procent 8 2 3 2 2" xfId="23114" xr:uid="{00000000-0005-0000-0000-00003A9D0000}"/>
    <cellStyle name="Procent 8 2 3 3" xfId="23113" xr:uid="{00000000-0005-0000-0000-00003B9D0000}"/>
    <cellStyle name="Procent 8 2 4" xfId="3084" xr:uid="{00000000-0005-0000-0000-00003C9D0000}"/>
    <cellStyle name="Procent 8 2 4 2" xfId="23115" xr:uid="{00000000-0005-0000-0000-00003D9D0000}"/>
    <cellStyle name="Procent 8 2 5" xfId="7517" xr:uid="{00000000-0005-0000-0000-00003E9D0000}"/>
    <cellStyle name="Procent 8 2 6" xfId="23110" xr:uid="{00000000-0005-0000-0000-00003F9D0000}"/>
    <cellStyle name="Procent 8 3" xfId="3085" xr:uid="{00000000-0005-0000-0000-0000409D0000}"/>
    <cellStyle name="Procent 8 3 2" xfId="3086" xr:uid="{00000000-0005-0000-0000-0000419D0000}"/>
    <cellStyle name="Procent 8 3 2 2" xfId="23117" xr:uid="{00000000-0005-0000-0000-0000429D0000}"/>
    <cellStyle name="Procent 8 3 3" xfId="23116" xr:uid="{00000000-0005-0000-0000-0000439D0000}"/>
    <cellStyle name="Procent 8 4" xfId="3087" xr:uid="{00000000-0005-0000-0000-0000449D0000}"/>
    <cellStyle name="Procent 8 4 2" xfId="3088" xr:uid="{00000000-0005-0000-0000-0000459D0000}"/>
    <cellStyle name="Procent 8 4 2 2" xfId="23119" xr:uid="{00000000-0005-0000-0000-0000469D0000}"/>
    <cellStyle name="Procent 8 4 3" xfId="23118" xr:uid="{00000000-0005-0000-0000-0000479D0000}"/>
    <cellStyle name="Procent 8 5" xfId="3089" xr:uid="{00000000-0005-0000-0000-0000489D0000}"/>
    <cellStyle name="Procent 8 5 2" xfId="23120" xr:uid="{00000000-0005-0000-0000-0000499D0000}"/>
    <cellStyle name="Procent 8 6" xfId="7516" xr:uid="{00000000-0005-0000-0000-00004A9D0000}"/>
    <cellStyle name="Procent 8 7" xfId="23109" xr:uid="{00000000-0005-0000-0000-00004B9D0000}"/>
    <cellStyle name="Procent 9" xfId="3090" xr:uid="{00000000-0005-0000-0000-00004C9D0000}"/>
    <cellStyle name="Procent 9 2" xfId="3091" xr:uid="{00000000-0005-0000-0000-00004D9D0000}"/>
    <cellStyle name="Procent 9 2 2" xfId="3092" xr:uid="{00000000-0005-0000-0000-00004E9D0000}"/>
    <cellStyle name="Procent 9 2 2 2" xfId="23123" xr:uid="{00000000-0005-0000-0000-00004F9D0000}"/>
    <cellStyle name="Procent 9 2 3" xfId="7519" xr:uid="{00000000-0005-0000-0000-0000509D0000}"/>
    <cellStyle name="Procent 9 2 4" xfId="23122" xr:uid="{00000000-0005-0000-0000-0000519D0000}"/>
    <cellStyle name="Procent 9 3" xfId="3093" xr:uid="{00000000-0005-0000-0000-0000529D0000}"/>
    <cellStyle name="Procent 9 3 2" xfId="3094" xr:uid="{00000000-0005-0000-0000-0000539D0000}"/>
    <cellStyle name="Procent 9 3 2 2" xfId="23125" xr:uid="{00000000-0005-0000-0000-0000549D0000}"/>
    <cellStyle name="Procent 9 3 3" xfId="7520" xr:uid="{00000000-0005-0000-0000-0000559D0000}"/>
    <cellStyle name="Procent 9 3 4" xfId="23124" xr:uid="{00000000-0005-0000-0000-0000569D0000}"/>
    <cellStyle name="Procent 9 4" xfId="3095" xr:uid="{00000000-0005-0000-0000-0000579D0000}"/>
    <cellStyle name="Procent 9 4 2" xfId="23126" xr:uid="{00000000-0005-0000-0000-0000589D0000}"/>
    <cellStyle name="Procent 9 5" xfId="7518" xr:uid="{00000000-0005-0000-0000-0000599D0000}"/>
    <cellStyle name="Procent 9 6" xfId="23121" xr:uid="{00000000-0005-0000-0000-00005A9D0000}"/>
    <cellStyle name="Sammenkædet celle 2" xfId="7522" xr:uid="{00000000-0005-0000-0000-00005B9D0000}"/>
    <cellStyle name="Sammenkædet celle 2 2" xfId="7523" xr:uid="{00000000-0005-0000-0000-00005C9D0000}"/>
    <cellStyle name="Sammenkædet celle 3" xfId="7524" xr:uid="{00000000-0005-0000-0000-00005D9D0000}"/>
    <cellStyle name="Sammenkædet celle 3 2" xfId="7525" xr:uid="{00000000-0005-0000-0000-00005E9D0000}"/>
    <cellStyle name="Sammenkædet celle 4" xfId="7526" xr:uid="{00000000-0005-0000-0000-00005F9D0000}"/>
    <cellStyle name="Sammenkædet celle 5" xfId="7527" xr:uid="{00000000-0005-0000-0000-0000609D0000}"/>
    <cellStyle name="Sammenkædet celle 5 2" xfId="10615" xr:uid="{00000000-0005-0000-0000-0000619D0000}"/>
    <cellStyle name="Sammenkædet celle 6" xfId="7609" xr:uid="{00000000-0005-0000-0000-0000629D0000}"/>
    <cellStyle name="Sammenkædet celle 7" xfId="7521" xr:uid="{00000000-0005-0000-0000-0000639D0000}"/>
    <cellStyle name="SAPBEXaggData" xfId="7528" xr:uid="{00000000-0005-0000-0000-0000649D0000}"/>
    <cellStyle name="SAPBEXaggDataEmph" xfId="7529" xr:uid="{00000000-0005-0000-0000-0000659D0000}"/>
    <cellStyle name="SAPBEXaggItem" xfId="7530" xr:uid="{00000000-0005-0000-0000-0000669D0000}"/>
    <cellStyle name="SAPBEXaggItemX" xfId="7531" xr:uid="{00000000-0005-0000-0000-0000679D0000}"/>
    <cellStyle name="SAPBEXaggItemX 2" xfId="11124" xr:uid="{00000000-0005-0000-0000-0000689D0000}"/>
    <cellStyle name="SAPBEXchaText" xfId="7532" xr:uid="{00000000-0005-0000-0000-0000699D0000}"/>
    <cellStyle name="SAPBEXexcBad" xfId="7533" xr:uid="{00000000-0005-0000-0000-00006A9D0000}"/>
    <cellStyle name="SAPBEXexcBad7" xfId="7534" xr:uid="{00000000-0005-0000-0000-00006B9D0000}"/>
    <cellStyle name="SAPBEXexcBad7 2" xfId="11125" xr:uid="{00000000-0005-0000-0000-00006C9D0000}"/>
    <cellStyle name="SAPBEXexcBad8" xfId="7535" xr:uid="{00000000-0005-0000-0000-00006D9D0000}"/>
    <cellStyle name="SAPBEXexcBad8 2" xfId="11126" xr:uid="{00000000-0005-0000-0000-00006E9D0000}"/>
    <cellStyle name="SAPBEXexcBad9" xfId="7536" xr:uid="{00000000-0005-0000-0000-00006F9D0000}"/>
    <cellStyle name="SAPBEXexcBad9 2" xfId="11127" xr:uid="{00000000-0005-0000-0000-0000709D0000}"/>
    <cellStyle name="SAPBEXexcCritical" xfId="7537" xr:uid="{00000000-0005-0000-0000-0000719D0000}"/>
    <cellStyle name="SAPBEXexcCritical4" xfId="7538" xr:uid="{00000000-0005-0000-0000-0000729D0000}"/>
    <cellStyle name="SAPBEXexcCritical4 2" xfId="11128" xr:uid="{00000000-0005-0000-0000-0000739D0000}"/>
    <cellStyle name="SAPBEXexcCritical5" xfId="7539" xr:uid="{00000000-0005-0000-0000-0000749D0000}"/>
    <cellStyle name="SAPBEXexcCritical5 2" xfId="11129" xr:uid="{00000000-0005-0000-0000-0000759D0000}"/>
    <cellStyle name="SAPBEXexcCritical6" xfId="7540" xr:uid="{00000000-0005-0000-0000-0000769D0000}"/>
    <cellStyle name="SAPBEXexcCritical6 2" xfId="11130" xr:uid="{00000000-0005-0000-0000-0000779D0000}"/>
    <cellStyle name="SAPBEXexcGood" xfId="7541" xr:uid="{00000000-0005-0000-0000-0000789D0000}"/>
    <cellStyle name="SAPBEXexcGood1" xfId="7542" xr:uid="{00000000-0005-0000-0000-0000799D0000}"/>
    <cellStyle name="SAPBEXexcGood1 2" xfId="11131" xr:uid="{00000000-0005-0000-0000-00007A9D0000}"/>
    <cellStyle name="SAPBEXexcGood2" xfId="7543" xr:uid="{00000000-0005-0000-0000-00007B9D0000}"/>
    <cellStyle name="SAPBEXexcGood2 2" xfId="11132" xr:uid="{00000000-0005-0000-0000-00007C9D0000}"/>
    <cellStyle name="SAPBEXexcGood3" xfId="7544" xr:uid="{00000000-0005-0000-0000-00007D9D0000}"/>
    <cellStyle name="SAPBEXexcGood3 2" xfId="11133" xr:uid="{00000000-0005-0000-0000-00007E9D0000}"/>
    <cellStyle name="SAPBEXexcVeryBad" xfId="7545" xr:uid="{00000000-0005-0000-0000-00007F9D0000}"/>
    <cellStyle name="SAPBEXfilterDrill" xfId="7546" xr:uid="{00000000-0005-0000-0000-0000809D0000}"/>
    <cellStyle name="SAPBEXfilterItem" xfId="7547" xr:uid="{00000000-0005-0000-0000-0000819D0000}"/>
    <cellStyle name="SAPBEXfilterText" xfId="7548" xr:uid="{00000000-0005-0000-0000-0000829D0000}"/>
    <cellStyle name="SAPBEXformats" xfId="7549" xr:uid="{00000000-0005-0000-0000-0000839D0000}"/>
    <cellStyle name="SAPBEXheaderData" xfId="7550" xr:uid="{00000000-0005-0000-0000-0000849D0000}"/>
    <cellStyle name="SAPBEXheaderItem" xfId="7551" xr:uid="{00000000-0005-0000-0000-0000859D0000}"/>
    <cellStyle name="SAPBEXheaderText" xfId="7552" xr:uid="{00000000-0005-0000-0000-0000869D0000}"/>
    <cellStyle name="SAPBEXHLevel0" xfId="7553" xr:uid="{00000000-0005-0000-0000-0000879D0000}"/>
    <cellStyle name="SAPBEXHLevel0 2" xfId="11134" xr:uid="{00000000-0005-0000-0000-0000889D0000}"/>
    <cellStyle name="SAPBEXHLevel0X" xfId="7554" xr:uid="{00000000-0005-0000-0000-0000899D0000}"/>
    <cellStyle name="SAPBEXHLevel0X 2" xfId="11135" xr:uid="{00000000-0005-0000-0000-00008A9D0000}"/>
    <cellStyle name="SAPBEXHLevel1" xfId="7555" xr:uid="{00000000-0005-0000-0000-00008B9D0000}"/>
    <cellStyle name="SAPBEXHLevel1 2" xfId="11136" xr:uid="{00000000-0005-0000-0000-00008C9D0000}"/>
    <cellStyle name="SAPBEXHLevel1X" xfId="7556" xr:uid="{00000000-0005-0000-0000-00008D9D0000}"/>
    <cellStyle name="SAPBEXHLevel1X 2" xfId="11137" xr:uid="{00000000-0005-0000-0000-00008E9D0000}"/>
    <cellStyle name="SAPBEXHLevel2" xfId="7557" xr:uid="{00000000-0005-0000-0000-00008F9D0000}"/>
    <cellStyle name="SAPBEXHLevel2 2" xfId="11138" xr:uid="{00000000-0005-0000-0000-0000909D0000}"/>
    <cellStyle name="SAPBEXHLevel2X" xfId="7558" xr:uid="{00000000-0005-0000-0000-0000919D0000}"/>
    <cellStyle name="SAPBEXHLevel2X 2" xfId="11139" xr:uid="{00000000-0005-0000-0000-0000929D0000}"/>
    <cellStyle name="SAPBEXHLevel3" xfId="7559" xr:uid="{00000000-0005-0000-0000-0000939D0000}"/>
    <cellStyle name="SAPBEXHLevel3 2" xfId="11140" xr:uid="{00000000-0005-0000-0000-0000949D0000}"/>
    <cellStyle name="SAPBEXHLevel3X" xfId="7560" xr:uid="{00000000-0005-0000-0000-0000959D0000}"/>
    <cellStyle name="SAPBEXHLevel3X 2" xfId="11141" xr:uid="{00000000-0005-0000-0000-0000969D0000}"/>
    <cellStyle name="SAPBEXinputData" xfId="7561" xr:uid="{00000000-0005-0000-0000-0000979D0000}"/>
    <cellStyle name="SAPBEXinputData 2" xfId="11142" xr:uid="{00000000-0005-0000-0000-0000989D0000}"/>
    <cellStyle name="SAPBEXresData" xfId="7562" xr:uid="{00000000-0005-0000-0000-0000999D0000}"/>
    <cellStyle name="SAPBEXresDataEmph" xfId="7563" xr:uid="{00000000-0005-0000-0000-00009A9D0000}"/>
    <cellStyle name="SAPBEXresItem" xfId="7564" xr:uid="{00000000-0005-0000-0000-00009B9D0000}"/>
    <cellStyle name="SAPBEXresItemX" xfId="7565" xr:uid="{00000000-0005-0000-0000-00009C9D0000}"/>
    <cellStyle name="SAPBEXresItemX 2" xfId="11143" xr:uid="{00000000-0005-0000-0000-00009D9D0000}"/>
    <cellStyle name="SAPBEXstdData" xfId="7566" xr:uid="{00000000-0005-0000-0000-00009E9D0000}"/>
    <cellStyle name="SAPBEXstdDataEmph" xfId="7567" xr:uid="{00000000-0005-0000-0000-00009F9D0000}"/>
    <cellStyle name="SAPBEXstdItem" xfId="7568" xr:uid="{00000000-0005-0000-0000-0000A09D0000}"/>
    <cellStyle name="SAPBEXstdItemX" xfId="7569" xr:uid="{00000000-0005-0000-0000-0000A19D0000}"/>
    <cellStyle name="SAPBEXstdItemX 2" xfId="11144" xr:uid="{00000000-0005-0000-0000-0000A29D0000}"/>
    <cellStyle name="SAPBEXsubData" xfId="7570" xr:uid="{00000000-0005-0000-0000-0000A39D0000}"/>
    <cellStyle name="SAPBEXsubDataEmph" xfId="7571" xr:uid="{00000000-0005-0000-0000-0000A49D0000}"/>
    <cellStyle name="SAPBEXsubItem" xfId="7572" xr:uid="{00000000-0005-0000-0000-0000A59D0000}"/>
    <cellStyle name="SAPBEXtitle" xfId="7573" xr:uid="{00000000-0005-0000-0000-0000A69D0000}"/>
    <cellStyle name="SAPBEXundefined" xfId="7574" xr:uid="{00000000-0005-0000-0000-0000A79D0000}"/>
    <cellStyle name="Standard_ENR_REF" xfId="7575" xr:uid="{00000000-0005-0000-0000-0000A89D0000}"/>
    <cellStyle name="Testo avviso" xfId="1752" xr:uid="{00000000-0005-0000-0000-0000A99D0000}"/>
    <cellStyle name="Testo descrittivo" xfId="1753" xr:uid="{00000000-0005-0000-0000-0000AA9D0000}"/>
    <cellStyle name="Titel 2" xfId="3096" xr:uid="{00000000-0005-0000-0000-0000AB9D0000}"/>
    <cellStyle name="Titel 2 2" xfId="7577" xr:uid="{00000000-0005-0000-0000-0000AC9D0000}"/>
    <cellStyle name="Titel 3" xfId="7578" xr:uid="{00000000-0005-0000-0000-0000AD9D0000}"/>
    <cellStyle name="Titel 4" xfId="7579" xr:uid="{00000000-0005-0000-0000-0000AE9D0000}"/>
    <cellStyle name="Titel 5" xfId="7580" xr:uid="{00000000-0005-0000-0000-0000AF9D0000}"/>
    <cellStyle name="Titel 5 2" xfId="10825" xr:uid="{00000000-0005-0000-0000-0000B09D0000}"/>
    <cellStyle name="Titel 6" xfId="7598" xr:uid="{00000000-0005-0000-0000-0000B19D0000}"/>
    <cellStyle name="Titel 7" xfId="7576" xr:uid="{00000000-0005-0000-0000-0000B29D0000}"/>
    <cellStyle name="Title 2" xfId="3097" xr:uid="{00000000-0005-0000-0000-0000B39D0000}"/>
    <cellStyle name="Title 3" xfId="3454" xr:uid="{00000000-0005-0000-0000-0000B49D0000}"/>
    <cellStyle name="Titolo" xfId="1754" xr:uid="{00000000-0005-0000-0000-0000B59D0000}"/>
    <cellStyle name="Titolo 1" xfId="1755" xr:uid="{00000000-0005-0000-0000-0000B69D0000}"/>
    <cellStyle name="Titolo 2" xfId="1756" xr:uid="{00000000-0005-0000-0000-0000B79D0000}"/>
    <cellStyle name="Titolo 3" xfId="1757" xr:uid="{00000000-0005-0000-0000-0000B89D0000}"/>
    <cellStyle name="Titolo 4" xfId="1758" xr:uid="{00000000-0005-0000-0000-0000B99D0000}"/>
    <cellStyle name="Total" xfId="3116" builtinId="25" customBuiltin="1"/>
    <cellStyle name="Total 2" xfId="3098" xr:uid="{00000000-0005-0000-0000-0000BB9D0000}"/>
    <cellStyle name="Total 2 2" xfId="3099" xr:uid="{00000000-0005-0000-0000-0000BC9D0000}"/>
    <cellStyle name="Total 2 2 2" xfId="9714" xr:uid="{00000000-0005-0000-0000-0000BD9D0000}"/>
    <cellStyle name="Total 2 2 3" xfId="7583" xr:uid="{00000000-0005-0000-0000-0000BE9D0000}"/>
    <cellStyle name="Total 2 2 4" xfId="23128" xr:uid="{00000000-0005-0000-0000-0000BF9D0000}"/>
    <cellStyle name="Total 2 3" xfId="15536" xr:uid="{00000000-0005-0000-0000-0000C09D0000}"/>
    <cellStyle name="Total 2 4" xfId="7582" xr:uid="{00000000-0005-0000-0000-0000C19D0000}"/>
    <cellStyle name="Total 2 4 2" xfId="26698" xr:uid="{00000000-0005-0000-0000-0000C29D0000}"/>
    <cellStyle name="Total 2 5" xfId="23127" xr:uid="{00000000-0005-0000-0000-0000C39D0000}"/>
    <cellStyle name="Total 3" xfId="7584" xr:uid="{00000000-0005-0000-0000-0000C49D0000}"/>
    <cellStyle name="Total 3 2" xfId="15537" xr:uid="{00000000-0005-0000-0000-0000C59D0000}"/>
    <cellStyle name="Total 4" xfId="7585" xr:uid="{00000000-0005-0000-0000-0000C69D0000}"/>
    <cellStyle name="Total 4 2" xfId="15538" xr:uid="{00000000-0005-0000-0000-0000C79D0000}"/>
    <cellStyle name="Total 5" xfId="7586" xr:uid="{00000000-0005-0000-0000-0000C89D0000}"/>
    <cellStyle name="Total 5 2" xfId="10844" xr:uid="{00000000-0005-0000-0000-0000C99D0000}"/>
    <cellStyle name="Total 5 3" xfId="15539" xr:uid="{00000000-0005-0000-0000-0000CA9D0000}"/>
    <cellStyle name="Total 6" xfId="7610" xr:uid="{00000000-0005-0000-0000-0000CB9D0000}"/>
    <cellStyle name="Total 7" xfId="7581" xr:uid="{00000000-0005-0000-0000-0000CC9D0000}"/>
    <cellStyle name="Total 7 2" xfId="15535" xr:uid="{00000000-0005-0000-0000-0000CD9D0000}"/>
    <cellStyle name="Totale" xfId="1759" xr:uid="{00000000-0005-0000-0000-0000CE9D0000}"/>
    <cellStyle name="Totale 2" xfId="12281" xr:uid="{00000000-0005-0000-0000-0000CF9D0000}"/>
    <cellStyle name="Totale 3" xfId="18965" xr:uid="{00000000-0005-0000-0000-0000D09D0000}"/>
    <cellStyle name="Totale 4" xfId="20166" xr:uid="{00000000-0005-0000-0000-0000D19D0000}"/>
    <cellStyle name="Udgår måske?" xfId="3474" xr:uid="{00000000-0005-0000-0000-0000D29D0000}"/>
    <cellStyle name="Ugyldig 2" xfId="7588" xr:uid="{00000000-0005-0000-0000-0000D39D0000}"/>
    <cellStyle name="Ugyldig 2 2" xfId="21225" xr:uid="{00000000-0005-0000-0000-0000D49D0000}"/>
    <cellStyle name="Ugyldig 3" xfId="7589" xr:uid="{00000000-0005-0000-0000-0000D59D0000}"/>
    <cellStyle name="Ugyldig 4" xfId="7590" xr:uid="{00000000-0005-0000-0000-0000D69D0000}"/>
    <cellStyle name="Ugyldig 5" xfId="7591" xr:uid="{00000000-0005-0000-0000-0000D79D0000}"/>
    <cellStyle name="Ugyldig 5 2" xfId="10703" xr:uid="{00000000-0005-0000-0000-0000D89D0000}"/>
    <cellStyle name="Ugyldig 6" xfId="7604" xr:uid="{00000000-0005-0000-0000-0000D99D0000}"/>
    <cellStyle name="Ugyldig 7" xfId="7587" xr:uid="{00000000-0005-0000-0000-0000DA9D0000}"/>
    <cellStyle name="Uncertain" xfId="1760" xr:uid="{00000000-0005-0000-0000-0000DB9D0000}"/>
    <cellStyle name="Valore non valido" xfId="1761" xr:uid="{00000000-0005-0000-0000-0000DC9D0000}"/>
    <cellStyle name="Valore valido" xfId="1762" xr:uid="{00000000-0005-0000-0000-0000DD9D0000}"/>
    <cellStyle name="Valuta 2" xfId="7593" xr:uid="{00000000-0005-0000-0000-0000DE9D0000}"/>
    <cellStyle name="Valuta 3" xfId="7594" xr:uid="{00000000-0005-0000-0000-0000DF9D0000}"/>
    <cellStyle name="Valuta 4" xfId="7595" xr:uid="{00000000-0005-0000-0000-0000E09D0000}"/>
    <cellStyle name="Valuta 5" xfId="7596" xr:uid="{00000000-0005-0000-0000-0000E19D0000}"/>
    <cellStyle name="Valuta 6" xfId="7592" xr:uid="{00000000-0005-0000-0000-0000E29D0000}"/>
    <cellStyle name="Warning Text" xfId="3114" builtinId="11" customBuiltin="1"/>
    <cellStyle name="Warning Text 2" xfId="3100" xr:uid="{00000000-0005-0000-0000-0000E49D0000}"/>
    <cellStyle name="X08_Total Oil" xfId="3101" xr:uid="{00000000-0005-0000-0000-0000E59D0000}"/>
    <cellStyle name="X12_Total Figs 1 dec" xfId="3102" xr:uid="{00000000-0005-0000-0000-0000E69D0000}"/>
    <cellStyle name="Year" xfId="1763" xr:uid="{00000000-0005-0000-0000-0000E79D0000}"/>
    <cellStyle name="Years" xfId="1764" xr:uid="{00000000-0005-0000-0000-0000E89D0000}"/>
    <cellStyle name="Βασικό_Φύλλο1" xfId="7597" xr:uid="{00000000-0005-0000-0000-0000E99D0000}"/>
    <cellStyle name="Обычный_CRF2002 (1)" xfId="1765" xr:uid="{00000000-0005-0000-0000-0000EA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externalLink" Target="externalLinks/externalLink5.xml"/><Relationship Id="rId55" Type="http://schemas.openxmlformats.org/officeDocument/2006/relationships/externalLink" Target="externalLinks/externalLink10.xml"/><Relationship Id="rId63" Type="http://schemas.openxmlformats.org/officeDocument/2006/relationships/styles" Target="style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8.xml"/><Relationship Id="rId58" Type="http://schemas.openxmlformats.org/officeDocument/2006/relationships/externalLink" Target="externalLinks/externalLink13.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4.xml"/><Relationship Id="rId57" Type="http://schemas.openxmlformats.org/officeDocument/2006/relationships/externalLink" Target="externalLinks/externalLink12.xml"/><Relationship Id="rId61" Type="http://schemas.openxmlformats.org/officeDocument/2006/relationships/externalLink" Target="externalLinks/externalLink1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7.xml"/><Relationship Id="rId60" Type="http://schemas.openxmlformats.org/officeDocument/2006/relationships/externalLink" Target="externalLinks/externalLink15.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3.xml"/><Relationship Id="rId56" Type="http://schemas.openxmlformats.org/officeDocument/2006/relationships/externalLink" Target="externalLinks/externalLink11.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59" Type="http://schemas.openxmlformats.org/officeDocument/2006/relationships/externalLink" Target="externalLinks/externalLink14.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9.xml"/><Relationship Id="rId6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19</xdr:col>
      <xdr:colOff>28575</xdr:colOff>
      <xdr:row>3</xdr:row>
      <xdr:rowOff>28575</xdr:rowOff>
    </xdr:from>
    <xdr:to>
      <xdr:col>26</xdr:col>
      <xdr:colOff>196215</xdr:colOff>
      <xdr:row>6</xdr:row>
      <xdr:rowOff>394335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3074015" y="531495"/>
          <a:ext cx="44348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when will be motorbikes fuelled</a:t>
          </a:r>
          <a:r>
            <a:rPr lang="en-GB" sz="1100" baseline="0"/>
            <a:t> by ethanol available?</a:t>
          </a:r>
        </a:p>
        <a:p>
          <a:r>
            <a:rPr lang="en-GB" sz="1100" baseline="0"/>
            <a:t>-Efficiency should be based not on previous technoloy using the Trans file but from scratch</a:t>
          </a:r>
        </a:p>
        <a:p>
          <a:r>
            <a:rPr lang="en-GB" sz="1100" baseline="0"/>
            <a:t>-Add other commodity out TPMTM, TPMTL, TPMPM, TPMTL</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457200</xdr:colOff>
      <xdr:row>22</xdr:row>
      <xdr:rowOff>76200</xdr:rowOff>
    </xdr:from>
    <xdr:ext cx="5123809" cy="2009524"/>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57200" y="3764280"/>
          <a:ext cx="5123809" cy="2009524"/>
        </a:xfrm>
        <a:prstGeom prst="rect">
          <a:avLst/>
        </a:prstGeom>
      </xdr:spPr>
    </xdr:pic>
    <xdr:clientData/>
  </xdr:oneCellAnchor>
  <xdr:twoCellAnchor>
    <xdr:from>
      <xdr:col>4</xdr:col>
      <xdr:colOff>956318</xdr:colOff>
      <xdr:row>22</xdr:row>
      <xdr:rowOff>152400</xdr:rowOff>
    </xdr:from>
    <xdr:to>
      <xdr:col>11</xdr:col>
      <xdr:colOff>238133</xdr:colOff>
      <xdr:row>34</xdr:row>
      <xdr:rowOff>22860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7800031" y="4548188"/>
          <a:ext cx="5115877"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the total above a certain</a:t>
          </a:r>
          <a:r>
            <a:rPr lang="en-GB" sz="1100" baseline="0"/>
            <a:t> number is of electric bikes ..</a:t>
          </a:r>
          <a:r>
            <a:rPr lang="en-GB" sz="1100"/>
            <a:t>get number</a:t>
          </a:r>
        </a:p>
        <a:p>
          <a:r>
            <a:rPr lang="en-GB" sz="1100"/>
            <a:t>According</a:t>
          </a:r>
          <a:r>
            <a:rPr lang="en-GB" sz="1100" baseline="0"/>
            <a:t> to http://www.cycling-embassy.dk/facts-about-cycling-in-denmark/statistics/ in 2013 about 18.100 eBikes were sold in DK--&gt; source?</a:t>
          </a:r>
        </a:p>
        <a:p>
          <a:endParaRPr lang="en-GB" sz="1100" baseline="0"/>
        </a:p>
        <a:p>
          <a:r>
            <a:rPr lang="en-GB"/>
            <a:t>Ivan EVTIMOV, Rosen IVANOV, Gergana STANEVA, Georgi KADIKYANOV, A STUDY ON ELECTRIC BICYCLE ENERGY EFFICIENCY, transport Probelm, 2015 (http://transportproblems.polsl.pl/pl/Archiwum/2015/zeszyt3/2015t10z3_13.pdf):   At speed of 15 to 25km/h the used power of the electric motor is from 100 to 300W and the energy consumption is from 7 to 12Wh/km which is 6 to 23 times less than the energy consumption of the electromobiles produced now.</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666750</xdr:colOff>
      <xdr:row>8</xdr:row>
      <xdr:rowOff>152400</xdr:rowOff>
    </xdr:from>
    <xdr:to>
      <xdr:col>26</xdr:col>
      <xdr:colOff>589768</xdr:colOff>
      <xdr:row>22</xdr:row>
      <xdr:rowOff>18767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6485870" y="1775460"/>
          <a:ext cx="6262858" cy="2213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525780</xdr:colOff>
      <xdr:row>11</xdr:row>
      <xdr:rowOff>45720</xdr:rowOff>
    </xdr:from>
    <xdr:to>
      <xdr:col>22</xdr:col>
      <xdr:colOff>236220</xdr:colOff>
      <xdr:row>19</xdr:row>
      <xdr:rowOff>114300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5186660" y="2171700"/>
          <a:ext cx="275844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t>Investments  and varom costs for s-trains and metro are the same as diesel local trains.</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502920</xdr:colOff>
      <xdr:row>2</xdr:row>
      <xdr:rowOff>281940</xdr:rowOff>
    </xdr:from>
    <xdr:to>
      <xdr:col>28</xdr:col>
      <xdr:colOff>678180</xdr:colOff>
      <xdr:row>8</xdr:row>
      <xdr:rowOff>91440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18829020" y="617220"/>
          <a:ext cx="358902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twoCellAnchor>
    <xdr:from>
      <xdr:col>21</xdr:col>
      <xdr:colOff>213180</xdr:colOff>
      <xdr:row>67</xdr:row>
      <xdr:rowOff>97970</xdr:rowOff>
    </xdr:from>
    <xdr:to>
      <xdr:col>26</xdr:col>
      <xdr:colOff>898071</xdr:colOff>
      <xdr:row>92</xdr:row>
      <xdr:rowOff>65314</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21630823" y="11541577"/>
          <a:ext cx="4426855" cy="4226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1"/>
            <a:t>Rafs 20 December 2018:</a:t>
          </a:r>
        </a:p>
        <a:p>
          <a:endParaRPr lang="en-GB" sz="1500" b="1"/>
        </a:p>
        <a:p>
          <a:pPr marL="0" marR="0" lvl="0" indent="0" defTabSz="914400" eaLnBrk="1" fontAlgn="auto" latinLnBrk="0" hangingPunct="1">
            <a:lnSpc>
              <a:spcPct val="100000"/>
            </a:lnSpc>
            <a:spcBef>
              <a:spcPts val="0"/>
            </a:spcBef>
            <a:spcAft>
              <a:spcPts val="0"/>
            </a:spcAft>
            <a:buClrTx/>
            <a:buSzTx/>
            <a:buFontTx/>
            <a:buNone/>
            <a:tabLst/>
            <a:defRPr/>
          </a:pPr>
          <a:r>
            <a:rPr lang="en-GB" sz="1500">
              <a:solidFill>
                <a:schemeClr val="dk1"/>
              </a:solidFill>
              <a:effectLst/>
              <a:latin typeface="+mn-lt"/>
              <a:ea typeface="+mn-ea"/>
              <a:cs typeface="+mn-cs"/>
            </a:rPr>
            <a:t>I modified the electric trucks respect to 2017 version of TIMES-DK. I assumed the Battery pack of the TESLA SEMI (same assumption made in TIMES-DK Klimaaftalen) but a different projection for battery cost. I assumed the mid point of the price projected in the “Future of Trucks” report made by IEA pag 97. Moreover, I added a scenario file where the</a:t>
          </a:r>
          <a:r>
            <a:rPr lang="en-GB" sz="1500" baseline="0">
              <a:solidFill>
                <a:schemeClr val="dk1"/>
              </a:solidFill>
              <a:effectLst/>
              <a:latin typeface="+mn-lt"/>
              <a:ea typeface="+mn-ea"/>
              <a:cs typeface="+mn-cs"/>
            </a:rPr>
            <a:t> user can carry out sensitivity analysis on the investment cost assumed. For more info on how INVCOST is calcualted check the technical sheet.</a:t>
          </a:r>
        </a:p>
        <a:p>
          <a:pPr marL="0" marR="0" lvl="0" indent="0" defTabSz="914400" eaLnBrk="1" fontAlgn="auto" latinLnBrk="0" hangingPunct="1">
            <a:lnSpc>
              <a:spcPct val="100000"/>
            </a:lnSpc>
            <a:spcBef>
              <a:spcPts val="0"/>
            </a:spcBef>
            <a:spcAft>
              <a:spcPts val="0"/>
            </a:spcAft>
            <a:buClrTx/>
            <a:buSzTx/>
            <a:buFontTx/>
            <a:buNone/>
            <a:tabLst/>
            <a:defRPr/>
          </a:pPr>
          <a:endParaRPr lang="en-GB" sz="15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500" b="1" baseline="0">
              <a:solidFill>
                <a:schemeClr val="dk1"/>
              </a:solidFill>
              <a:effectLst/>
              <a:latin typeface="+mn-lt"/>
              <a:ea typeface="+mn-ea"/>
              <a:cs typeface="+mn-cs"/>
            </a:rPr>
            <a:t>Rafs 3 July 2019:</a:t>
          </a:r>
        </a:p>
        <a:p>
          <a:pPr marL="0" marR="0" lvl="0" indent="0" defTabSz="914400" eaLnBrk="1" fontAlgn="auto" latinLnBrk="0" hangingPunct="1">
            <a:lnSpc>
              <a:spcPct val="100000"/>
            </a:lnSpc>
            <a:spcBef>
              <a:spcPts val="0"/>
            </a:spcBef>
            <a:spcAft>
              <a:spcPts val="0"/>
            </a:spcAft>
            <a:buClrTx/>
            <a:buSzTx/>
            <a:buFontTx/>
            <a:buNone/>
            <a:tabLst/>
            <a:defRPr/>
          </a:pPr>
          <a:r>
            <a:rPr lang="en-GB" sz="1500" b="0" baseline="0">
              <a:solidFill>
                <a:schemeClr val="dk1"/>
              </a:solidFill>
              <a:effectLst/>
              <a:latin typeface="+mn-lt"/>
              <a:ea typeface="+mn-ea"/>
              <a:cs typeface="+mn-cs"/>
            </a:rPr>
            <a:t>The life time of the following technologies: TFTRGSBL_N were declared as 16 years as for vans. However, they are trucks so I assumed a 6 years life time.</a:t>
          </a:r>
        </a:p>
        <a:p>
          <a:pPr marL="0" marR="0" lvl="0" indent="0" defTabSz="914400" eaLnBrk="1" fontAlgn="auto" latinLnBrk="0" hangingPunct="1">
            <a:lnSpc>
              <a:spcPct val="100000"/>
            </a:lnSpc>
            <a:spcBef>
              <a:spcPts val="0"/>
            </a:spcBef>
            <a:spcAft>
              <a:spcPts val="0"/>
            </a:spcAft>
            <a:buClrTx/>
            <a:buSzTx/>
            <a:buFontTx/>
            <a:buNone/>
            <a:tabLst/>
            <a:defRPr/>
          </a:pPr>
          <a:endParaRPr lang="en-GB" sz="1500" b="0">
            <a:solidFill>
              <a:schemeClr val="dk1"/>
            </a:solidFill>
            <a:effectLst/>
            <a:latin typeface="+mn-lt"/>
            <a:ea typeface="+mn-ea"/>
            <a:cs typeface="+mn-cs"/>
          </a:endParaRPr>
        </a:p>
      </xdr:txBody>
    </xdr:sp>
    <xdr:clientData/>
  </xdr:twoCellAnchor>
  <xdr:twoCellAnchor>
    <xdr:from>
      <xdr:col>24</xdr:col>
      <xdr:colOff>502920</xdr:colOff>
      <xdr:row>2</xdr:row>
      <xdr:rowOff>281940</xdr:rowOff>
    </xdr:from>
    <xdr:to>
      <xdr:col>28</xdr:col>
      <xdr:colOff>678180</xdr:colOff>
      <xdr:row>8</xdr:row>
      <xdr:rowOff>91440</xdr:rowOff>
    </xdr:to>
    <xdr:sp macro="" textlink="">
      <xdr:nvSpPr>
        <xdr:cNvPr id="4" name="TextBox 3">
          <a:extLst>
            <a:ext uri="{FF2B5EF4-FFF2-40B4-BE49-F238E27FC236}">
              <a16:creationId xmlns:a16="http://schemas.microsoft.com/office/drawing/2014/main" id="{05B6964C-4CCA-45D4-8E49-86FE98B37429}"/>
            </a:ext>
          </a:extLst>
        </xdr:cNvPr>
        <xdr:cNvSpPr txBox="1"/>
      </xdr:nvSpPr>
      <xdr:spPr>
        <a:xfrm>
          <a:off x="18257520" y="605790"/>
          <a:ext cx="3528060"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590551</xdr:colOff>
      <xdr:row>5</xdr:row>
      <xdr:rowOff>95251</xdr:rowOff>
    </xdr:from>
    <xdr:to>
      <xdr:col>13</xdr:col>
      <xdr:colOff>539545</xdr:colOff>
      <xdr:row>52</xdr:row>
      <xdr:rowOff>85726</xdr:rowOff>
    </xdr:to>
    <xdr:pic>
      <xdr:nvPicPr>
        <xdr:cNvPr id="2" name="Picture 1">
          <a:extLst>
            <a:ext uri="{FF2B5EF4-FFF2-40B4-BE49-F238E27FC236}">
              <a16:creationId xmlns:a16="http://schemas.microsoft.com/office/drawing/2014/main" id="{26D44EBC-6736-44A9-BDA0-2E4F0D45D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1" y="904876"/>
          <a:ext cx="7873794" cy="760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1360</xdr:colOff>
      <xdr:row>52</xdr:row>
      <xdr:rowOff>80283</xdr:rowOff>
    </xdr:from>
    <xdr:to>
      <xdr:col>14</xdr:col>
      <xdr:colOff>40820</xdr:colOff>
      <xdr:row>102</xdr:row>
      <xdr:rowOff>86937</xdr:rowOff>
    </xdr:to>
    <xdr:pic>
      <xdr:nvPicPr>
        <xdr:cNvPr id="3" name="Picture 2">
          <a:extLst>
            <a:ext uri="{FF2B5EF4-FFF2-40B4-BE49-F238E27FC236}">
              <a16:creationId xmlns:a16="http://schemas.microsoft.com/office/drawing/2014/main" id="{70705481-B593-48E1-B238-36D9045D20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3681" y="8571140"/>
          <a:ext cx="7999639" cy="817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13</xdr:col>
      <xdr:colOff>489857</xdr:colOff>
      <xdr:row>174</xdr:row>
      <xdr:rowOff>103720</xdr:rowOff>
    </xdr:to>
    <xdr:pic>
      <xdr:nvPicPr>
        <xdr:cNvPr id="6" name="Picture 5">
          <a:extLst>
            <a:ext uri="{FF2B5EF4-FFF2-40B4-BE49-F238E27FC236}">
              <a16:creationId xmlns:a16="http://schemas.microsoft.com/office/drawing/2014/main" id="{B5A1EAAD-C4BB-4E39-BE45-5AC10EE703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2321" y="16981714"/>
          <a:ext cx="7837715" cy="11533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27214</xdr:colOff>
      <xdr:row>174</xdr:row>
      <xdr:rowOff>151039</xdr:rowOff>
    </xdr:from>
    <xdr:to>
      <xdr:col>13</xdr:col>
      <xdr:colOff>503464</xdr:colOff>
      <xdr:row>235</xdr:row>
      <xdr:rowOff>53867</xdr:rowOff>
    </xdr:to>
    <xdr:pic>
      <xdr:nvPicPr>
        <xdr:cNvPr id="7" name="Picture 6">
          <a:extLst>
            <a:ext uri="{FF2B5EF4-FFF2-40B4-BE49-F238E27FC236}">
              <a16:creationId xmlns:a16="http://schemas.microsoft.com/office/drawing/2014/main" id="{494DBCEE-0ED7-4EE2-BA92-DB753E60A3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9535" y="28562753"/>
          <a:ext cx="7824108" cy="9863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576943</xdr:colOff>
      <xdr:row>3</xdr:row>
      <xdr:rowOff>0</xdr:rowOff>
    </xdr:from>
    <xdr:to>
      <xdr:col>20</xdr:col>
      <xdr:colOff>280489</xdr:colOff>
      <xdr:row>16</xdr:row>
      <xdr:rowOff>163286</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7674429" y="620486"/>
          <a:ext cx="13430431" cy="243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500" b="1"/>
            <a:t>Rafs 20 December 2018:</a:t>
          </a:r>
        </a:p>
        <a:p>
          <a:endParaRPr lang="en-GB" sz="1500" b="1"/>
        </a:p>
        <a:p>
          <a:pPr marL="0" marR="0" lvl="0" indent="0" defTabSz="914400" eaLnBrk="1" fontAlgn="auto" latinLnBrk="0" hangingPunct="1">
            <a:lnSpc>
              <a:spcPct val="100000"/>
            </a:lnSpc>
            <a:spcBef>
              <a:spcPts val="0"/>
            </a:spcBef>
            <a:spcAft>
              <a:spcPts val="0"/>
            </a:spcAft>
            <a:buClrTx/>
            <a:buSzTx/>
            <a:buFontTx/>
            <a:buNone/>
            <a:tabLst/>
            <a:defRPr/>
          </a:pPr>
          <a:r>
            <a:rPr lang="en-GB" sz="1500">
              <a:solidFill>
                <a:schemeClr val="dk1"/>
              </a:solidFill>
              <a:effectLst/>
              <a:latin typeface="+mn-lt"/>
              <a:ea typeface="+mn-ea"/>
              <a:cs typeface="+mn-cs"/>
            </a:rPr>
            <a:t>I added the technical sheet from TIMES-DK Klimaaftale 2018. The basic assumption is to assume efficiency and size of the battery pack from TESLA</a:t>
          </a:r>
          <a:r>
            <a:rPr lang="en-GB" sz="1500" baseline="0">
              <a:solidFill>
                <a:schemeClr val="dk1"/>
              </a:solidFill>
              <a:effectLst/>
              <a:latin typeface="+mn-lt"/>
              <a:ea typeface="+mn-ea"/>
              <a:cs typeface="+mn-cs"/>
            </a:rPr>
            <a:t> SEMI and estimate an INVCOST assuming the base INVCOST for a standard ICE diesel truck and sum on top of it the cost related to the battery pack. In particular I used the projections available in the IEA report "Future of Trucks" pag 97. I estimated 3 INVCOST based on the low, high and avg level of drop in price for batteries.</a:t>
          </a:r>
          <a:endParaRPr lang="en-GB" sz="1500">
            <a:solidFill>
              <a:schemeClr val="dk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541020</xdr:colOff>
      <xdr:row>2</xdr:row>
      <xdr:rowOff>320040</xdr:rowOff>
    </xdr:from>
    <xdr:ext cx="6113790" cy="609013"/>
    <xdr:sp macro="" textlink="">
      <xdr:nvSpPr>
        <xdr:cNvPr id="3" name="TextBox 2">
          <a:extLst>
            <a:ext uri="{FF2B5EF4-FFF2-40B4-BE49-F238E27FC236}">
              <a16:creationId xmlns:a16="http://schemas.microsoft.com/office/drawing/2014/main" id="{B51BF8D0-82D5-4E8D-979C-22F729068570}"/>
            </a:ext>
          </a:extLst>
        </xdr:cNvPr>
        <xdr:cNvSpPr txBox="1"/>
      </xdr:nvSpPr>
      <xdr:spPr>
        <a:xfrm>
          <a:off x="21210270" y="643890"/>
          <a:ext cx="6113790" cy="60901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0" i="0" u="none" strike="noStrike">
              <a:solidFill>
                <a:schemeClr val="tx1"/>
              </a:solidFill>
              <a:effectLst/>
              <a:latin typeface="+mn-lt"/>
              <a:ea typeface="+mn-ea"/>
              <a:cs typeface="+mn-cs"/>
            </a:rPr>
            <a:t>From: https://www.quora.com/Approximately-how-many-tons-can-the-average-large-cargo-ship-carry</a:t>
          </a:r>
          <a:r>
            <a:rPr lang="en-GB"/>
            <a:t> </a:t>
          </a:r>
        </a:p>
        <a:p>
          <a:r>
            <a:rPr lang="en-GB" sz="1100" b="0" i="0" u="none" strike="noStrike">
              <a:solidFill>
                <a:schemeClr val="tx1"/>
              </a:solidFill>
              <a:effectLst/>
              <a:latin typeface="+mn-lt"/>
              <a:ea typeface="+mn-ea"/>
              <a:cs typeface="+mn-cs"/>
            </a:rPr>
            <a:t>From: https://en.wikipedia.org/wiki/Twenty-foot_equivalent_unit</a:t>
          </a:r>
        </a:p>
        <a:p>
          <a:endParaRPr lang="en-GB" sz="1100"/>
        </a:p>
      </xdr:txBody>
    </xdr:sp>
    <xdr:clientData/>
  </xdr:oneCellAnchor>
  <xdr:twoCellAnchor>
    <xdr:from>
      <xdr:col>19</xdr:col>
      <xdr:colOff>155338</xdr:colOff>
      <xdr:row>8</xdr:row>
      <xdr:rowOff>43091</xdr:rowOff>
    </xdr:from>
    <xdr:to>
      <xdr:col>26</xdr:col>
      <xdr:colOff>498686</xdr:colOff>
      <xdr:row>21</xdr:row>
      <xdr:rowOff>36605</xdr:rowOff>
    </xdr:to>
    <xdr:sp macro="" textlink="">
      <xdr:nvSpPr>
        <xdr:cNvPr id="4" name="TextBox 3">
          <a:extLst>
            <a:ext uri="{FF2B5EF4-FFF2-40B4-BE49-F238E27FC236}">
              <a16:creationId xmlns:a16="http://schemas.microsoft.com/office/drawing/2014/main" id="{16A4E7F5-FE25-410D-BB9F-4CC2DDB114E0}"/>
            </a:ext>
          </a:extLst>
        </xdr:cNvPr>
        <xdr:cNvSpPr txBox="1"/>
      </xdr:nvSpPr>
      <xdr:spPr>
        <a:xfrm>
          <a:off x="17376538" y="1683632"/>
          <a:ext cx="5749066" cy="2207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VAROM</a:t>
          </a:r>
          <a:r>
            <a:rPr lang="da-DK" sz="1100" baseline="0"/>
            <a:t>: In alternativ drivmodellen the varom cost is 97% given by fuel consumption and only 3% given from O&amp;M. Therefore the value from alternativdrivmodellen is multiplied by 0.03 to be used here.</a:t>
          </a:r>
        </a:p>
        <a:p>
          <a:endParaRPr lang="da-DK" sz="1100" baseline="0"/>
        </a:p>
        <a:p>
          <a:r>
            <a:rPr lang="da-DK" sz="1100" b="1" baseline="0"/>
            <a:t>Investment cost </a:t>
          </a:r>
          <a:r>
            <a:rPr lang="da-DK" sz="1100" baseline="0"/>
            <a:t>for international freight ships is from Alternativdrivmodellen. The one for national is normalzied with the international ship using the load factor</a:t>
          </a:r>
        </a:p>
        <a:p>
          <a:r>
            <a:rPr lang="da-DK" sz="1100" baseline="0"/>
            <a:t>Investments costs for ferries has been taken from internet and is assumed.</a:t>
          </a:r>
        </a:p>
        <a:p>
          <a:endParaRPr lang="da-DK" sz="1100" baseline="0"/>
        </a:p>
        <a:p>
          <a:r>
            <a:rPr lang="da-DK" sz="1100" baseline="0"/>
            <a:t>Efficiency: is the same as base year, a part from international container ships. For them it is normalized to the base year considering the load factors and for the future is expected the same trend as for alternativdrivmodellen.</a:t>
          </a:r>
        </a:p>
        <a:p>
          <a:r>
            <a:rPr lang="da-DK" sz="1100" baseline="0"/>
            <a:t>Consider other fuels for these ships: hydrogen? liquified natural gas? pure biodiesel?</a:t>
          </a:r>
        </a:p>
      </xdr:txBody>
    </xdr:sp>
    <xdr:clientData/>
  </xdr:twoCellAnchor>
  <xdr:oneCellAnchor>
    <xdr:from>
      <xdr:col>26</xdr:col>
      <xdr:colOff>541020</xdr:colOff>
      <xdr:row>2</xdr:row>
      <xdr:rowOff>320040</xdr:rowOff>
    </xdr:from>
    <xdr:ext cx="6113790" cy="609013"/>
    <xdr:sp macro="" textlink="">
      <xdr:nvSpPr>
        <xdr:cNvPr id="5" name="TextBox 4">
          <a:extLst>
            <a:ext uri="{FF2B5EF4-FFF2-40B4-BE49-F238E27FC236}">
              <a16:creationId xmlns:a16="http://schemas.microsoft.com/office/drawing/2014/main" id="{5FF40B25-51C7-4545-B397-9F6FC09B6DDC}"/>
            </a:ext>
          </a:extLst>
        </xdr:cNvPr>
        <xdr:cNvSpPr txBox="1"/>
      </xdr:nvSpPr>
      <xdr:spPr>
        <a:xfrm>
          <a:off x="21210270" y="643890"/>
          <a:ext cx="6113790" cy="60901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0" i="0" u="none" strike="noStrike">
              <a:solidFill>
                <a:schemeClr val="tx1"/>
              </a:solidFill>
              <a:effectLst/>
              <a:latin typeface="+mn-lt"/>
              <a:ea typeface="+mn-ea"/>
              <a:cs typeface="+mn-cs"/>
            </a:rPr>
            <a:t>From: https://www.quora.com/Approximately-how-many-tons-can-the-average-large-cargo-ship-carry</a:t>
          </a:r>
          <a:r>
            <a:rPr lang="en-GB"/>
            <a:t> </a:t>
          </a:r>
        </a:p>
        <a:p>
          <a:r>
            <a:rPr lang="en-GB" sz="1100" b="0" i="0" u="none" strike="noStrike">
              <a:solidFill>
                <a:schemeClr val="tx1"/>
              </a:solidFill>
              <a:effectLst/>
              <a:latin typeface="+mn-lt"/>
              <a:ea typeface="+mn-ea"/>
              <a:cs typeface="+mn-cs"/>
            </a:rPr>
            <a:t>From: https://en.wikipedia.org/wiki/Twenty-foot_equivalent_unit</a:t>
          </a:r>
        </a:p>
        <a:p>
          <a:endParaRPr lang="en-GB" sz="11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24</xdr:col>
      <xdr:colOff>552450</xdr:colOff>
      <xdr:row>2</xdr:row>
      <xdr:rowOff>293370</xdr:rowOff>
    </xdr:from>
    <xdr:to>
      <xdr:col>35</xdr:col>
      <xdr:colOff>228600</xdr:colOff>
      <xdr:row>12</xdr:row>
      <xdr:rowOff>161925</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20193000" y="636270"/>
          <a:ext cx="6381750" cy="21831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a-DK" sz="1100" baseline="0">
              <a:solidFill>
                <a:schemeClr val="dk1"/>
              </a:solidFill>
              <a:effectLst/>
              <a:latin typeface="+mn-lt"/>
              <a:ea typeface="+mn-ea"/>
              <a:cs typeface="+mn-cs"/>
            </a:rPr>
            <a:t>Costs and efficiency are relative to airplanes in base year.</a:t>
          </a:r>
          <a:endParaRPr lang="en-GB">
            <a:effectLst/>
          </a:endParaRPr>
        </a:p>
        <a:p>
          <a:pPr eaLnBrk="1" fontAlgn="auto" latinLnBrk="0" hangingPunct="1"/>
          <a:r>
            <a:rPr lang="da-DK" sz="1100" baseline="0">
              <a:solidFill>
                <a:schemeClr val="dk1"/>
              </a:solidFill>
              <a:effectLst/>
              <a:latin typeface="+mn-lt"/>
              <a:ea typeface="+mn-ea"/>
              <a:cs typeface="+mn-cs"/>
            </a:rPr>
            <a:t>Varom is from SAS airplanes and varom of little gasoline-fuelled airplanes is</a:t>
          </a:r>
          <a:endParaRPr lang="en-GB">
            <a:effectLst/>
          </a:endParaRPr>
        </a:p>
        <a:p>
          <a:pPr eaLnBrk="1" fontAlgn="auto" latinLnBrk="0" hangingPunct="1"/>
          <a:r>
            <a:rPr lang="da-DK" sz="1100" baseline="0">
              <a:solidFill>
                <a:schemeClr val="dk1"/>
              </a:solidFill>
              <a:effectLst/>
              <a:latin typeface="+mn-lt"/>
              <a:ea typeface="+mn-ea"/>
              <a:cs typeface="+mn-cs"/>
            </a:rPr>
            <a:t>normalized with the investment costs.</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Investments costs have been taken from websites. Varom is relative to SAS airplane from AlternativDrivmodellen. Varom of little airplanes is normalized with the investment costs.</a:t>
          </a:r>
        </a:p>
        <a:p>
          <a:pPr eaLnBrk="1" fontAlgn="auto" latinLnBrk="0" hangingPunct="1"/>
          <a:r>
            <a:rPr lang="da-DK" sz="1100" baseline="0">
              <a:solidFill>
                <a:schemeClr val="dk1"/>
              </a:solidFill>
              <a:effectLst/>
              <a:latin typeface="+mn-lt"/>
              <a:ea typeface="+mn-ea"/>
              <a:cs typeface="+mn-cs"/>
            </a:rPr>
            <a:t>the efficiency is the same as that of airplanes in the base year, but normalized with the occupancy factors.</a:t>
          </a:r>
        </a:p>
        <a:p>
          <a:pPr eaLnBrk="1" fontAlgn="auto" latinLnBrk="0" hangingPunct="1"/>
          <a:r>
            <a:rPr lang="da-DK" sz="1100" baseline="0">
              <a:solidFill>
                <a:schemeClr val="dk1"/>
              </a:solidFill>
              <a:effectLst/>
              <a:latin typeface="+mn-lt"/>
              <a:ea typeface="+mn-ea"/>
              <a:cs typeface="+mn-cs"/>
            </a:rPr>
            <a:t>Effieicney in the future years is normalized considering the expected efficiency improvements in Alternativdrivmodellen.</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Red values are assumed, or taken from uncertain sources.</a:t>
          </a:r>
        </a:p>
        <a:p>
          <a:pPr eaLnBrk="1" fontAlgn="auto" latinLnBrk="0" hangingPunct="1"/>
          <a:r>
            <a:rPr lang="da-DK" sz="1100" baseline="0">
              <a:solidFill>
                <a:schemeClr val="dk1"/>
              </a:solidFill>
              <a:effectLst/>
              <a:latin typeface="+mn-lt"/>
              <a:ea typeface="+mn-ea"/>
              <a:cs typeface="+mn-cs"/>
            </a:rPr>
            <a:t> </a:t>
          </a:r>
          <a:endParaRPr lang="en-GB">
            <a:effectLst/>
          </a:endParaRPr>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rojects.cowiportal.com/!Olexandr/Projects/INTERACT/Transport/AD/AD%20model%202014-09-1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rojects.cowiportal.com/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jene/Desktop/TIMES-DK_20160907/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_ship&amp;airplane/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projects.cowiportal.com/VEDA/VEDA_Models/Denmark/TIMES-DK_ship&amp;airplane/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projects.cowiportal.com/ps/A121755/Documents/03%20Project%20documents/Expanding%20SubRes_TRA%20for%20TIMES-Nordic/SubRES_TRA_Techs_DK.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IMES%20models/SubRES_TRA_Techs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rafs/Desktop/Temporary/2%20July%202019%20TIMES-Nordic/SubRES_TRA_Techs_Rafs_Version.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EMS-1/SubRES_TMPL/SubRES_TRA_Techs.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TIMES%20models/TIMES-Nordic/SuppXLS/Scen_DK_TRA_XAssump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EU Varebil benzin"/>
      <sheetName val="EU varebil diesel"/>
      <sheetName val="EU Varebil CNG"/>
      <sheetName val="EU varebil el"/>
      <sheetName val="EU Lastbil"/>
      <sheetName val="EU Lastbil El"/>
      <sheetName val="EU Lastbil DME"/>
      <sheetName val="EU Lastbil RME"/>
      <sheetName val="EU Lastbil Gas"/>
      <sheetName val="TRA_Ships"/>
      <sheetName val="EU 9000 TEU Diesel"/>
      <sheetName val="EU 9000 TEU HFO"/>
      <sheetName val="EU 9000 TEU Dual fuel"/>
      <sheetName val="EU Katamaran ferry"/>
      <sheetName val="TRA_Airplane"/>
      <sheetName val="EU SAS avg. airplane"/>
      <sheetName val="Reference"/>
    </sheetNames>
    <sheetDataSet>
      <sheetData sheetId="0"/>
      <sheetData sheetId="1"/>
      <sheetData sheetId="2"/>
      <sheetData sheetId="3">
        <row r="23">
          <cell r="E23" t="str">
            <v>avg tech</v>
          </cell>
        </row>
        <row r="24">
          <cell r="A24" t="str">
            <v>SI Conv</v>
          </cell>
        </row>
        <row r="25">
          <cell r="C25" t="str">
            <v>Vehicle Cost AVG</v>
          </cell>
        </row>
        <row r="28">
          <cell r="A28" t="str">
            <v>CI Conv</v>
          </cell>
        </row>
        <row r="34">
          <cell r="A34" t="str">
            <v>E85 Conv</v>
          </cell>
        </row>
        <row r="37">
          <cell r="A37" t="str">
            <v>CNG Conv</v>
          </cell>
        </row>
        <row r="67">
          <cell r="A67" t="str">
            <v>FC HEV</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1">
          <cell r="E21">
            <v>2020</v>
          </cell>
        </row>
      </sheetData>
      <sheetData sheetId="18"/>
      <sheetData sheetId="19"/>
      <sheetData sheetId="20"/>
      <sheetData sheetId="21"/>
      <sheetData sheetId="22">
        <row r="25">
          <cell r="D25">
            <v>3.9731999999999998</v>
          </cell>
        </row>
      </sheetData>
      <sheetData sheetId="23">
        <row r="25">
          <cell r="E25">
            <v>2.99</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Vans"/>
      <sheetName val="Tra_Trucks"/>
      <sheetName val="Old TRA_Trucks"/>
      <sheetName val="EU Varebil benzin"/>
      <sheetName val="EU varebil diesel"/>
      <sheetName val="EU Varebil CNG"/>
      <sheetName val="EU varebil el"/>
      <sheetName val="EU Lastbil"/>
      <sheetName val="EU Lastbil El"/>
      <sheetName val="EU Lastbil DME"/>
      <sheetName val="EU Lastbil RME"/>
      <sheetName val="EU Lastbil Gas"/>
      <sheetName val="EU 9000 TEU Diesel"/>
      <sheetName val="EU 9000 TEU HFO"/>
      <sheetName val="EU 9000 TEU Dual fuel"/>
      <sheetName val="EU Katamaran ferry"/>
      <sheetName val="TRA_Airplane"/>
      <sheetName val="EU SAS avg. airplane"/>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1">
          <cell r="E21">
            <v>2020</v>
          </cell>
          <cell r="F21">
            <v>2035</v>
          </cell>
        </row>
        <row r="38">
          <cell r="H38">
            <v>2011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8">
          <cell r="D68">
            <v>11500</v>
          </cell>
          <cell r="E68">
            <v>11500</v>
          </cell>
        </row>
      </sheetData>
      <sheetData sheetId="35" refreshError="1"/>
      <sheetData sheetId="36" refreshError="1"/>
      <sheetData sheetId="37" refreshError="1"/>
      <sheetData sheetId="38" refreshError="1"/>
      <sheetData sheetId="3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EU Varebil benzin"/>
      <sheetName val="EU varebil diesel"/>
      <sheetName val="EU Varebil CNG"/>
      <sheetName val="EU varebil el"/>
      <sheetName val="EU Lastbil"/>
      <sheetName val="EU Lastbil El"/>
      <sheetName val="EU Lastbil DME"/>
      <sheetName val="EU Lastbil RME"/>
      <sheetName val="EU Lastbil Gas"/>
      <sheetName val="TRA_Ships"/>
      <sheetName val="EU 9000 TEU HFO"/>
      <sheetName val="EU 9000 TEU Diesel"/>
      <sheetName val="EU 9000 TEU Dual fuel"/>
      <sheetName val="EU Katamaran ferry"/>
      <sheetName val="TRA_Airplane"/>
      <sheetName val="EU SAS avg. airplane"/>
      <sheetName val="Refere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0">
          <cell r="D70">
            <v>38</v>
          </cell>
        </row>
      </sheetData>
      <sheetData sheetId="36"/>
      <sheetData sheetId="37"/>
      <sheetData sheetId="3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EU Varebil benzin"/>
      <sheetName val="EU varebil diesel"/>
      <sheetName val="EU Varebil CNG"/>
      <sheetName val="EU varebil el"/>
      <sheetName val="EU Lastbil"/>
      <sheetName val="EU Lastbil El"/>
      <sheetName val="EU Lastbil DME"/>
      <sheetName val="EU Lastbil RME"/>
      <sheetName val="EU Lastbil Gas"/>
      <sheetName val="TRA_Ships"/>
      <sheetName val="EU 9000 TEU HFO"/>
      <sheetName val="EU 9000 TEU Diesel"/>
      <sheetName val="EU 9000 TEU Dual fuel"/>
      <sheetName val="EU Katamaran ferry"/>
      <sheetName val="TRA_Airplane"/>
      <sheetName val="EU SAS avg. airplane"/>
      <sheetName val="Reference"/>
    </sheetNames>
    <sheetDataSet>
      <sheetData sheetId="0"/>
      <sheetData sheetId="1"/>
      <sheetData sheetId="2">
        <row r="5">
          <cell r="L5">
            <v>1.3293871485324729</v>
          </cell>
        </row>
        <row r="29">
          <cell r="L29">
            <v>1.0956170423140599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5">
          <cell r="D25">
            <v>6549.6760259179264</v>
          </cell>
        </row>
      </sheetData>
      <sheetData sheetId="33"/>
      <sheetData sheetId="34">
        <row r="25">
          <cell r="D25">
            <v>6857.4514038876878</v>
          </cell>
        </row>
      </sheetData>
      <sheetData sheetId="35"/>
      <sheetData sheetId="36"/>
      <sheetData sheetId="37"/>
      <sheetData sheetId="3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TFILL"/>
      <sheetName val="TRA_Assumptions"/>
    </sheetNames>
    <sheetDataSet>
      <sheetData sheetId="0" refreshError="1"/>
      <sheetData sheetId="1">
        <row r="133">
          <cell r="G133">
            <v>1750000</v>
          </cell>
          <cell r="H133">
            <v>1750000</v>
          </cell>
        </row>
        <row r="134">
          <cell r="G134">
            <v>8145.1797176742502</v>
          </cell>
          <cell r="H134">
            <v>8113.5513846326403</v>
          </cell>
        </row>
        <row r="138">
          <cell r="G138">
            <v>1E-3</v>
          </cell>
          <cell r="H138">
            <v>1E-3</v>
          </cell>
        </row>
        <row r="143">
          <cell r="G143">
            <v>2800000</v>
          </cell>
          <cell r="H143">
            <v>2800000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theicct.org/publications/transitioning-zero-emission-heavy-duty-freight-vehicles" TargetMode="Externa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4.vml"/><Relationship Id="rId1" Type="http://schemas.openxmlformats.org/officeDocument/2006/relationships/vmlDrawing" Target="../drawings/vmlDrawing13.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5.v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transportmeasures.org/en/wiki/manuals/sea/load-capacity-utilisation/" TargetMode="External"/><Relationship Id="rId2" Type="http://schemas.openxmlformats.org/officeDocument/2006/relationships/hyperlink" Target="https://ec.europa.eu/environment/air/pdf/chapter2_ship_emissions.pdf" TargetMode="External"/><Relationship Id="rId1" Type="http://schemas.openxmlformats.org/officeDocument/2006/relationships/hyperlink" Target="https://orbit.dtu.dk/files/127119694/Psaraftis_Kontovas_SPEED_VRP_2014_v4.0.pdf" TargetMode="External"/><Relationship Id="rId6" Type="http://schemas.openxmlformats.org/officeDocument/2006/relationships/comments" Target="../comments8.xml"/><Relationship Id="rId5" Type="http://schemas.openxmlformats.org/officeDocument/2006/relationships/vmlDrawing" Target="../drawings/vmlDrawing16.vml"/><Relationship Id="rId4" Type="http://schemas.openxmlformats.org/officeDocument/2006/relationships/hyperlink" Target="https://pubs.acs.org/doi/abs/10.1021/es5018575"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7.vml"/><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8.v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9.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20.v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2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22.vml"/><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eof.dk/" TargetMode="External"/><Relationship Id="rId2" Type="http://schemas.openxmlformats.org/officeDocument/2006/relationships/hyperlink" Target="http://www.biofuelsb2b.com/useful_info.php?page=Typic" TargetMode="External"/><Relationship Id="rId1" Type="http://schemas.openxmlformats.org/officeDocument/2006/relationships/hyperlink" Target="http://www.agri-outlook.org/" TargetMode="External"/><Relationship Id="rId4" Type="http://schemas.openxmlformats.org/officeDocument/2006/relationships/hyperlink" Target="http://www.cleanfuelconnec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0"/>
  <sheetViews>
    <sheetView workbookViewId="0">
      <selection activeCell="E9" sqref="E9"/>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83" t="s">
        <v>708</v>
      </c>
      <c r="B3" s="683" t="s">
        <v>709</v>
      </c>
      <c r="C3" s="683" t="s">
        <v>710</v>
      </c>
      <c r="D3" s="683" t="s">
        <v>711</v>
      </c>
      <c r="E3" s="683" t="s">
        <v>712</v>
      </c>
    </row>
    <row r="4" spans="1:5" s="570" customFormat="1">
      <c r="A4" s="1165">
        <v>43902</v>
      </c>
      <c r="B4" s="548" t="s">
        <v>965</v>
      </c>
      <c r="C4" s="548" t="s">
        <v>716</v>
      </c>
      <c r="E4" s="548" t="s">
        <v>1130</v>
      </c>
    </row>
    <row r="5" spans="1:5" s="570" customFormat="1">
      <c r="A5" s="1360">
        <v>43756</v>
      </c>
      <c r="B5" s="548" t="s">
        <v>965</v>
      </c>
      <c r="C5" s="683"/>
      <c r="D5" s="683"/>
      <c r="E5" s="548" t="s">
        <v>1129</v>
      </c>
    </row>
    <row r="6" spans="1:5" s="570" customFormat="1">
      <c r="A6" s="1302">
        <v>43731</v>
      </c>
      <c r="B6" s="548" t="s">
        <v>965</v>
      </c>
      <c r="C6" s="548" t="s">
        <v>719</v>
      </c>
      <c r="D6" s="683"/>
      <c r="E6" s="548" t="s">
        <v>1091</v>
      </c>
    </row>
    <row r="7" spans="1:5" s="570" customFormat="1">
      <c r="A7" s="1302">
        <v>43728</v>
      </c>
      <c r="B7" s="548" t="s">
        <v>965</v>
      </c>
      <c r="C7" s="684" t="s">
        <v>879</v>
      </c>
      <c r="D7" s="683"/>
      <c r="E7" s="548" t="s">
        <v>1079</v>
      </c>
    </row>
    <row r="8" spans="1:5" s="570" customFormat="1">
      <c r="A8" s="1302">
        <v>43620</v>
      </c>
      <c r="B8" s="548" t="s">
        <v>965</v>
      </c>
      <c r="C8" s="548" t="s">
        <v>719</v>
      </c>
      <c r="D8" s="683"/>
      <c r="E8" s="548" t="s">
        <v>1062</v>
      </c>
    </row>
    <row r="9" spans="1:5" s="684" customFormat="1">
      <c r="A9" s="1165">
        <v>43178</v>
      </c>
      <c r="B9" s="684" t="s">
        <v>965</v>
      </c>
      <c r="C9" s="684" t="s">
        <v>879</v>
      </c>
      <c r="D9" s="548" t="s">
        <v>966</v>
      </c>
      <c r="E9" s="684" t="s">
        <v>967</v>
      </c>
    </row>
    <row r="10" spans="1:5" s="684" customFormat="1">
      <c r="A10" s="685">
        <v>43129</v>
      </c>
      <c r="B10" s="684" t="s">
        <v>878</v>
      </c>
      <c r="C10" s="684" t="s">
        <v>937</v>
      </c>
      <c r="D10" s="684" t="str">
        <f>ADDRESS(ROW(TRA_Trucks!C83),COLUMN(TRA_Trucks!C83),4,1)&amp;","&amp;ADDRESS(ROW(TRA_Trucks!C44),COLUMN(TRA_Trucks!C44),4,1)</f>
        <v>C83,C44</v>
      </c>
      <c r="E10" s="684" t="s">
        <v>938</v>
      </c>
    </row>
    <row r="11" spans="1:5" s="684" customFormat="1">
      <c r="A11" s="685">
        <v>43031</v>
      </c>
      <c r="B11" s="684" t="s">
        <v>878</v>
      </c>
      <c r="C11" s="684" t="s">
        <v>881</v>
      </c>
      <c r="E11" s="684" t="s">
        <v>884</v>
      </c>
    </row>
    <row r="12" spans="1:5" s="684" customFormat="1">
      <c r="A12" s="685">
        <v>43028</v>
      </c>
      <c r="B12" s="684" t="s">
        <v>878</v>
      </c>
      <c r="C12" s="684" t="s">
        <v>879</v>
      </c>
      <c r="E12" s="684" t="s">
        <v>880</v>
      </c>
    </row>
    <row r="13" spans="1:5" s="684" customFormat="1">
      <c r="A13" s="685">
        <v>43018</v>
      </c>
      <c r="B13" s="684" t="s">
        <v>878</v>
      </c>
      <c r="C13" s="684" t="s">
        <v>719</v>
      </c>
      <c r="D13" s="684" t="s">
        <v>882</v>
      </c>
      <c r="E13" s="684" t="s">
        <v>883</v>
      </c>
    </row>
    <row r="14" spans="1:5" s="684" customFormat="1">
      <c r="A14" s="685">
        <v>42976</v>
      </c>
      <c r="B14" s="684" t="s">
        <v>713</v>
      </c>
      <c r="C14" s="684" t="s">
        <v>725</v>
      </c>
      <c r="D14" s="684" t="e">
        <f>ADDRESS(ROW(#REF!),COLUMN(#REF!),4,1)&amp;","&amp;ADDRESS(ROW(#REF!),COLUMN(#REF!),4,1)&amp;","&amp;ADDRESS(ROW(#REF!),COLUMN(#REF!),4,1)&amp;","&amp;ADDRESS(ROW(#REF!),COLUMN(#REF!),4,1)</f>
        <v>#REF!</v>
      </c>
      <c r="E14" s="684" t="s">
        <v>726</v>
      </c>
    </row>
    <row r="15" spans="1:5" s="684" customFormat="1">
      <c r="A15" s="685">
        <v>42976</v>
      </c>
      <c r="B15" s="684" t="s">
        <v>713</v>
      </c>
      <c r="C15" s="684" t="s">
        <v>721</v>
      </c>
      <c r="D15" s="684" t="e">
        <f>ADDRESS(ROW(#REF!),COLUMN(#REF!),4,1)&amp;","&amp;ADDRESS(ROW(#REF!),COLUMN(#REF!),4,1)&amp;","&amp;ADDRESS(ROW(#REF!),COLUMN(#REF!),4,1)&amp;","&amp;ADDRESS(ROW(#REF!),COLUMN(#REF!),4,1)</f>
        <v>#REF!</v>
      </c>
      <c r="E15" s="684" t="s">
        <v>724</v>
      </c>
    </row>
    <row r="16" spans="1:5" s="684" customFormat="1">
      <c r="A16" s="685">
        <v>42976</v>
      </c>
      <c r="B16" s="684" t="s">
        <v>713</v>
      </c>
      <c r="C16" s="684" t="s">
        <v>721</v>
      </c>
      <c r="D16" s="684" t="e">
        <f>ADDRESS(ROW(#REF!),COLUMN(#REF!),4,1)&amp;","&amp;ADDRESS(ROW(#REF!),COLUMN(#REF!),4,1)&amp;","&amp;ADDRESS(ROW(#REF!),COLUMN(#REF!),4,1)&amp;","&amp;ADDRESS(ROW(#REF!),COLUMN(#REF!),4,1)</f>
        <v>#REF!</v>
      </c>
      <c r="E16" s="684" t="s">
        <v>723</v>
      </c>
    </row>
    <row r="17" spans="1:5" s="684" customFormat="1">
      <c r="A17" s="685">
        <v>42976</v>
      </c>
      <c r="B17" s="684" t="s">
        <v>713</v>
      </c>
      <c r="C17" s="684" t="s">
        <v>721</v>
      </c>
      <c r="D17" s="684" t="e">
        <f>ADDRESS(ROW(#REF!),COLUMN(#REF!),4,1)&amp;","&amp;ADDRESS(ROW(#REF!),COLUMN(#REF!),4,1)&amp;","&amp;ADDRESS(ROW(#REF!),COLUMN(#REF!),4,1)&amp;","&amp;ADDRESS(ROW(#REF!),COLUMN(#REF!),4,1)&amp;","&amp;ADDRESS(ROW(#REF!),COLUMN(#REF!),4,1)&amp;","&amp;ADDRESS(ROW(#REF!),COLUMN(#REF!),4,1)</f>
        <v>#REF!</v>
      </c>
      <c r="E17" s="684" t="s">
        <v>722</v>
      </c>
    </row>
    <row r="18" spans="1:5" s="684" customFormat="1">
      <c r="A18" s="685">
        <v>42972</v>
      </c>
      <c r="B18" s="684" t="s">
        <v>713</v>
      </c>
      <c r="C18" s="684" t="s">
        <v>719</v>
      </c>
      <c r="D18" s="684" t="str">
        <f>ADDRESS(ROW(TRA_Cars!T5),COLUMN(TRA_Cars!T5),4,1)&amp;","&amp;ADDRESS(ROW(TRA_Cars!T9),COLUMN(TRA_Cars!T9),4,1)&amp;","&amp;ADDRESS(ROW(TRA_Cars!T13),COLUMN(TRA_Cars!T13),4,1)&amp;","&amp;ADDRESS(ROW(TRA_Cars!T17),COLUMN(TRA_Cars!T17),4,1)&amp;","&amp;ADDRESS(ROW(TRA_Cars!T21),COLUMN(TRA_Cars!T21),4,1)&amp;","&amp;ADDRESS(ROW(TRA_Cars!T25),COLUMN(TRA_Cars!T25),4,1)&amp;","&amp;ADDRESS(ROW(TRA_Cars!T29),COLUMN(TRA_Cars!T29),4,1)&amp;","&amp;ADDRESS(ROW(TRA_Cars!T33),COLUMN(TRA_Cars!T33),4,1)&amp;","&amp;ADDRESS(ROW(TRA_Cars!T37),COLUMN(TRA_Cars!T37),4,1)&amp;","&amp;ADDRESS(ROW(TRA_Cars!T41),COLUMN(TRA_Cars!T41),4,1)&amp;","&amp;ADDRESS(ROW(TRA_Cars!T45),COLUMN(TRA_Cars!T45),4,1)&amp;","&amp;ADDRESS(ROW(TRA_Cars!T49),COLUMN(TRA_Cars!T49),4,1)&amp;","&amp;ADDRESS(ROW(TRA_Cars!T53),COLUMN(TRA_Cars!T53),4,1)&amp;","&amp;ADDRESS(ROW(TRA_Cars!T57),COLUMN(TRA_Cars!T57),4,1)&amp;","&amp;ADDRESS(ROW(TRA_Cars!T61),COLUMN(TRA_Cars!T61),4,1)&amp;","&amp;ADDRESS(ROW(TRA_Cars!T65),COLUMN(TRA_Cars!T65),4,1)&amp;","&amp;ADDRESS(ROW(TRA_Cars!T69),COLUMN(TRA_Cars!T69),4,1)&amp;","&amp;ADDRESS(ROW(TRA_Cars!T73),COLUMN(TRA_Cars!T73),4,1)&amp;","&amp;ADDRESS(ROW(TRA_Cars!T77),COLUMN(TRA_Cars!T77),4,1)&amp;","&amp;ADDRESS(ROW(TRA_Cars!T81),COLUMN(TRA_Cars!T81),4,1)</f>
        <v>T5,T9,T13,T17,T21,T25,T29,T33,T37,T41,T45,T49,T53,T57,T61,T65,T69,T73,T77,T81</v>
      </c>
      <c r="E18" s="684" t="s">
        <v>720</v>
      </c>
    </row>
    <row r="19" spans="1:5" s="684" customFormat="1">
      <c r="A19" s="685">
        <v>42789</v>
      </c>
      <c r="B19" s="684" t="s">
        <v>713</v>
      </c>
      <c r="C19" s="684" t="s">
        <v>716</v>
      </c>
      <c r="D19" s="684" t="str">
        <f>ADDRESS(ROW(TRA_Walk!D9),COLUMN(TRA_Walk!D9),4,1)&amp;","&amp;ADDRESS(ROW(TRA_Walk!L9),COLUMN(TRA_Walk!L9),4,1)</f>
        <v>D9,L9</v>
      </c>
      <c r="E19" s="684" t="s">
        <v>715</v>
      </c>
    </row>
    <row r="20" spans="1:5">
      <c r="A20" s="685">
        <v>42789</v>
      </c>
      <c r="B20" s="684" t="s">
        <v>713</v>
      </c>
      <c r="C20" s="684" t="s">
        <v>714</v>
      </c>
      <c r="D20" s="684" t="str">
        <f>ADDRESS(ROW(TRA_Bikes!C8),COLUMN(TRA_Bikes!C8),4,1)&amp;","&amp;ADDRESS(ROW(TRA_Bikes!I8),COLUMN(TRA_Bikes!I8),4,1)</f>
        <v>C8,I8</v>
      </c>
      <c r="E20" s="684" t="s">
        <v>715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B18" sqref="B18"/>
    </sheetView>
  </sheetViews>
  <sheetFormatPr defaultColWidth="9.109375" defaultRowHeight="13.2"/>
  <cols>
    <col min="1" max="1" width="11" style="33" bestFit="1" customWidth="1"/>
    <col min="2" max="2" width="14.33203125" style="33" bestFit="1" customWidth="1"/>
    <col min="3" max="3" width="12.6640625" style="33" bestFit="1" customWidth="1"/>
    <col min="4" max="4" width="34.5546875" style="33" bestFit="1" customWidth="1"/>
    <col min="5" max="5" width="60.6640625" style="33" bestFit="1" customWidth="1"/>
    <col min="6" max="8" width="9.109375" style="33"/>
    <col min="9" max="9" width="13" style="33" customWidth="1"/>
    <col min="10" max="10" width="14.5546875" style="33" bestFit="1" customWidth="1"/>
    <col min="11" max="16384" width="9.109375" style="33"/>
  </cols>
  <sheetData>
    <row r="3" spans="1:5">
      <c r="A3" s="31"/>
      <c r="B3" s="32"/>
      <c r="C3" s="32"/>
      <c r="D3" s="32"/>
      <c r="E3" s="32"/>
    </row>
    <row r="4" spans="1:5" s="40" customFormat="1">
      <c r="A4" s="488"/>
      <c r="B4" s="487" t="s">
        <v>506</v>
      </c>
      <c r="C4" s="487"/>
      <c r="D4" s="487"/>
      <c r="E4" s="487"/>
    </row>
    <row r="5" spans="1:5" s="40" customFormat="1">
      <c r="A5" s="488"/>
      <c r="B5" s="487"/>
      <c r="C5" s="487"/>
      <c r="D5" s="487"/>
      <c r="E5" s="487"/>
    </row>
    <row r="6" spans="1:5" s="40" customFormat="1">
      <c r="A6" s="488"/>
      <c r="B6" s="487"/>
      <c r="C6" s="487"/>
      <c r="D6" s="487"/>
      <c r="E6" s="487"/>
    </row>
    <row r="7" spans="1:5" s="40" customFormat="1">
      <c r="A7" s="488"/>
      <c r="B7" s="487"/>
      <c r="C7" s="487"/>
      <c r="D7" s="487"/>
      <c r="E7" s="487"/>
    </row>
    <row r="8" spans="1:5">
      <c r="A8" s="488"/>
      <c r="B8" s="487"/>
      <c r="C8" s="487"/>
      <c r="D8" s="487"/>
      <c r="E8" s="487"/>
    </row>
    <row r="9" spans="1:5" s="44" customFormat="1">
      <c r="A9" s="46"/>
      <c r="B9" s="45"/>
      <c r="C9" s="45"/>
      <c r="D9" s="45"/>
      <c r="E9" s="45"/>
    </row>
    <row r="10" spans="1:5" s="44" customFormat="1">
      <c r="A10" s="46"/>
      <c r="B10" s="45"/>
      <c r="C10" s="45"/>
      <c r="D10" s="45"/>
      <c r="E10" s="45"/>
    </row>
    <row r="11" spans="1:5" s="44" customFormat="1">
      <c r="A11" s="46"/>
      <c r="B11" s="45"/>
      <c r="C11" s="45"/>
      <c r="D11" s="45"/>
      <c r="E11" s="45"/>
    </row>
    <row r="12" spans="1:5" s="44" customFormat="1">
      <c r="A12" s="46"/>
      <c r="B12" s="45"/>
      <c r="C12" s="45"/>
      <c r="D12" s="45"/>
      <c r="E12" s="45"/>
    </row>
    <row r="13" spans="1:5" s="44" customFormat="1">
      <c r="A13" s="46"/>
      <c r="B13" s="45"/>
      <c r="C13" s="45"/>
      <c r="D13" s="45"/>
      <c r="E13" s="45"/>
    </row>
    <row r="14" spans="1:5" s="44" customFormat="1">
      <c r="A14" s="46"/>
      <c r="B14" s="45"/>
      <c r="C14" s="45"/>
      <c r="D14" s="45"/>
      <c r="E14" s="45"/>
    </row>
    <row r="15" spans="1:5" s="44" customFormat="1">
      <c r="A15" s="46"/>
      <c r="B15" s="45"/>
      <c r="C15" s="45"/>
      <c r="D15" s="45"/>
      <c r="E15" s="45"/>
    </row>
    <row r="16" spans="1:5" s="44" customFormat="1">
      <c r="A16" s="46"/>
      <c r="B16" s="45"/>
      <c r="C16" s="45"/>
      <c r="D16" s="45"/>
      <c r="E16" s="45"/>
    </row>
    <row r="17" spans="1:5" s="36" customFormat="1">
      <c r="A17" s="34"/>
      <c r="B17" s="35"/>
      <c r="C17" s="35"/>
      <c r="D17" s="35"/>
      <c r="E17" s="35"/>
    </row>
    <row r="18" spans="1:5" s="36" customFormat="1">
      <c r="A18" s="34"/>
      <c r="B18" s="35"/>
      <c r="C18" s="35"/>
      <c r="D18" s="30"/>
      <c r="E18" s="35"/>
    </row>
    <row r="19" spans="1:5" s="36" customFormat="1">
      <c r="A19" s="34"/>
      <c r="B19" s="35"/>
      <c r="C19" s="35"/>
      <c r="D19" s="35"/>
      <c r="E19" s="35"/>
    </row>
    <row r="20" spans="1:5" s="36" customFormat="1">
      <c r="A20" s="34"/>
      <c r="B20" s="35"/>
      <c r="C20" s="35"/>
      <c r="D20" s="25"/>
      <c r="E20" s="35"/>
    </row>
    <row r="21" spans="1:5" s="36" customFormat="1">
      <c r="A21" s="34"/>
      <c r="B21" s="35"/>
      <c r="C21" s="35"/>
      <c r="D21" s="35"/>
      <c r="E21" s="35"/>
    </row>
    <row r="22" spans="1:5" s="36" customFormat="1">
      <c r="A22" s="34"/>
      <c r="B22" s="35"/>
      <c r="C22" s="35"/>
      <c r="D22" s="35"/>
      <c r="E22" s="35"/>
    </row>
    <row r="23" spans="1:5" s="36" customFormat="1">
      <c r="B23" s="35"/>
      <c r="C23" s="35"/>
      <c r="D23" s="35"/>
      <c r="E23" s="35"/>
    </row>
    <row r="24" spans="1:5" s="36" customFormat="1">
      <c r="A24" s="34"/>
      <c r="B24" s="35"/>
      <c r="C24" s="35"/>
      <c r="D24" s="35"/>
      <c r="E24" s="35"/>
    </row>
    <row r="25" spans="1:5" s="36" customFormat="1">
      <c r="A25" s="34"/>
      <c r="B25" s="35"/>
      <c r="C25" s="35"/>
      <c r="D25" s="35"/>
      <c r="E25" s="35"/>
    </row>
    <row r="26" spans="1:5" s="36" customFormat="1">
      <c r="A26" s="34"/>
      <c r="B26" s="35"/>
      <c r="C26" s="35"/>
      <c r="D26" s="35"/>
      <c r="E26" s="35"/>
    </row>
    <row r="27" spans="1:5" s="36" customFormat="1">
      <c r="A27" s="34"/>
      <c r="B27" s="35"/>
      <c r="C27" s="35"/>
      <c r="D27" s="35"/>
      <c r="E27" s="35"/>
    </row>
    <row r="28" spans="1:5" s="36" customFormat="1">
      <c r="A28" s="34"/>
      <c r="B28" s="35"/>
      <c r="C28" s="35"/>
      <c r="D28" s="35"/>
      <c r="E28" s="35"/>
    </row>
    <row r="29" spans="1:5" s="36" customFormat="1">
      <c r="A29" s="34"/>
      <c r="B29" s="35"/>
      <c r="C29" s="35"/>
      <c r="D29" s="35"/>
      <c r="E29" s="35"/>
    </row>
    <row r="30" spans="1:5">
      <c r="A30" s="34"/>
      <c r="B30" s="38"/>
      <c r="C30" s="38"/>
      <c r="D30" s="39"/>
      <c r="E30" s="38"/>
    </row>
    <row r="31" spans="1:5">
      <c r="A31" s="37"/>
      <c r="B31" s="38"/>
      <c r="C31" s="38"/>
      <c r="D31" s="40"/>
      <c r="E31" s="40"/>
    </row>
    <row r="32" spans="1:5">
      <c r="A32" s="3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2:AV210"/>
  <sheetViews>
    <sheetView zoomScale="85" zoomScaleNormal="85" workbookViewId="0">
      <selection activeCell="L29" sqref="L29:L32"/>
    </sheetView>
  </sheetViews>
  <sheetFormatPr defaultRowHeight="13.2"/>
  <cols>
    <col min="1" max="1" width="1.88671875" style="3" customWidth="1"/>
    <col min="2" max="2" width="12.6640625" bestFit="1" customWidth="1"/>
    <col min="3" max="3" width="26.33203125" customWidth="1"/>
    <col min="4" max="4" width="73" bestFit="1" customWidth="1"/>
    <col min="5" max="5" width="16.88671875" bestFit="1" customWidth="1"/>
    <col min="6" max="6" width="9.6640625" bestFit="1" customWidth="1"/>
    <col min="7" max="7" width="12.5546875" customWidth="1"/>
    <col min="8" max="8" width="14.44140625" bestFit="1" customWidth="1"/>
    <col min="9" max="9" width="12" bestFit="1" customWidth="1"/>
    <col min="10" max="10" width="13.88671875" bestFit="1" customWidth="1"/>
    <col min="11" max="11" width="11.5546875" style="498" bestFit="1" customWidth="1"/>
    <col min="12" max="12" width="10" customWidth="1"/>
    <col min="13" max="13" width="10" style="498" customWidth="1"/>
    <col min="14" max="14" width="13.44140625" bestFit="1" customWidth="1"/>
    <col min="15" max="15" width="12.5546875" bestFit="1" customWidth="1"/>
    <col min="16" max="16" width="9.6640625" customWidth="1"/>
    <col min="17" max="17" width="10.33203125" customWidth="1"/>
    <col min="18" max="18" width="12" bestFit="1" customWidth="1"/>
    <col min="19" max="19" width="12" style="558" customWidth="1"/>
    <col min="20" max="23" width="12" style="570" customWidth="1"/>
    <col min="24" max="24" width="12" style="511" customWidth="1"/>
    <col min="25" max="25" width="10.44140625" bestFit="1" customWidth="1"/>
    <col min="26" max="26" width="11.6640625" customWidth="1"/>
    <col min="27" max="27" width="12.88671875" bestFit="1" customWidth="1"/>
    <col min="28" max="28" width="14.44140625" bestFit="1" customWidth="1"/>
    <col min="29" max="29" width="13" bestFit="1" customWidth="1"/>
    <col min="30" max="30" width="17.109375" bestFit="1" customWidth="1"/>
    <col min="31" max="31" width="9.5546875" bestFit="1" customWidth="1"/>
    <col min="32" max="32" width="16" bestFit="1" customWidth="1"/>
    <col min="33" max="33" width="10.109375" bestFit="1" customWidth="1"/>
    <col min="36" max="36" width="10.33203125" bestFit="1" customWidth="1"/>
    <col min="43" max="43" width="15.6640625" bestFit="1" customWidth="1"/>
    <col min="44" max="44" width="17.109375" bestFit="1" customWidth="1"/>
    <col min="45" max="45" width="19.44140625" bestFit="1" customWidth="1"/>
    <col min="46" max="46" width="16.5546875" bestFit="1" customWidth="1"/>
  </cols>
  <sheetData>
    <row r="2" spans="1:48">
      <c r="E2" s="1"/>
      <c r="H2" s="2" t="s">
        <v>0</v>
      </c>
      <c r="I2" t="s">
        <v>88</v>
      </c>
      <c r="K2" s="3"/>
      <c r="L2" s="3"/>
      <c r="M2" s="3"/>
      <c r="P2" s="5"/>
      <c r="X2"/>
    </row>
    <row r="3" spans="1:48" ht="27.6">
      <c r="C3" s="6" t="s">
        <v>1</v>
      </c>
      <c r="D3" s="6" t="s">
        <v>8</v>
      </c>
      <c r="E3" s="6" t="s">
        <v>2</v>
      </c>
      <c r="F3" s="6" t="s">
        <v>3</v>
      </c>
      <c r="G3" s="6" t="s">
        <v>28</v>
      </c>
      <c r="H3" s="6" t="s">
        <v>218</v>
      </c>
      <c r="I3" s="6" t="s">
        <v>5</v>
      </c>
      <c r="J3" s="6" t="s">
        <v>221</v>
      </c>
      <c r="K3" s="495" t="s">
        <v>535</v>
      </c>
      <c r="L3" s="6" t="s">
        <v>9</v>
      </c>
      <c r="M3" s="495" t="s">
        <v>530</v>
      </c>
      <c r="N3" s="6" t="s">
        <v>10</v>
      </c>
      <c r="O3" s="8" t="s">
        <v>6</v>
      </c>
      <c r="P3" s="7" t="s">
        <v>7</v>
      </c>
      <c r="Q3" s="57" t="s">
        <v>659</v>
      </c>
      <c r="R3" s="57" t="s">
        <v>536</v>
      </c>
      <c r="S3" s="1300"/>
      <c r="T3" s="57" t="s">
        <v>717</v>
      </c>
      <c r="U3" s="43"/>
      <c r="V3" s="978" t="s">
        <v>874</v>
      </c>
      <c r="W3" s="978" t="s">
        <v>875</v>
      </c>
      <c r="X3"/>
      <c r="AE3" s="9"/>
      <c r="AP3" s="548" t="s">
        <v>790</v>
      </c>
      <c r="AQ3" s="570"/>
      <c r="AR3" s="570"/>
      <c r="AS3" s="570"/>
      <c r="AT3" s="570"/>
      <c r="AU3" s="570"/>
      <c r="AV3" s="570"/>
    </row>
    <row r="4" spans="1:48" ht="26.25" customHeight="1" thickBot="1">
      <c r="C4" s="4" t="s">
        <v>11</v>
      </c>
      <c r="D4" s="4"/>
      <c r="E4" s="4"/>
      <c r="F4" s="4"/>
      <c r="G4" s="4"/>
      <c r="H4" s="4" t="s">
        <v>217</v>
      </c>
      <c r="I4" s="4" t="s">
        <v>13</v>
      </c>
      <c r="J4" s="4" t="s">
        <v>222</v>
      </c>
      <c r="K4" s="494" t="s">
        <v>534</v>
      </c>
      <c r="L4" s="4" t="s">
        <v>219</v>
      </c>
      <c r="M4" s="494"/>
      <c r="N4" s="4" t="s">
        <v>14</v>
      </c>
      <c r="O4" s="4" t="s">
        <v>83</v>
      </c>
      <c r="P4" s="4" t="s">
        <v>12</v>
      </c>
      <c r="Q4" s="4" t="s">
        <v>90</v>
      </c>
      <c r="R4" s="494" t="s">
        <v>90</v>
      </c>
      <c r="S4" s="28"/>
      <c r="T4" s="572" t="s">
        <v>718</v>
      </c>
      <c r="U4" s="977"/>
      <c r="V4" s="979" t="s">
        <v>534</v>
      </c>
      <c r="W4" s="979" t="s">
        <v>534</v>
      </c>
      <c r="X4"/>
      <c r="Y4" s="26"/>
      <c r="AP4" s="548" t="s">
        <v>791</v>
      </c>
      <c r="AQ4" s="548" t="s">
        <v>792</v>
      </c>
      <c r="AR4" s="570" t="s">
        <v>800</v>
      </c>
      <c r="AS4" s="570" t="s">
        <v>862</v>
      </c>
      <c r="AT4" s="570" t="s">
        <v>861</v>
      </c>
      <c r="AU4" s="570"/>
      <c r="AV4" s="570"/>
    </row>
    <row r="5" spans="1:48" s="570" customFormat="1" ht="26.25" customHeight="1">
      <c r="A5" s="571"/>
      <c r="C5" s="570" t="str">
        <f>LEFT(F5,4)&amp;RIGHT(E5,5)&amp;"N"</f>
        <v>TPCADSBL2N</v>
      </c>
      <c r="D5" s="532" t="s">
        <v>605</v>
      </c>
      <c r="E5" s="533" t="s">
        <v>223</v>
      </c>
      <c r="F5" s="548" t="s">
        <v>670</v>
      </c>
      <c r="G5" s="530">
        <v>2015</v>
      </c>
      <c r="H5" s="530" t="s">
        <v>801</v>
      </c>
      <c r="I5" s="530">
        <v>2012</v>
      </c>
      <c r="J5" s="530">
        <v>2019</v>
      </c>
      <c r="L5" s="541">
        <f>V5/W5</f>
        <v>1.0265884114853188</v>
      </c>
      <c r="N5" s="570">
        <v>16</v>
      </c>
      <c r="O5" s="535">
        <f>('O&amp;M'!$I$45+'O&amp;M'!$I$46)*$Z$7</f>
        <v>1.1315946081000886E-3</v>
      </c>
      <c r="P5" s="557">
        <f t="array" ref="P5">INDEX('Cars INVCOST'!$D$24:$Q$146,MATCH(TRA_Cars!$AR$5&amp;TRA_Cars!$AS$5,'Cars INVCOST'!$C$24:$C$146&amp;'Cars INVCOST'!$A$24:$A$146,0),MATCH(TRA_Cars!G5&amp;$AT$5,'Cars INVCOST'!$D$22:$Q$22&amp;'Cars INVCOST'!$D$23:$Q$23,0))*$AB$7/1000</f>
        <v>113.63129472235843</v>
      </c>
      <c r="Q5" s="570">
        <v>5</v>
      </c>
      <c r="S5" s="558"/>
      <c r="T5" s="570">
        <v>18000</v>
      </c>
      <c r="V5" s="980">
        <f t="array" ref="V5">INDEX('Eff SF'!$D$11:$Q$28,MATCH(TRA_Cars!$AS$5&amp;TRA_Cars!$AV$5,'Eff SF'!$A$11:$A$28&amp;'Eff SF'!$C$11:$C$28,0),MATCH(TRA_Cars!G5&amp;TRA_Cars!$AT$5,'Eff SF'!$D$9:$Q$9&amp;'Eff SF'!$D$10:$Q$10,0))*$AC$13</f>
        <v>346.42993279458477</v>
      </c>
      <c r="W5" s="1321">
        <f t="array" ref="W5">INDEX('Eff SF'!$D$11:$Q$28,MATCH(TRA_Cars!$AS$5&amp;TRA_Cars!$AV$5,'Eff SF'!$A$11:$A$28&amp;'Eff SF'!$C$11:$C$28,0),MATCH(TRA_Cars!X5&amp;TRA_Cars!$AT$5,'Eff SF'!$D$9:$Q$9&amp;'Eff SF'!$D$10:$Q$10,0))*$AC$13</f>
        <v>337.45747460109436</v>
      </c>
      <c r="X5" s="1322">
        <v>2010</v>
      </c>
      <c r="Y5" s="529"/>
      <c r="AE5" s="512" t="s">
        <v>806</v>
      </c>
      <c r="AO5" s="548"/>
      <c r="AQ5" s="548" t="s">
        <v>29</v>
      </c>
      <c r="AR5" s="548" t="str">
        <f>'[11]Cars INVCOST'!$C$25</f>
        <v>Vehicle Cost AVG</v>
      </c>
      <c r="AS5" s="570" t="str">
        <f>'[11]Cars INVCOST'!A28</f>
        <v>CI Conv</v>
      </c>
      <c r="AT5" s="570" t="str">
        <f>'[11]Cars INVCOST'!$E$23</f>
        <v>avg tech</v>
      </c>
      <c r="AU5" s="570" t="s">
        <v>826</v>
      </c>
      <c r="AV5" s="570" t="s">
        <v>815</v>
      </c>
    </row>
    <row r="6" spans="1:48" s="512" customFormat="1" ht="17.399999999999999" customHeight="1">
      <c r="A6" s="513"/>
      <c r="F6" s="548" t="s">
        <v>671</v>
      </c>
      <c r="G6" s="570"/>
      <c r="L6" s="541">
        <f>V5/W5</f>
        <v>1.0265884114853188</v>
      </c>
      <c r="O6" s="535"/>
      <c r="P6" s="557"/>
      <c r="Q6" s="512">
        <v>5</v>
      </c>
      <c r="S6" s="558"/>
      <c r="T6" s="570"/>
      <c r="U6" s="570"/>
      <c r="V6" s="980"/>
      <c r="W6" s="980"/>
      <c r="Y6" s="1485" t="s">
        <v>84</v>
      </c>
      <c r="Z6" s="1486"/>
      <c r="AA6" s="1487"/>
      <c r="AB6" s="1488" t="s">
        <v>803</v>
      </c>
      <c r="AC6" s="1489"/>
      <c r="AE6" s="512" t="s">
        <v>805</v>
      </c>
      <c r="AO6" s="548"/>
      <c r="AP6" s="570"/>
      <c r="AQ6" s="548" t="s">
        <v>777</v>
      </c>
      <c r="AR6" s="548" t="str">
        <f>'[11]Cars INVCOST'!$C$25</f>
        <v>Vehicle Cost AVG</v>
      </c>
      <c r="AS6" s="570" t="str">
        <f>'[11]Cars INVCOST'!$A$24</f>
        <v>SI Conv</v>
      </c>
      <c r="AT6" s="570" t="str">
        <f>'[11]Cars INVCOST'!$E$23</f>
        <v>avg tech</v>
      </c>
      <c r="AU6" s="570" t="s">
        <v>826</v>
      </c>
      <c r="AV6" s="570" t="s">
        <v>815</v>
      </c>
    </row>
    <row r="7" spans="1:48" s="512" customFormat="1" ht="17.399999999999999" customHeight="1">
      <c r="A7" s="513"/>
      <c r="C7" s="530"/>
      <c r="D7" s="530"/>
      <c r="E7" s="530"/>
      <c r="F7" s="573" t="s">
        <v>672</v>
      </c>
      <c r="G7" s="570"/>
      <c r="H7" s="530"/>
      <c r="I7" s="530"/>
      <c r="J7" s="530"/>
      <c r="L7" s="541">
        <f>V5/W5</f>
        <v>1.0265884114853188</v>
      </c>
      <c r="N7" s="534"/>
      <c r="O7" s="534"/>
      <c r="P7" s="560"/>
      <c r="Q7" s="570">
        <v>5</v>
      </c>
      <c r="S7" s="558"/>
      <c r="T7" s="570"/>
      <c r="U7" s="570"/>
      <c r="V7" s="980"/>
      <c r="W7" s="980"/>
      <c r="Y7" s="50" t="s">
        <v>85</v>
      </c>
      <c r="Z7" s="51">
        <f>10^-3</f>
        <v>1E-3</v>
      </c>
      <c r="AA7" s="52" t="s">
        <v>12</v>
      </c>
      <c r="AB7" s="745">
        <v>6.5</v>
      </c>
      <c r="AC7" s="746" t="s">
        <v>802</v>
      </c>
      <c r="AE7" s="548" t="s">
        <v>804</v>
      </c>
      <c r="AO7" s="548"/>
      <c r="AP7" s="570"/>
      <c r="AQ7" s="570" t="s">
        <v>157</v>
      </c>
      <c r="AR7" s="548" t="str">
        <f>'[11]Cars INVCOST'!$C$25</f>
        <v>Vehicle Cost AVG</v>
      </c>
      <c r="AS7" s="570" t="str">
        <f>'[11]Cars INVCOST'!A37</f>
        <v>CNG Conv</v>
      </c>
      <c r="AT7" s="570" t="str">
        <f>'[11]Cars INVCOST'!$E$23</f>
        <v>avg tech</v>
      </c>
      <c r="AU7" s="570" t="s">
        <v>826</v>
      </c>
      <c r="AV7" s="570" t="s">
        <v>815</v>
      </c>
    </row>
    <row r="8" spans="1:48" s="512" customFormat="1" ht="17.399999999999999" customHeight="1">
      <c r="A8" s="513"/>
      <c r="C8" s="531"/>
      <c r="D8" s="531"/>
      <c r="E8" s="531"/>
      <c r="F8" s="555" t="s">
        <v>673</v>
      </c>
      <c r="G8" s="570"/>
      <c r="H8" s="531"/>
      <c r="I8" s="531"/>
      <c r="J8" s="531"/>
      <c r="L8" s="541">
        <f>V5/W5</f>
        <v>1.0265884114853188</v>
      </c>
      <c r="N8" s="531"/>
      <c r="O8" s="534"/>
      <c r="P8" s="560"/>
      <c r="Q8" s="570">
        <v>5</v>
      </c>
      <c r="S8" s="558"/>
      <c r="T8" s="570"/>
      <c r="U8" s="570"/>
      <c r="V8" s="980"/>
      <c r="W8" s="980"/>
      <c r="Y8" s="26"/>
      <c r="AB8" s="570"/>
      <c r="AD8" s="570"/>
      <c r="AE8" s="570"/>
      <c r="AO8" s="548"/>
      <c r="AP8" s="570"/>
      <c r="AQ8" s="570" t="s">
        <v>537</v>
      </c>
      <c r="AR8" s="548" t="str">
        <f>'[11]Cars INVCOST'!$C$25</f>
        <v>Vehicle Cost AVG</v>
      </c>
      <c r="AS8" s="570" t="s">
        <v>768</v>
      </c>
      <c r="AT8" s="570" t="str">
        <f>'[11]Cars INVCOST'!$E$23</f>
        <v>avg tech</v>
      </c>
      <c r="AU8" s="570" t="s">
        <v>826</v>
      </c>
      <c r="AV8" s="570" t="s">
        <v>815</v>
      </c>
    </row>
    <row r="9" spans="1:48" s="570" customFormat="1" ht="17.399999999999999" customHeight="1">
      <c r="A9" s="571"/>
      <c r="C9" s="570" t="str">
        <f>LEFT(F9,4)&amp;RIGHT(E9,5)&amp;"N"</f>
        <v>TPCADSBL3N</v>
      </c>
      <c r="D9" s="532" t="s">
        <v>606</v>
      </c>
      <c r="E9" s="531" t="s">
        <v>224</v>
      </c>
      <c r="F9" s="548" t="s">
        <v>670</v>
      </c>
      <c r="G9" s="531">
        <v>2020</v>
      </c>
      <c r="H9" s="531" t="s">
        <v>801</v>
      </c>
      <c r="I9" s="531">
        <v>2020</v>
      </c>
      <c r="J9" s="531">
        <f>G13-1</f>
        <v>2029</v>
      </c>
      <c r="L9" s="541">
        <f>V9/W9</f>
        <v>1.2179329203165206</v>
      </c>
      <c r="N9" s="531">
        <v>16</v>
      </c>
      <c r="O9" s="535">
        <f>('O&amp;M'!$I$45+'O&amp;M'!$I$46)*$Z$7</f>
        <v>1.1315946081000886E-3</v>
      </c>
      <c r="P9" s="557">
        <f t="array" ref="P9">INDEX('Cars INVCOST'!$D$24:$Q$146,MATCH(TRA_Cars!$AR$5&amp;TRA_Cars!$AS$5,'Cars INVCOST'!$C$24:$C$146&amp;'Cars INVCOST'!$A$24:$A$146,0),MATCH(TRA_Cars!G9&amp;$AT$5,'Cars INVCOST'!$D$22:$Q$22&amp;'Cars INVCOST'!$D$23:$Q$23,0))*$AB$7/1000</f>
        <v>117.40614587394337</v>
      </c>
      <c r="Q9" s="570">
        <v>5</v>
      </c>
      <c r="S9" s="558"/>
      <c r="T9" s="570">
        <v>18000</v>
      </c>
      <c r="V9" s="980">
        <f t="array" ref="V9">INDEX('Eff SF'!$D$11:$Q$28,MATCH(TRA_Cars!$AS$5&amp;TRA_Cars!$AV$5,'Eff SF'!$A$11:$A$28&amp;'Eff SF'!$C$11:$C$28,0),MATCH(TRA_Cars!G9&amp;TRA_Cars!$AT$5,'Eff SF'!$D$9:$Q$9&amp;'Eff SF'!$D$10:$Q$10,0))*$AC$13</f>
        <v>411.00056752354891</v>
      </c>
      <c r="W9" s="980">
        <f>W5</f>
        <v>337.45747460109436</v>
      </c>
      <c r="Y9" s="529"/>
      <c r="AQ9" s="570" t="s">
        <v>502</v>
      </c>
      <c r="AR9" s="548" t="str">
        <f>'[11]Cars INVCOST'!$C$25</f>
        <v>Vehicle Cost AVG</v>
      </c>
      <c r="AS9" s="734" t="s">
        <v>746</v>
      </c>
      <c r="AT9" s="570" t="str">
        <f>'[11]Cars INVCOST'!$E$23</f>
        <v>avg tech</v>
      </c>
      <c r="AU9" s="570" t="s">
        <v>826</v>
      </c>
      <c r="AV9" s="570" t="s">
        <v>815</v>
      </c>
    </row>
    <row r="10" spans="1:48" s="512" customFormat="1" ht="17.399999999999999" customHeight="1">
      <c r="A10" s="513"/>
      <c r="F10" s="548" t="s">
        <v>671</v>
      </c>
      <c r="G10" s="573"/>
      <c r="H10" s="531"/>
      <c r="I10" s="531"/>
      <c r="J10" s="531"/>
      <c r="L10" s="541">
        <f>V9/W9</f>
        <v>1.2179329203165206</v>
      </c>
      <c r="O10" s="535"/>
      <c r="P10" s="557"/>
      <c r="Q10" s="570">
        <v>5</v>
      </c>
      <c r="S10" s="558"/>
      <c r="T10" s="570"/>
      <c r="U10" s="570"/>
      <c r="V10" s="980"/>
      <c r="W10" s="980"/>
      <c r="Y10" s="26"/>
      <c r="AP10" s="570"/>
      <c r="AQ10" s="570" t="s">
        <v>793</v>
      </c>
      <c r="AR10" s="548" t="str">
        <f>'[11]Cars INVCOST'!$C$25</f>
        <v>Vehicle Cost AVG</v>
      </c>
      <c r="AS10" s="570" t="str">
        <f>'[11]Cars INVCOST'!A67</f>
        <v>FC HEV</v>
      </c>
      <c r="AT10" s="570" t="str">
        <f>'[11]Cars INVCOST'!$E$23</f>
        <v>avg tech</v>
      </c>
      <c r="AU10" s="570" t="s">
        <v>826</v>
      </c>
      <c r="AV10" s="570" t="s">
        <v>815</v>
      </c>
    </row>
    <row r="11" spans="1:48" s="512" customFormat="1" ht="17.399999999999999" customHeight="1">
      <c r="A11" s="513"/>
      <c r="C11" s="531"/>
      <c r="D11" s="531"/>
      <c r="E11" s="531"/>
      <c r="F11" s="573" t="s">
        <v>672</v>
      </c>
      <c r="G11" s="573"/>
      <c r="H11" s="531"/>
      <c r="I11" s="531"/>
      <c r="J11" s="531"/>
      <c r="L11" s="541">
        <f>V9/W9</f>
        <v>1.2179329203165206</v>
      </c>
      <c r="N11" s="534"/>
      <c r="O11" s="534"/>
      <c r="P11" s="560"/>
      <c r="Q11" s="570">
        <v>5</v>
      </c>
      <c r="S11" s="558"/>
      <c r="T11" s="570"/>
      <c r="U11" s="570"/>
      <c r="V11" s="980"/>
      <c r="W11" s="980"/>
      <c r="Y11" s="1490" t="s">
        <v>863</v>
      </c>
      <c r="Z11" s="1491"/>
      <c r="AA11" s="1491"/>
      <c r="AB11" s="1491"/>
      <c r="AC11" s="1491"/>
      <c r="AP11" s="570"/>
      <c r="AQ11" s="570" t="s">
        <v>779</v>
      </c>
      <c r="AR11" s="548" t="str">
        <f>'[11]Cars INVCOST'!$C$25</f>
        <v>Vehicle Cost AVG</v>
      </c>
      <c r="AS11" s="570" t="str">
        <f>'[11]Cars INVCOST'!A34</f>
        <v>E85 Conv</v>
      </c>
      <c r="AT11" s="570" t="str">
        <f>'[11]Cars INVCOST'!$E$23</f>
        <v>avg tech</v>
      </c>
      <c r="AU11" s="570" t="s">
        <v>826</v>
      </c>
      <c r="AV11" s="570" t="s">
        <v>815</v>
      </c>
    </row>
    <row r="12" spans="1:48" s="512" customFormat="1" ht="17.399999999999999" customHeight="1">
      <c r="A12" s="513"/>
      <c r="C12" s="531"/>
      <c r="D12" s="531"/>
      <c r="E12" s="531"/>
      <c r="F12" s="555" t="s">
        <v>673</v>
      </c>
      <c r="G12" s="573"/>
      <c r="L12" s="541">
        <f>V9/W9</f>
        <v>1.2179329203165206</v>
      </c>
      <c r="N12" s="531"/>
      <c r="O12" s="534"/>
      <c r="P12" s="560"/>
      <c r="Q12" s="570">
        <v>5</v>
      </c>
      <c r="S12" s="558"/>
      <c r="T12" s="570"/>
      <c r="U12" s="570"/>
      <c r="V12" s="980"/>
      <c r="W12" s="980"/>
      <c r="Y12" s="956" t="s">
        <v>864</v>
      </c>
      <c r="Z12" s="510"/>
      <c r="AA12" s="510" t="s">
        <v>865</v>
      </c>
      <c r="AB12" s="956" t="s">
        <v>872</v>
      </c>
      <c r="AC12" s="974" t="s">
        <v>873</v>
      </c>
      <c r="AP12" s="570"/>
      <c r="AQ12" s="570"/>
      <c r="AR12" s="570"/>
      <c r="AS12" s="570"/>
      <c r="AT12" s="570"/>
      <c r="AU12" s="570"/>
      <c r="AV12" s="570"/>
    </row>
    <row r="13" spans="1:48" s="570" customFormat="1" ht="17.399999999999999" customHeight="1">
      <c r="A13" s="571"/>
      <c r="C13" s="570" t="str">
        <f>LEFT(F13,4)&amp;RIGHT(E13,5)&amp;"N"</f>
        <v>TPCADSBL4N</v>
      </c>
      <c r="D13" s="532" t="s">
        <v>607</v>
      </c>
      <c r="E13" s="531" t="s">
        <v>225</v>
      </c>
      <c r="F13" s="548" t="s">
        <v>670</v>
      </c>
      <c r="G13" s="531">
        <v>2030</v>
      </c>
      <c r="H13" s="531" t="s">
        <v>801</v>
      </c>
      <c r="I13" s="531">
        <f>G13</f>
        <v>2030</v>
      </c>
      <c r="J13" s="573"/>
      <c r="L13" s="541">
        <f>V13/W13</f>
        <v>1.3471896125408338</v>
      </c>
      <c r="N13" s="531">
        <v>16</v>
      </c>
      <c r="O13" s="535">
        <f>('O&amp;M'!$I$45+'O&amp;M'!$I$46)*$Z$7</f>
        <v>1.1315946081000886E-3</v>
      </c>
      <c r="P13" s="557">
        <f t="array" ref="P13">INDEX('Cars INVCOST'!$D$24:$Q$146,MATCH(TRA_Cars!$AR$5&amp;TRA_Cars!$AS$5,'Cars INVCOST'!$C$24:$C$146&amp;'Cars INVCOST'!$A$24:$A$146,0),MATCH(TRA_Cars!G13&amp;$AT$5,'Cars INVCOST'!$D$22:$Q$22&amp;'Cars INVCOST'!$D$23:$Q$23,0))*$AB$7/1000</f>
        <v>117.98633168820912</v>
      </c>
      <c r="Q13" s="570">
        <v>5</v>
      </c>
      <c r="S13" s="558"/>
      <c r="T13" s="570">
        <v>18000</v>
      </c>
      <c r="V13" s="980">
        <f t="array" ref="V13">INDEX('Eff SF'!$D$11:$Q$28,MATCH(TRA_Cars!$AS$5&amp;TRA_Cars!$AV$5,'Eff SF'!$A$11:$A$28&amp;'Eff SF'!$C$11:$C$28,0),MATCH(TRA_Cars!G13&amp;TRA_Cars!$AT$5,'Eff SF'!$D$9:$Q$9&amp;'Eff SF'!$D$10:$Q$10,0))*$AC$13</f>
        <v>454.61920445685655</v>
      </c>
      <c r="W13" s="980">
        <f>W5</f>
        <v>337.45747460109436</v>
      </c>
      <c r="Y13" s="548" t="s">
        <v>777</v>
      </c>
      <c r="Z13" s="512">
        <v>32.85</v>
      </c>
      <c r="AA13" s="548" t="s">
        <v>837</v>
      </c>
      <c r="AB13" s="957">
        <v>0.42514370699999998</v>
      </c>
      <c r="AC13" s="923">
        <f>(AB13/Z13)*1000</f>
        <v>12.941969771689497</v>
      </c>
    </row>
    <row r="14" spans="1:48" s="512" customFormat="1" ht="17.399999999999999" customHeight="1">
      <c r="A14" s="513"/>
      <c r="F14" s="548" t="s">
        <v>671</v>
      </c>
      <c r="J14" s="531"/>
      <c r="L14" s="541">
        <f>V13/W13</f>
        <v>1.3471896125408338</v>
      </c>
      <c r="O14" s="535"/>
      <c r="P14" s="557"/>
      <c r="Q14" s="570">
        <v>5</v>
      </c>
      <c r="S14" s="558"/>
      <c r="T14" s="570"/>
      <c r="U14" s="570"/>
      <c r="V14" s="980"/>
      <c r="W14" s="980"/>
      <c r="Y14" s="548" t="s">
        <v>783</v>
      </c>
      <c r="Z14" s="512">
        <v>3.6</v>
      </c>
      <c r="AA14" s="548" t="s">
        <v>866</v>
      </c>
      <c r="AB14" s="512">
        <f>1.609344</f>
        <v>1.6093440000000001</v>
      </c>
      <c r="AC14" s="570">
        <f>1/(Z14/AB14/1000000)</f>
        <v>447040.00000000006</v>
      </c>
      <c r="AP14" s="570"/>
      <c r="AQ14" s="570" t="s">
        <v>799</v>
      </c>
      <c r="AR14" s="570"/>
      <c r="AS14" s="570"/>
      <c r="AT14" s="570"/>
      <c r="AU14" s="570"/>
      <c r="AV14" s="570"/>
    </row>
    <row r="15" spans="1:48" s="512" customFormat="1" ht="17.399999999999999" customHeight="1">
      <c r="A15" s="513"/>
      <c r="C15" s="530"/>
      <c r="D15" s="530"/>
      <c r="E15" s="530"/>
      <c r="F15" s="573" t="s">
        <v>672</v>
      </c>
      <c r="G15" s="530"/>
      <c r="H15" s="530"/>
      <c r="I15" s="530"/>
      <c r="J15" s="530"/>
      <c r="L15" s="541">
        <f>V13/W13</f>
        <v>1.3471896125408338</v>
      </c>
      <c r="N15" s="530"/>
      <c r="O15" s="535"/>
      <c r="P15" s="557"/>
      <c r="Q15" s="570">
        <v>5</v>
      </c>
      <c r="S15" s="558"/>
      <c r="T15" s="570"/>
      <c r="U15" s="570"/>
      <c r="V15" s="980"/>
      <c r="W15" s="980"/>
      <c r="AP15" s="570"/>
      <c r="AQ15" s="570" t="s">
        <v>798</v>
      </c>
      <c r="AR15" s="548" t="str">
        <f>'Cars INVCOST'!$C$25</f>
        <v>Vehicle Cost AVG</v>
      </c>
      <c r="AS15" s="570" t="str">
        <f>'Cars INVCOST'!A133</f>
        <v>CNG Split HEV</v>
      </c>
      <c r="AT15" s="570"/>
      <c r="AU15" s="570"/>
      <c r="AV15" s="570"/>
    </row>
    <row r="16" spans="1:48" s="512" customFormat="1" ht="17.399999999999999" customHeight="1" thickBot="1">
      <c r="A16" s="513"/>
      <c r="C16" s="536"/>
      <c r="D16" s="536"/>
      <c r="E16" s="536"/>
      <c r="F16" s="536" t="s">
        <v>673</v>
      </c>
      <c r="G16" s="536"/>
      <c r="H16" s="536"/>
      <c r="I16" s="536"/>
      <c r="J16" s="536"/>
      <c r="K16" s="536"/>
      <c r="L16" s="925">
        <f>V13/W13</f>
        <v>1.3471896125408338</v>
      </c>
      <c r="M16" s="536"/>
      <c r="N16" s="536"/>
      <c r="O16" s="537"/>
      <c r="P16" s="576"/>
      <c r="Q16" s="536">
        <v>5</v>
      </c>
      <c r="R16" s="537"/>
      <c r="S16" s="1301"/>
      <c r="T16" s="536"/>
      <c r="U16" s="573"/>
      <c r="V16" s="981"/>
      <c r="W16" s="981"/>
      <c r="Y16" s="570"/>
      <c r="Z16" s="570"/>
      <c r="AB16" s="570"/>
      <c r="AC16" s="570"/>
      <c r="AP16" s="570"/>
      <c r="AQ16" s="570" t="s">
        <v>794</v>
      </c>
      <c r="AR16" s="548" t="str">
        <f>'Cars INVCOST'!$C$25</f>
        <v>Vehicle Cost AVG</v>
      </c>
      <c r="AS16" s="570" t="str">
        <f>'Cars INVCOST'!A139</f>
        <v>CNG Split HEV PHEV20</v>
      </c>
      <c r="AT16" s="570"/>
      <c r="AU16" s="570"/>
      <c r="AV16" s="570"/>
    </row>
    <row r="17" spans="1:46" s="570" customFormat="1" ht="17.399999999999999" customHeight="1">
      <c r="A17" s="571"/>
      <c r="C17" s="570" t="str">
        <f>LEFT(F17,4)&amp;RIGHT(E17,5)&amp;"N"</f>
        <v>TPCAGSBL2N</v>
      </c>
      <c r="D17" s="532" t="s">
        <v>608</v>
      </c>
      <c r="E17" s="533" t="s">
        <v>226</v>
      </c>
      <c r="F17" s="548" t="s">
        <v>670</v>
      </c>
      <c r="G17" s="570">
        <v>2015</v>
      </c>
      <c r="H17" s="570" t="s">
        <v>801</v>
      </c>
      <c r="I17" s="530">
        <v>2012</v>
      </c>
      <c r="J17" s="530">
        <v>2019</v>
      </c>
      <c r="L17" s="541">
        <f>V17/W17</f>
        <v>1.0359882618302811</v>
      </c>
      <c r="M17" s="573"/>
      <c r="N17" s="531">
        <v>16</v>
      </c>
      <c r="O17" s="535">
        <f>('O&amp;M'!$I$23+'O&amp;M'!$I$22)*TRA_Cars!$Z$7</f>
        <v>7.5508398661474794E-4</v>
      </c>
      <c r="P17" s="557">
        <f t="array" ref="P17">INDEX('Cars INVCOST'!$D$24:$Q$146,MATCH(TRA_Cars!$AR$6&amp;TRA_Cars!$AS$6,'Cars INVCOST'!$C$24:$C$146&amp;'Cars INVCOST'!$A$24:$A$146,0),MATCH(TRA_Cars!G17&amp;$AT$6,'Cars INVCOST'!$D$22:$Q$22&amp;'Cars INVCOST'!$D$23:$Q$23,0))*$AB$7/1000</f>
        <v>98.927487980180473</v>
      </c>
      <c r="Q17" s="570">
        <v>5</v>
      </c>
      <c r="S17" s="558"/>
      <c r="T17" s="570">
        <v>18000</v>
      </c>
      <c r="V17" s="980">
        <f t="array" ref="V17">INDEX('Eff SF'!$D$11:$Q$28,MATCH(TRA_Cars!$AS$6&amp;TRA_Cars!$AV$6,'Eff SF'!$A$11:$A$28&amp;'Eff SF'!$C$11:$C$28,0),MATCH(TRA_Cars!G17&amp;TRA_Cars!$AT$6,'Eff SF'!$D$9:$Q$9&amp;'Eff SF'!$D$10:$Q$10,0))*$AC$13</f>
        <v>326.7343756415039</v>
      </c>
      <c r="W17" s="1321">
        <f t="array" ref="W17">INDEX('Eff SF'!$D$11:$Q$28,MATCH(TRA_Cars!$AS$6&amp;TRA_Cars!$AV$6,'Eff SF'!$A$11:$A$28&amp;'Eff SF'!$C$11:$C$28,0),MATCH(TRA_Cars!X17&amp;TRA_Cars!$AT$6,'Eff SF'!$D$9:$Q$9&amp;'Eff SF'!$D$10:$Q$10,0))*$AC$13</f>
        <v>315.384244860325</v>
      </c>
      <c r="X17" s="1322">
        <v>2010</v>
      </c>
      <c r="Y17" s="512"/>
      <c r="Z17" s="512"/>
      <c r="AA17" s="548"/>
      <c r="AB17" s="512"/>
      <c r="AC17" s="512"/>
      <c r="AQ17" s="570" t="s">
        <v>795</v>
      </c>
      <c r="AR17" s="548" t="str">
        <f>'Cars INVCOST'!$C$25</f>
        <v>Vehicle Cost AVG</v>
      </c>
      <c r="AS17" s="570" t="str">
        <f>'Cars INVCOST'!A40</f>
        <v>SI Split HEV</v>
      </c>
    </row>
    <row r="18" spans="1:46" s="512" customFormat="1" ht="17.399999999999999" customHeight="1">
      <c r="A18" s="513"/>
      <c r="F18" s="548" t="s">
        <v>671</v>
      </c>
      <c r="G18" s="570"/>
      <c r="H18" s="570"/>
      <c r="L18" s="541">
        <f>V17/W17</f>
        <v>1.0359882618302811</v>
      </c>
      <c r="N18" s="531"/>
      <c r="O18" s="534"/>
      <c r="P18" s="560"/>
      <c r="Q18" s="570">
        <v>5</v>
      </c>
      <c r="S18" s="558"/>
      <c r="T18" s="570"/>
      <c r="U18" s="570"/>
      <c r="V18" s="980"/>
      <c r="W18" s="980"/>
      <c r="AD18" s="548"/>
      <c r="AP18" s="570"/>
      <c r="AQ18" s="570" t="s">
        <v>796</v>
      </c>
      <c r="AR18" s="548" t="str">
        <f>'Cars INVCOST'!$C$25</f>
        <v>Vehicle Cost AVG</v>
      </c>
      <c r="AS18" s="570" t="str">
        <f>'Cars INVCOST'!A85</f>
        <v>BEV DM-300</v>
      </c>
      <c r="AT18" s="570"/>
    </row>
    <row r="19" spans="1:46" s="512" customFormat="1" ht="17.399999999999999" customHeight="1">
      <c r="A19" s="513"/>
      <c r="C19" s="531"/>
      <c r="D19" s="531"/>
      <c r="E19" s="531"/>
      <c r="F19" s="573" t="s">
        <v>672</v>
      </c>
      <c r="G19" s="570"/>
      <c r="H19" s="570"/>
      <c r="I19" s="531"/>
      <c r="J19" s="531"/>
      <c r="L19" s="541">
        <f>V17/W17</f>
        <v>1.0359882618302811</v>
      </c>
      <c r="N19" s="534"/>
      <c r="O19" s="534"/>
      <c r="P19" s="560"/>
      <c r="Q19" s="570">
        <v>5</v>
      </c>
      <c r="S19" s="558"/>
      <c r="T19" s="570"/>
      <c r="U19" s="570"/>
      <c r="V19" s="980"/>
      <c r="W19" s="980"/>
      <c r="Z19" s="535"/>
      <c r="AD19" s="548"/>
      <c r="AF19" s="570"/>
      <c r="AG19" s="570"/>
      <c r="AH19" s="570"/>
      <c r="AP19" s="570"/>
      <c r="AQ19" s="570" t="s">
        <v>797</v>
      </c>
      <c r="AR19" s="548" t="str">
        <f>'Cars INVCOST'!$C$25</f>
        <v>Vehicle Cost AVG</v>
      </c>
      <c r="AS19" s="570" t="str">
        <f>'Cars INVCOST'!A91</f>
        <v>E85 Split HEV PHEV20</v>
      </c>
      <c r="AT19" s="570"/>
    </row>
    <row r="20" spans="1:46" s="512" customFormat="1" ht="17.399999999999999" customHeight="1">
      <c r="A20" s="513"/>
      <c r="C20" s="531"/>
      <c r="D20" s="531"/>
      <c r="E20" s="531"/>
      <c r="F20" s="555" t="s">
        <v>673</v>
      </c>
      <c r="G20" s="570"/>
      <c r="H20" s="573"/>
      <c r="I20" s="531"/>
      <c r="J20" s="531"/>
      <c r="L20" s="541">
        <f>V17/W17</f>
        <v>1.0359882618302811</v>
      </c>
      <c r="N20" s="573"/>
      <c r="O20" s="534"/>
      <c r="P20" s="560"/>
      <c r="Q20" s="570">
        <v>5</v>
      </c>
      <c r="S20" s="558"/>
      <c r="T20" s="570"/>
      <c r="U20" s="570"/>
      <c r="V20" s="980"/>
      <c r="W20" s="980"/>
      <c r="Y20" s="570"/>
      <c r="Z20" s="570"/>
      <c r="AA20" s="570"/>
      <c r="AB20" s="570"/>
      <c r="AC20" s="570"/>
      <c r="AP20" s="570"/>
      <c r="AQ20" s="570"/>
      <c r="AR20" s="570"/>
      <c r="AS20" s="570"/>
      <c r="AT20" s="570"/>
    </row>
    <row r="21" spans="1:46" s="570" customFormat="1" ht="17.399999999999999" customHeight="1">
      <c r="A21" s="571"/>
      <c r="C21" s="570" t="str">
        <f>LEFT(F21,4)&amp;RIGHT(E21,5)&amp;"N"</f>
        <v>TPCAGSBL3N</v>
      </c>
      <c r="D21" s="532" t="s">
        <v>609</v>
      </c>
      <c r="E21" s="531" t="s">
        <v>227</v>
      </c>
      <c r="F21" s="548" t="s">
        <v>670</v>
      </c>
      <c r="G21" s="573">
        <v>2020</v>
      </c>
      <c r="H21" s="573" t="s">
        <v>801</v>
      </c>
      <c r="I21" s="573">
        <v>2020</v>
      </c>
      <c r="J21" s="573">
        <f>G25-1</f>
        <v>2029</v>
      </c>
      <c r="L21" s="541">
        <f>V21/W21</f>
        <v>1.2263933611433107</v>
      </c>
      <c r="N21" s="531">
        <v>16</v>
      </c>
      <c r="O21" s="535">
        <f>('O&amp;M'!$I$23+'O&amp;M'!$I$22)*TRA_Cars!$Z$7</f>
        <v>7.5508398661474794E-4</v>
      </c>
      <c r="P21" s="557">
        <f t="array" ref="P21">INDEX('Cars INVCOST'!$D$24:$Q$146,MATCH(TRA_Cars!$AR$6&amp;TRA_Cars!$AS$6,'Cars INVCOST'!$C$24:$C$146&amp;'Cars INVCOST'!$A$24:$A$146,0),MATCH(TRA_Cars!G21&amp;$AT$6,'Cars INVCOST'!$D$22:$Q$22&amp;'Cars INVCOST'!$D$23:$Q$23,0))*$AB$7/1000</f>
        <v>105.79641640360681</v>
      </c>
      <c r="Q21" s="570">
        <v>5</v>
      </c>
      <c r="S21" s="558"/>
      <c r="T21" s="570">
        <v>18000</v>
      </c>
      <c r="V21" s="980">
        <f t="array" ref="V21">INDEX('Eff SF'!$D$11:$Q$28,MATCH(TRA_Cars!$AS$6&amp;TRA_Cars!$AV$6,'Eff SF'!$A$11:$A$28&amp;'Eff SF'!$C$11:$C$28,0),MATCH(TRA_Cars!G21&amp;TRA_Cars!$AT$6,'Eff SF'!$D$9:$Q$9&amp;'Eff SF'!$D$10:$Q$10,0))*$AC$13</f>
        <v>386.78514410589889</v>
      </c>
      <c r="W21" s="980">
        <f>W17</f>
        <v>315.384244860325</v>
      </c>
      <c r="Y21" s="512"/>
      <c r="Z21" s="512"/>
      <c r="AA21" s="512"/>
      <c r="AB21" s="512"/>
      <c r="AC21" s="512"/>
      <c r="AD21" s="548"/>
      <c r="AF21" s="512"/>
      <c r="AG21" s="548"/>
      <c r="AH21" s="512"/>
      <c r="AI21" s="512"/>
      <c r="AJ21" s="548"/>
    </row>
    <row r="22" spans="1:46" s="512" customFormat="1" ht="17.399999999999999" customHeight="1">
      <c r="A22" s="513"/>
      <c r="F22" s="548" t="s">
        <v>671</v>
      </c>
      <c r="G22" s="573"/>
      <c r="H22" s="573"/>
      <c r="I22" s="573"/>
      <c r="J22" s="573"/>
      <c r="L22" s="541">
        <f>V21/W21</f>
        <v>1.2263933611433107</v>
      </c>
      <c r="N22" s="531"/>
      <c r="O22" s="534"/>
      <c r="P22" s="560"/>
      <c r="Q22" s="570">
        <v>5</v>
      </c>
      <c r="S22" s="558"/>
      <c r="T22" s="570"/>
      <c r="U22" s="570"/>
      <c r="V22" s="980"/>
      <c r="W22" s="980"/>
      <c r="Y22" s="26"/>
      <c r="AG22" s="548"/>
      <c r="AJ22" s="548"/>
      <c r="AP22" s="570"/>
      <c r="AQ22" s="570"/>
      <c r="AR22" s="570"/>
      <c r="AS22" s="570"/>
      <c r="AT22" s="570"/>
    </row>
    <row r="23" spans="1:46" s="512" customFormat="1" ht="17.399999999999999" customHeight="1">
      <c r="A23" s="513"/>
      <c r="C23" s="531"/>
      <c r="D23" s="531"/>
      <c r="E23" s="531"/>
      <c r="F23" s="573" t="s">
        <v>672</v>
      </c>
      <c r="G23" s="573"/>
      <c r="H23" s="573"/>
      <c r="I23" s="573"/>
      <c r="J23" s="573"/>
      <c r="L23" s="541">
        <f>V21/W21</f>
        <v>1.2263933611433107</v>
      </c>
      <c r="N23" s="534"/>
      <c r="O23" s="534"/>
      <c r="P23" s="560"/>
      <c r="Q23" s="570">
        <v>5</v>
      </c>
      <c r="S23" s="558"/>
      <c r="T23" s="570"/>
      <c r="U23" s="570"/>
      <c r="V23" s="980"/>
      <c r="W23" s="980"/>
      <c r="Y23" s="26"/>
      <c r="AB23" s="548"/>
      <c r="AD23" s="872"/>
      <c r="AE23" s="872"/>
      <c r="AF23" s="570"/>
      <c r="AG23" s="548"/>
      <c r="AH23" s="570"/>
      <c r="AI23" s="570"/>
      <c r="AJ23" s="570"/>
      <c r="AP23" s="570"/>
      <c r="AQ23" s="1479" t="s">
        <v>871</v>
      </c>
      <c r="AR23" s="1480"/>
      <c r="AS23" s="1480"/>
      <c r="AT23" s="1481"/>
    </row>
    <row r="24" spans="1:46" s="512" customFormat="1" ht="17.399999999999999" customHeight="1">
      <c r="A24" s="513"/>
      <c r="C24" s="531"/>
      <c r="D24" s="531"/>
      <c r="E24" s="531"/>
      <c r="F24" s="555" t="s">
        <v>673</v>
      </c>
      <c r="G24" s="573"/>
      <c r="H24" s="570"/>
      <c r="I24" s="570"/>
      <c r="J24" s="570"/>
      <c r="L24" s="541">
        <f>V21/W21</f>
        <v>1.2263933611433107</v>
      </c>
      <c r="N24" s="573"/>
      <c r="O24" s="534"/>
      <c r="P24" s="560"/>
      <c r="Q24" s="570">
        <v>5</v>
      </c>
      <c r="S24" s="558"/>
      <c r="T24" s="570"/>
      <c r="U24" s="570"/>
      <c r="V24" s="980"/>
      <c r="W24" s="980"/>
      <c r="Y24" s="529"/>
      <c r="Z24" s="570"/>
      <c r="AA24" s="570"/>
      <c r="AB24" s="570"/>
      <c r="AC24" s="570"/>
      <c r="AD24" s="548"/>
      <c r="AJ24" s="548"/>
      <c r="AP24" s="570"/>
      <c r="AQ24" s="1482"/>
      <c r="AR24" s="1483"/>
      <c r="AS24" s="1483"/>
      <c r="AT24" s="1484"/>
    </row>
    <row r="25" spans="1:46" s="570" customFormat="1" ht="17.399999999999999" customHeight="1">
      <c r="A25" s="571"/>
      <c r="C25" s="570" t="str">
        <f>LEFT(F25,4)&amp;RIGHT(E25,5)&amp;"N"</f>
        <v>TPCAGSBL4N</v>
      </c>
      <c r="D25" s="553" t="s">
        <v>610</v>
      </c>
      <c r="E25" s="573" t="s">
        <v>228</v>
      </c>
      <c r="F25" s="548" t="s">
        <v>670</v>
      </c>
      <c r="G25" s="573">
        <v>2030</v>
      </c>
      <c r="H25" s="573" t="s">
        <v>801</v>
      </c>
      <c r="I25" s="573">
        <f>G25</f>
        <v>2030</v>
      </c>
      <c r="J25" s="573"/>
      <c r="L25" s="541">
        <f>V25/W25</f>
        <v>1.4085693409161937</v>
      </c>
      <c r="N25" s="531">
        <v>16</v>
      </c>
      <c r="O25" s="535">
        <f>('O&amp;M'!$I$23+'O&amp;M'!$I$22)*TRA_Cars!$Z$7</f>
        <v>7.5508398661474794E-4</v>
      </c>
      <c r="P25" s="557">
        <f t="array" ref="P25">INDEX('Cars INVCOST'!$D$24:$Q$146,MATCH(TRA_Cars!$AR$6&amp;TRA_Cars!$AS$6,'Cars INVCOST'!$C$24:$C$146&amp;'Cars INVCOST'!$A$24:$A$146,0),MATCH(TRA_Cars!G25&amp;$AT$6,'Cars INVCOST'!$D$22:$Q$22&amp;'Cars INVCOST'!$D$23:$Q$23,0))*$AB$7/1000</f>
        <v>107.01560995368764</v>
      </c>
      <c r="Q25" s="570">
        <v>5</v>
      </c>
      <c r="S25" s="558"/>
      <c r="T25" s="570">
        <v>18000</v>
      </c>
      <c r="V25" s="980">
        <f t="array" ref="V25">INDEX('Eff SF'!$D$11:$Q$28,MATCH(TRA_Cars!$AS$6&amp;TRA_Cars!$AV$6,'Eff SF'!$A$11:$A$28&amp;'Eff SF'!$C$11:$C$28,0),MATCH(TRA_Cars!G25&amp;TRA_Cars!$AT$6,'Eff SF'!$D$9:$Q$9&amp;'Eff SF'!$D$10:$Q$10,0))*$AC$13</f>
        <v>444.24057791825942</v>
      </c>
      <c r="W25" s="980">
        <f>W17</f>
        <v>315.384244860325</v>
      </c>
      <c r="Y25" s="26">
        <f>AC13</f>
        <v>12.941969771689497</v>
      </c>
      <c r="Z25" s="512"/>
      <c r="AA25" s="512"/>
      <c r="AB25" s="548"/>
      <c r="AC25" s="512"/>
      <c r="AD25" s="548"/>
      <c r="AF25" s="512"/>
      <c r="AG25" s="872"/>
      <c r="AH25" s="512"/>
      <c r="AI25" s="512"/>
      <c r="AJ25" s="548"/>
      <c r="AQ25" s="960"/>
      <c r="AR25" s="547" t="s">
        <v>868</v>
      </c>
      <c r="AS25" s="547" t="s">
        <v>869</v>
      </c>
      <c r="AT25" s="961" t="s">
        <v>870</v>
      </c>
    </row>
    <row r="26" spans="1:46" s="512" customFormat="1" ht="17.399999999999999" customHeight="1">
      <c r="A26" s="513"/>
      <c r="C26" s="573"/>
      <c r="D26" s="553"/>
      <c r="E26" s="573"/>
      <c r="F26" s="548" t="s">
        <v>671</v>
      </c>
      <c r="G26" s="570"/>
      <c r="J26" s="531"/>
      <c r="L26" s="541">
        <f>V25/W25</f>
        <v>1.4085693409161937</v>
      </c>
      <c r="O26" s="535"/>
      <c r="P26" s="557"/>
      <c r="Q26" s="570">
        <v>5</v>
      </c>
      <c r="S26" s="558"/>
      <c r="T26" s="570"/>
      <c r="U26" s="570"/>
      <c r="V26" s="980"/>
      <c r="W26" s="980"/>
      <c r="Y26" s="26">
        <f>Y25*'Eff SF'!M13</f>
        <v>444.24057791825942</v>
      </c>
      <c r="AP26" s="570"/>
      <c r="AQ26" s="962" t="s">
        <v>670</v>
      </c>
      <c r="AR26" s="963">
        <v>0.61</v>
      </c>
      <c r="AS26" s="964">
        <v>6.288371580065058E-2</v>
      </c>
      <c r="AT26" s="965">
        <v>3.8359066638396853E-2</v>
      </c>
    </row>
    <row r="27" spans="1:46" s="512" customFormat="1" ht="17.399999999999999" customHeight="1">
      <c r="A27" s="513"/>
      <c r="C27" s="573"/>
      <c r="D27" s="553"/>
      <c r="E27" s="573"/>
      <c r="F27" s="573" t="s">
        <v>672</v>
      </c>
      <c r="G27" s="570"/>
      <c r="H27" s="530"/>
      <c r="I27" s="530"/>
      <c r="J27" s="530"/>
      <c r="L27" s="541">
        <f>V25/W25</f>
        <v>1.4085693409161937</v>
      </c>
      <c r="N27" s="530"/>
      <c r="O27" s="535"/>
      <c r="P27" s="557"/>
      <c r="Q27" s="570">
        <v>5</v>
      </c>
      <c r="S27" s="558"/>
      <c r="T27" s="570"/>
      <c r="U27" s="570"/>
      <c r="V27" s="980"/>
      <c r="W27" s="980"/>
      <c r="Y27" s="26"/>
      <c r="AB27" s="548"/>
      <c r="AD27" s="548"/>
      <c r="AP27" s="570"/>
      <c r="AQ27" s="970" t="s">
        <v>671</v>
      </c>
      <c r="AR27" s="966">
        <v>0.77200000000000002</v>
      </c>
      <c r="AS27" s="560">
        <v>0.30173074841238057</v>
      </c>
      <c r="AT27" s="580">
        <v>0.23293613777435782</v>
      </c>
    </row>
    <row r="28" spans="1:46" s="512" customFormat="1" ht="17.399999999999999" customHeight="1" thickBot="1">
      <c r="A28" s="513"/>
      <c r="C28" s="536"/>
      <c r="D28" s="536"/>
      <c r="E28" s="536"/>
      <c r="F28" s="536" t="s">
        <v>673</v>
      </c>
      <c r="G28" s="536"/>
      <c r="H28" s="536"/>
      <c r="I28" s="536"/>
      <c r="J28" s="536"/>
      <c r="K28" s="536"/>
      <c r="L28" s="925">
        <f>V25/W25</f>
        <v>1.4085693409161937</v>
      </c>
      <c r="M28" s="536"/>
      <c r="N28" s="536"/>
      <c r="O28" s="537"/>
      <c r="P28" s="576"/>
      <c r="Q28" s="536">
        <v>5</v>
      </c>
      <c r="R28" s="537"/>
      <c r="S28" s="1301"/>
      <c r="T28" s="536"/>
      <c r="U28" s="573"/>
      <c r="V28" s="981"/>
      <c r="W28" s="981"/>
      <c r="Y28" s="529"/>
      <c r="Z28" s="570"/>
      <c r="AA28" s="570"/>
      <c r="AB28" s="570"/>
      <c r="AC28" s="570"/>
      <c r="AP28" s="570"/>
      <c r="AQ28" s="970" t="s">
        <v>672</v>
      </c>
      <c r="AR28" s="966">
        <v>1</v>
      </c>
      <c r="AS28" s="560">
        <v>0.21792964753957203</v>
      </c>
      <c r="AT28" s="580">
        <v>0.21792964753957203</v>
      </c>
    </row>
    <row r="29" spans="1:46" s="570" customFormat="1" ht="17.399999999999999" customHeight="1">
      <c r="A29" s="571"/>
      <c r="C29" s="548" t="str">
        <f>LEFT(F29,4)&amp;RIGHT(E29,5)&amp;"N"</f>
        <v>TPCANGBL2N</v>
      </c>
      <c r="D29" s="553" t="s">
        <v>611</v>
      </c>
      <c r="E29" s="556" t="s">
        <v>548</v>
      </c>
      <c r="F29" s="548" t="s">
        <v>670</v>
      </c>
      <c r="G29" s="570">
        <v>2015</v>
      </c>
      <c r="H29" s="570" t="s">
        <v>801</v>
      </c>
      <c r="I29" s="530">
        <v>2012</v>
      </c>
      <c r="J29" s="530">
        <v>2019</v>
      </c>
      <c r="L29" s="557">
        <f>V29/W29</f>
        <v>1.0359882618302816</v>
      </c>
      <c r="M29" s="573"/>
      <c r="N29" s="531">
        <v>16</v>
      </c>
      <c r="O29" s="535">
        <f>('O&amp;M'!$I$23+'O&amp;M'!$I$22)*TRA_Cars!$Z$7</f>
        <v>7.5508398661474794E-4</v>
      </c>
      <c r="P29" s="557">
        <f t="array" ref="P29">INDEX('Cars INVCOST'!$D$24:$Q$146,MATCH(TRA_Cars!$AR$7&amp;TRA_Cars!$AS$7,'Cars INVCOST'!$C$24:$C$146&amp;'Cars INVCOST'!$A$24:$A$146,0),MATCH(TRA_Cars!G29&amp;$AT$7,'Cars INVCOST'!$D$22:$Q$22&amp;'Cars INVCOST'!$D$23:$Q$23,0))*$AB$7/1000</f>
        <v>116.46077321697675</v>
      </c>
      <c r="Q29" s="570">
        <v>5</v>
      </c>
      <c r="S29" s="558"/>
      <c r="T29" s="570">
        <v>18000</v>
      </c>
      <c r="V29" s="980">
        <f t="array" ref="V29">INDEX('Eff SF'!$D$11:$Q$28,MATCH(TRA_Cars!$AS$7&amp;TRA_Cars!$AV$7,'Eff SF'!$A$11:$A$28&amp;'Eff SF'!$C$11:$C$28,0),MATCH(TRA_Cars!G29&amp;TRA_Cars!$AT$7,'Eff SF'!$D$9:$Q$9&amp;'Eff SF'!$D$10:$Q$10,0))*$AC$13</f>
        <v>318.12754737648919</v>
      </c>
      <c r="W29" s="1321">
        <f t="array" ref="W29">INDEX('Eff SF'!$D$11:$Q$28,MATCH(TRA_Cars!$AS$7&amp;TRA_Cars!$AV$7,'Eff SF'!$A$11:$A$28&amp;'Eff SF'!$C$11:$C$28,0),MATCH(TRA_Cars!X29&amp;TRA_Cars!$AT$7,'Eff SF'!$D$9:$Q$9&amp;'Eff SF'!$D$10:$Q$10,0))*$AC$13</f>
        <v>307.07640143958088</v>
      </c>
      <c r="X29" s="1322">
        <v>2010</v>
      </c>
      <c r="Y29" s="26"/>
      <c r="Z29" s="512"/>
      <c r="AA29" s="512"/>
      <c r="AB29" s="548"/>
      <c r="AC29" s="512"/>
      <c r="AD29" s="548"/>
      <c r="AQ29" s="971" t="s">
        <v>673</v>
      </c>
      <c r="AR29" s="967">
        <v>1.2235428039883645</v>
      </c>
      <c r="AS29" s="968">
        <v>0.41745588824739688</v>
      </c>
      <c r="AT29" s="969">
        <v>0.51077514804767332</v>
      </c>
    </row>
    <row r="30" spans="1:46" s="512" customFormat="1" ht="17.399999999999999" customHeight="1">
      <c r="A30" s="513"/>
      <c r="C30" s="553"/>
      <c r="D30" s="553"/>
      <c r="E30" s="573"/>
      <c r="F30" s="548" t="s">
        <v>671</v>
      </c>
      <c r="G30" s="570"/>
      <c r="H30" s="570"/>
      <c r="L30" s="557">
        <f>V29/W29</f>
        <v>1.0359882618302816</v>
      </c>
      <c r="N30" s="530"/>
      <c r="O30" s="535"/>
      <c r="P30" s="557"/>
      <c r="Q30" s="570">
        <v>5</v>
      </c>
      <c r="S30" s="558"/>
      <c r="T30" s="570"/>
      <c r="U30" s="570"/>
      <c r="V30" s="980"/>
      <c r="W30" s="980"/>
      <c r="Y30" s="26"/>
    </row>
    <row r="31" spans="1:46" s="512" customFormat="1" ht="17.399999999999999" customHeight="1">
      <c r="A31" s="513"/>
      <c r="C31" s="553"/>
      <c r="D31" s="553"/>
      <c r="E31" s="573"/>
      <c r="F31" s="573" t="s">
        <v>672</v>
      </c>
      <c r="G31" s="570"/>
      <c r="H31" s="570"/>
      <c r="I31" s="530"/>
      <c r="J31" s="530"/>
      <c r="L31" s="557">
        <f>V29/W29</f>
        <v>1.0359882618302816</v>
      </c>
      <c r="N31" s="534"/>
      <c r="O31" s="534"/>
      <c r="P31" s="560"/>
      <c r="Q31" s="570">
        <v>5</v>
      </c>
      <c r="S31" s="558"/>
      <c r="T31" s="570"/>
      <c r="U31" s="570"/>
      <c r="V31" s="980"/>
      <c r="W31" s="980"/>
      <c r="Y31" s="527"/>
      <c r="Z31" s="535"/>
      <c r="AA31" s="527"/>
      <c r="AB31" s="527"/>
      <c r="AC31" s="527"/>
    </row>
    <row r="32" spans="1:46" s="527" customFormat="1" ht="17.399999999999999" customHeight="1">
      <c r="A32" s="528"/>
      <c r="C32" s="491"/>
      <c r="D32" s="553"/>
      <c r="E32" s="573"/>
      <c r="F32" s="555" t="s">
        <v>673</v>
      </c>
      <c r="G32" s="570"/>
      <c r="H32" s="573"/>
      <c r="I32" s="531"/>
      <c r="J32" s="531"/>
      <c r="L32" s="557">
        <f>V29/W29</f>
        <v>1.0359882618302816</v>
      </c>
      <c r="N32" s="573"/>
      <c r="O32" s="534"/>
      <c r="P32" s="560"/>
      <c r="Q32" s="570">
        <v>5</v>
      </c>
      <c r="S32" s="558"/>
      <c r="T32" s="570"/>
      <c r="U32" s="570"/>
      <c r="V32" s="980"/>
      <c r="W32" s="980"/>
      <c r="X32" s="531"/>
      <c r="Y32" s="570"/>
      <c r="AA32" s="682"/>
      <c r="AB32" s="570"/>
      <c r="AC32" s="570"/>
    </row>
    <row r="33" spans="1:47" s="570" customFormat="1" ht="17.399999999999999" customHeight="1">
      <c r="A33" s="571"/>
      <c r="C33" s="548" t="str">
        <f>LEFT(F33,4)&amp;RIGHT(E33,5)&amp;"N"</f>
        <v>TPCANGBL3N</v>
      </c>
      <c r="D33" s="553" t="s">
        <v>612</v>
      </c>
      <c r="E33" s="556" t="s">
        <v>549</v>
      </c>
      <c r="F33" s="548" t="s">
        <v>670</v>
      </c>
      <c r="G33" s="573">
        <v>2020</v>
      </c>
      <c r="H33" s="573" t="s">
        <v>801</v>
      </c>
      <c r="I33" s="573">
        <v>2020</v>
      </c>
      <c r="J33" s="573">
        <f>G37-1</f>
        <v>2029</v>
      </c>
      <c r="L33" s="541">
        <f>V33/W33</f>
        <v>1.2263933611433109</v>
      </c>
      <c r="N33" s="531">
        <v>16</v>
      </c>
      <c r="O33" s="535">
        <f>('O&amp;M'!$I$23+'O&amp;M'!$I$22)*TRA_Cars!$Z$7</f>
        <v>7.5508398661474794E-4</v>
      </c>
      <c r="P33" s="557">
        <f t="array" ref="P33">INDEX('Cars INVCOST'!$D$24:$Q$146,MATCH(TRA_Cars!$AR$7&amp;TRA_Cars!$AS$7,'Cars INVCOST'!$C$24:$C$146&amp;'Cars INVCOST'!$A$24:$A$146,0),MATCH(TRA_Cars!G33&amp;$AT$7,'Cars INVCOST'!$D$22:$Q$22&amp;'Cars INVCOST'!$D$23:$Q$23,0))*$AB$7/1000</f>
        <v>124.54710727535861</v>
      </c>
      <c r="Q33" s="570">
        <v>5</v>
      </c>
      <c r="S33" s="558"/>
      <c r="T33" s="570">
        <v>18000</v>
      </c>
      <c r="V33" s="980">
        <f t="array" ref="V33">INDEX('Eff SF'!$D$11:$Q$28,MATCH(TRA_Cars!$AS$7&amp;TRA_Cars!$AV$7,'Eff SF'!$A$11:$A$28&amp;'Eff SF'!$C$11:$C$28,0),MATCH(TRA_Cars!G33&amp;TRA_Cars!$AT$7,'Eff SF'!$D$9:$Q$9&amp;'Eff SF'!$D$10:$Q$10,0))*$AC$13</f>
        <v>376.59646008928024</v>
      </c>
      <c r="W33" s="980">
        <f>W29</f>
        <v>307.07640143958088</v>
      </c>
      <c r="X33" s="573"/>
      <c r="Y33" s="527"/>
      <c r="AA33" s="527"/>
      <c r="AB33" s="527"/>
      <c r="AC33" s="527"/>
    </row>
    <row r="34" spans="1:47" s="527" customFormat="1" ht="17.399999999999999" customHeight="1">
      <c r="A34" s="528"/>
      <c r="C34" s="553"/>
      <c r="D34" s="573"/>
      <c r="E34" s="573"/>
      <c r="F34" s="548" t="s">
        <v>671</v>
      </c>
      <c r="G34" s="573"/>
      <c r="H34" s="573"/>
      <c r="I34" s="573"/>
      <c r="J34" s="573"/>
      <c r="L34" s="541">
        <f>V33/W33</f>
        <v>1.2263933611433109</v>
      </c>
      <c r="N34" s="531"/>
      <c r="O34" s="534"/>
      <c r="P34" s="560"/>
      <c r="Q34" s="570">
        <v>5</v>
      </c>
      <c r="S34" s="558"/>
      <c r="T34" s="570"/>
      <c r="U34" s="570"/>
      <c r="V34" s="980"/>
      <c r="W34" s="980"/>
      <c r="X34" s="531"/>
    </row>
    <row r="35" spans="1:47" s="527" customFormat="1" ht="17.399999999999999" customHeight="1">
      <c r="A35" s="528"/>
      <c r="C35" s="491"/>
      <c r="D35" s="573"/>
      <c r="E35" s="573"/>
      <c r="F35" s="573" t="s">
        <v>672</v>
      </c>
      <c r="G35" s="573"/>
      <c r="H35" s="573"/>
      <c r="I35" s="573"/>
      <c r="J35" s="573"/>
      <c r="L35" s="541">
        <f>V33/W33</f>
        <v>1.2263933611433109</v>
      </c>
      <c r="N35" s="531"/>
      <c r="O35" s="534"/>
      <c r="P35" s="560"/>
      <c r="Q35" s="570">
        <v>5</v>
      </c>
      <c r="S35" s="558"/>
      <c r="T35" s="570"/>
      <c r="U35" s="570"/>
      <c r="V35" s="980"/>
      <c r="W35" s="980"/>
      <c r="X35" s="531"/>
      <c r="Y35" s="512"/>
      <c r="AA35" s="512"/>
      <c r="AB35" s="512"/>
      <c r="AC35" s="512"/>
    </row>
    <row r="36" spans="1:47" s="512" customFormat="1" ht="17.399999999999999" customHeight="1">
      <c r="A36" s="513"/>
      <c r="C36" s="491"/>
      <c r="D36" s="573"/>
      <c r="E36" s="573"/>
      <c r="F36" s="555" t="s">
        <v>673</v>
      </c>
      <c r="G36" s="573"/>
      <c r="H36" s="570"/>
      <c r="I36" s="570"/>
      <c r="J36" s="570"/>
      <c r="L36" s="541">
        <f>V33/W33</f>
        <v>1.2263933611433109</v>
      </c>
      <c r="N36" s="573"/>
      <c r="O36" s="534"/>
      <c r="P36" s="560"/>
      <c r="Q36" s="570">
        <v>5</v>
      </c>
      <c r="S36" s="558"/>
      <c r="T36" s="570"/>
      <c r="U36" s="570"/>
      <c r="V36" s="980"/>
      <c r="W36" s="980"/>
      <c r="X36" s="531"/>
      <c r="Y36" s="570"/>
      <c r="AA36" s="570"/>
      <c r="AB36" s="570"/>
      <c r="AC36" s="570"/>
    </row>
    <row r="37" spans="1:47" s="570" customFormat="1" ht="17.399999999999999" customHeight="1">
      <c r="A37" s="571"/>
      <c r="C37" s="548" t="str">
        <f>LEFT(F37,4)&amp;RIGHT(E37,5)&amp;"N"</f>
        <v>TPCANGBL4N</v>
      </c>
      <c r="D37" s="553" t="s">
        <v>613</v>
      </c>
      <c r="E37" s="556" t="s">
        <v>550</v>
      </c>
      <c r="F37" s="548" t="s">
        <v>670</v>
      </c>
      <c r="G37" s="573">
        <v>2030</v>
      </c>
      <c r="H37" s="573" t="s">
        <v>801</v>
      </c>
      <c r="I37" s="573">
        <f>G37</f>
        <v>2030</v>
      </c>
      <c r="J37" s="573"/>
      <c r="L37" s="541">
        <f>V37/W37</f>
        <v>1.4466776861903092</v>
      </c>
      <c r="N37" s="531">
        <v>16</v>
      </c>
      <c r="O37" s="535">
        <f>('O&amp;M'!$I$23+'O&amp;M'!$I$22)*TRA_Cars!$Z$7</f>
        <v>7.5508398661474794E-4</v>
      </c>
      <c r="P37" s="557">
        <f t="array" ref="P37">INDEX('Cars INVCOST'!$D$24:$Q$146,MATCH(TRA_Cars!$AR$7&amp;TRA_Cars!$AS$7,'Cars INVCOST'!$C$24:$C$146&amp;'Cars INVCOST'!$A$24:$A$146,0),MATCH(TRA_Cars!G37&amp;$AT$7,'Cars INVCOST'!$D$22:$Q$22&amp;'Cars INVCOST'!$D$23:$Q$23,0))*$AB$7/1000</f>
        <v>125.98238301562618</v>
      </c>
      <c r="Q37" s="570">
        <v>5</v>
      </c>
      <c r="S37" s="558"/>
      <c r="T37" s="570">
        <v>18000</v>
      </c>
      <c r="V37" s="1217">
        <f t="array" ref="V37">INDEX('Eff SF'!$D$11:$Q$28,MATCH(TRA_Cars!$AS$6&amp;TRA_Cars!$AV$6,'Eff SF'!$A$11:$A$28&amp;'Eff SF'!$C$11:$C$28,0),MATCH(TRA_Cars!G37&amp;TRA_Cars!$AT$6,'Eff SF'!$D$9:$Q$9&amp;'Eff SF'!$D$10:$Q$10,0))*$AC$13</f>
        <v>444.24057791825942</v>
      </c>
      <c r="W37" s="980">
        <f>W33</f>
        <v>307.07640143958088</v>
      </c>
      <c r="X37" s="573"/>
      <c r="Y37"/>
      <c r="AA37"/>
      <c r="AB37"/>
      <c r="AC37"/>
    </row>
    <row r="38" spans="1:47" s="512" customFormat="1" ht="17.399999999999999" customHeight="1">
      <c r="A38" s="513"/>
      <c r="C38" s="553"/>
      <c r="D38" s="573"/>
      <c r="E38" s="573"/>
      <c r="F38" s="548" t="s">
        <v>671</v>
      </c>
      <c r="G38" s="570"/>
      <c r="K38" s="557"/>
      <c r="L38" s="541">
        <f>V37/W37</f>
        <v>1.4466776861903092</v>
      </c>
      <c r="O38" s="535"/>
      <c r="P38" s="557"/>
      <c r="Q38" s="570">
        <v>5</v>
      </c>
      <c r="S38" s="558"/>
      <c r="T38" s="570"/>
      <c r="U38" s="570"/>
      <c r="V38" s="982"/>
      <c r="W38" s="982"/>
      <c r="X38" s="531"/>
      <c r="Y38"/>
      <c r="AA38"/>
      <c r="AB38"/>
      <c r="AC38"/>
      <c r="AD38"/>
      <c r="AE38"/>
      <c r="AF38"/>
      <c r="AG38"/>
      <c r="AH38"/>
      <c r="AI38"/>
      <c r="AJ38"/>
      <c r="AK38"/>
      <c r="AL38"/>
      <c r="AM38"/>
      <c r="AN38"/>
      <c r="AO38"/>
      <c r="AP38"/>
      <c r="AQ38"/>
      <c r="AR38"/>
      <c r="AS38"/>
      <c r="AT38"/>
      <c r="AU38"/>
    </row>
    <row r="39" spans="1:47" s="512" customFormat="1" ht="17.399999999999999" customHeight="1">
      <c r="A39" s="513"/>
      <c r="C39" s="491"/>
      <c r="D39" s="573"/>
      <c r="E39" s="573"/>
      <c r="F39" s="573" t="s">
        <v>672</v>
      </c>
      <c r="G39" s="570"/>
      <c r="H39" s="531"/>
      <c r="I39" s="531"/>
      <c r="J39" s="531"/>
      <c r="K39" s="557"/>
      <c r="L39" s="541">
        <f>V37/W37</f>
        <v>1.4466776861903092</v>
      </c>
      <c r="N39" s="531"/>
      <c r="O39" s="534"/>
      <c r="P39" s="560"/>
      <c r="Q39" s="570">
        <v>5</v>
      </c>
      <c r="S39" s="558"/>
      <c r="T39" s="570"/>
      <c r="U39" s="570"/>
      <c r="V39" s="982"/>
      <c r="W39" s="982"/>
      <c r="X39" s="531"/>
      <c r="Y39"/>
      <c r="AA39"/>
      <c r="AB39"/>
      <c r="AC39"/>
      <c r="AD39"/>
      <c r="AE39"/>
      <c r="AF39"/>
      <c r="AG39"/>
      <c r="AH39"/>
      <c r="AI39"/>
      <c r="AJ39"/>
      <c r="AK39"/>
      <c r="AL39"/>
      <c r="AM39"/>
      <c r="AN39"/>
      <c r="AO39"/>
      <c r="AP39"/>
      <c r="AQ39"/>
      <c r="AR39"/>
      <c r="AS39"/>
      <c r="AT39"/>
      <c r="AU39"/>
    </row>
    <row r="40" spans="1:47" s="512" customFormat="1" ht="17.399999999999999" customHeight="1" thickBot="1">
      <c r="A40" s="513"/>
      <c r="C40" s="976"/>
      <c r="D40" s="536"/>
      <c r="E40" s="536"/>
      <c r="F40" s="536" t="s">
        <v>673</v>
      </c>
      <c r="G40" s="536"/>
      <c r="H40" s="536"/>
      <c r="I40" s="536"/>
      <c r="J40" s="536"/>
      <c r="K40" s="576"/>
      <c r="L40" s="925">
        <f>V37/W37</f>
        <v>1.4466776861903092</v>
      </c>
      <c r="M40" s="536"/>
      <c r="N40" s="536"/>
      <c r="O40" s="537"/>
      <c r="P40" s="576"/>
      <c r="Q40" s="536">
        <v>5</v>
      </c>
      <c r="R40" s="537"/>
      <c r="S40" s="1301"/>
      <c r="T40" s="536"/>
      <c r="U40" s="573"/>
      <c r="V40" s="984"/>
      <c r="W40" s="984"/>
      <c r="Y40" s="570"/>
      <c r="AA40" s="570"/>
      <c r="AB40" s="570"/>
      <c r="AC40" s="570"/>
      <c r="AD40"/>
      <c r="AE40"/>
      <c r="AF40"/>
      <c r="AG40"/>
      <c r="AH40"/>
      <c r="AI40"/>
      <c r="AJ40"/>
      <c r="AK40"/>
      <c r="AL40"/>
      <c r="AM40"/>
      <c r="AN40"/>
      <c r="AO40"/>
      <c r="AP40"/>
      <c r="AQ40"/>
      <c r="AR40"/>
      <c r="AS40"/>
      <c r="AT40"/>
      <c r="AU40"/>
    </row>
    <row r="41" spans="1:47" s="570" customFormat="1" ht="17.399999999999999" customHeight="1">
      <c r="A41" s="571"/>
      <c r="C41" s="570" t="str">
        <f>LEFT(F41,4)&amp;MID(E41,4,3)&amp;"X1N"</f>
        <v>TPCAELCX1N</v>
      </c>
      <c r="D41" s="553" t="s">
        <v>529</v>
      </c>
      <c r="E41" s="556" t="s">
        <v>876</v>
      </c>
      <c r="F41" s="548" t="s">
        <v>670</v>
      </c>
      <c r="G41" s="570">
        <v>2018</v>
      </c>
      <c r="H41" s="570" t="s">
        <v>801</v>
      </c>
      <c r="I41" s="570">
        <v>2018</v>
      </c>
      <c r="L41" s="541">
        <f>V41/W41</f>
        <v>1.1473668628209053</v>
      </c>
      <c r="M41" s="573"/>
      <c r="N41" s="573">
        <v>16</v>
      </c>
      <c r="O41" s="47">
        <f>('O&amp;M'!$I$98+'O&amp;M'!$I$99)*TRA_Cars!$Z$7</f>
        <v>5.4917850211616895E-4</v>
      </c>
      <c r="P41" s="557">
        <f t="array" ref="P41">INDEX('Cars INVCOST'!$D$24:$Q$146,MATCH(TRA_Cars!$AR$8&amp;TRA_Cars!$AS$8,'Cars INVCOST'!$C$24:$C$146&amp;'Cars INVCOST'!$A$24:$A$146,0),MATCH(TRA_Cars!X41&amp;$AT$8,'Cars INVCOST'!$D$22:$Q$22&amp;'Cars INVCOST'!$D$23:$Q$23,0))*$AB$7/1000</f>
        <v>217.60462828478947</v>
      </c>
      <c r="Q41" s="570">
        <v>5</v>
      </c>
      <c r="S41" s="558"/>
      <c r="T41" s="570">
        <v>18000</v>
      </c>
      <c r="V41" s="980">
        <f t="array" ref="V41">$AC$14/INDEX('Eff BEV'!$F$15:$U$26,,MATCH(TRA_Cars!X41&amp;TRA_Cars!$AT$10,'Eff BEV'!$F$13:$U$13&amp;'Eff BEV'!$F$14:$U$14,0))</f>
        <v>1642.731341128916</v>
      </c>
      <c r="W41" s="980">
        <v>1431.7402692719506</v>
      </c>
      <c r="X41" s="570">
        <v>2015</v>
      </c>
      <c r="Y41"/>
      <c r="AA41"/>
    </row>
    <row r="42" spans="1:47">
      <c r="C42" s="573"/>
      <c r="D42" s="553"/>
      <c r="E42" s="556"/>
      <c r="F42" s="548" t="s">
        <v>671</v>
      </c>
      <c r="G42" s="570"/>
      <c r="H42" s="570"/>
      <c r="I42" s="570"/>
      <c r="J42" s="570"/>
      <c r="L42" s="541">
        <f>V41/W41</f>
        <v>1.1473668628209053</v>
      </c>
      <c r="M42" s="506"/>
      <c r="N42" s="570"/>
      <c r="O42" s="535"/>
      <c r="P42" s="557"/>
      <c r="Q42" s="570">
        <v>5</v>
      </c>
      <c r="V42" s="982"/>
      <c r="W42" s="982"/>
      <c r="X42" s="570"/>
      <c r="AB42" s="570"/>
      <c r="AC42" s="570"/>
      <c r="AD42" s="570"/>
      <c r="AE42" s="570"/>
      <c r="AF42" s="570"/>
      <c r="AG42" s="570"/>
      <c r="AH42" s="570"/>
    </row>
    <row r="43" spans="1:47">
      <c r="C43" s="573"/>
      <c r="D43" s="553"/>
      <c r="E43" s="556"/>
      <c r="F43" s="573" t="s">
        <v>672</v>
      </c>
      <c r="G43" s="570"/>
      <c r="H43" s="570"/>
      <c r="I43" s="570"/>
      <c r="J43" s="570"/>
      <c r="L43" s="541">
        <f>V41/W41</f>
        <v>1.1473668628209053</v>
      </c>
      <c r="M43" s="506"/>
      <c r="N43" s="534"/>
      <c r="O43" s="534"/>
      <c r="P43" s="560"/>
      <c r="Q43" s="570">
        <v>5</v>
      </c>
      <c r="V43" s="982"/>
      <c r="W43" s="982"/>
      <c r="Z43" s="535"/>
      <c r="AB43" s="570"/>
      <c r="AC43" s="570"/>
      <c r="AD43" s="570"/>
      <c r="AE43" s="570"/>
      <c r="AF43" s="570"/>
      <c r="AG43" s="570"/>
      <c r="AH43" s="570"/>
    </row>
    <row r="44" spans="1:47">
      <c r="C44" s="573"/>
      <c r="D44" s="553"/>
      <c r="E44" s="556"/>
      <c r="F44" s="555" t="s">
        <v>673</v>
      </c>
      <c r="G44" s="570"/>
      <c r="H44" s="573"/>
      <c r="I44" s="573"/>
      <c r="J44" s="573"/>
      <c r="L44" s="541">
        <f>V41/W41</f>
        <v>1.1473668628209053</v>
      </c>
      <c r="M44" s="506"/>
      <c r="N44" s="573"/>
      <c r="O44" s="535"/>
      <c r="P44" s="560"/>
      <c r="Q44" s="570">
        <v>5</v>
      </c>
      <c r="V44" s="982"/>
      <c r="W44" s="982"/>
      <c r="Y44" s="570"/>
      <c r="Z44" s="570"/>
      <c r="AA44" s="570"/>
      <c r="AB44" s="570"/>
      <c r="AC44" s="570"/>
      <c r="AD44" s="570"/>
      <c r="AE44" s="570"/>
      <c r="AF44" s="570"/>
      <c r="AG44" s="570"/>
      <c r="AH44" s="570"/>
    </row>
    <row r="45" spans="1:47" s="570" customFormat="1">
      <c r="A45" s="571"/>
      <c r="C45" s="573"/>
      <c r="D45" s="553"/>
      <c r="E45" s="556"/>
      <c r="F45" s="548" t="s">
        <v>670</v>
      </c>
      <c r="G45" s="573">
        <v>2020</v>
      </c>
      <c r="H45" s="573" t="s">
        <v>801</v>
      </c>
      <c r="I45" s="573"/>
      <c r="J45" s="573"/>
      <c r="L45" s="541">
        <f>V45/W45</f>
        <v>1.2288378252695125</v>
      </c>
      <c r="M45" s="506"/>
      <c r="N45" s="573">
        <v>16</v>
      </c>
      <c r="O45" s="534">
        <f>('O&amp;M'!$I$98+'O&amp;M'!$I$99)*TRA_Cars!$Z$7</f>
        <v>5.4917850211616895E-4</v>
      </c>
      <c r="P45" s="557">
        <f t="array" ref="P45">INDEX('Cars INVCOST'!$D$24:$Q$146,MATCH(TRA_Cars!$AR$8&amp;TRA_Cars!$AS$8,'Cars INVCOST'!$C$24:$C$146&amp;'Cars INVCOST'!$A$24:$A$146,0),MATCH(TRA_Cars!G45&amp;$AT$8,'Cars INVCOST'!$D$22:$Q$22&amp;'Cars INVCOST'!$D$23:$Q$23,0))*$AB$7/1000</f>
        <v>161.38405232689217</v>
      </c>
      <c r="Q45" s="570">
        <v>5</v>
      </c>
      <c r="S45" s="558"/>
      <c r="T45" s="570">
        <v>18000</v>
      </c>
      <c r="V45" s="980">
        <f t="array" ref="V45">$AC$14/INDEX('Eff BEV'!$F$15:$U$26,,MATCH(TRA_Cars!G57&amp;TRA_Cars!$AT$10,'Eff BEV'!$F$13:$U$13&amp;'Eff BEV'!$F$14:$U$14,0))</f>
        <v>1759.37659884293</v>
      </c>
      <c r="W45" s="980">
        <v>1431.7402692719506</v>
      </c>
      <c r="Y45"/>
      <c r="Z45"/>
      <c r="AA45"/>
    </row>
    <row r="46" spans="1:47">
      <c r="C46" s="573"/>
      <c r="D46" s="553"/>
      <c r="E46" s="556"/>
      <c r="F46" s="548" t="s">
        <v>671</v>
      </c>
      <c r="G46" s="573"/>
      <c r="H46" s="573"/>
      <c r="I46" s="573"/>
      <c r="J46" s="573"/>
      <c r="L46" s="541">
        <f>V45/W45</f>
        <v>1.2288378252695125</v>
      </c>
      <c r="M46" s="506"/>
      <c r="N46" s="573"/>
      <c r="O46" s="534"/>
      <c r="P46" s="560"/>
      <c r="Q46" s="570">
        <v>5</v>
      </c>
      <c r="V46" s="982"/>
      <c r="W46" s="982"/>
      <c r="X46" s="557"/>
      <c r="AB46" s="570"/>
      <c r="AC46" s="570"/>
      <c r="AD46" s="570"/>
      <c r="AE46" s="570"/>
      <c r="AF46" s="570"/>
      <c r="AG46" s="570"/>
      <c r="AH46" s="570"/>
    </row>
    <row r="47" spans="1:47">
      <c r="C47" s="573"/>
      <c r="D47" s="553"/>
      <c r="E47" s="556"/>
      <c r="F47" s="573" t="s">
        <v>672</v>
      </c>
      <c r="G47" s="573"/>
      <c r="H47" s="573"/>
      <c r="I47" s="573"/>
      <c r="J47" s="573"/>
      <c r="L47" s="541">
        <f>V45/W45</f>
        <v>1.2288378252695125</v>
      </c>
      <c r="M47" s="506"/>
      <c r="N47" s="573"/>
      <c r="O47" s="534"/>
      <c r="P47" s="560"/>
      <c r="Q47" s="570">
        <v>5</v>
      </c>
      <c r="V47" s="982"/>
      <c r="W47" s="982"/>
      <c r="Y47" s="570"/>
      <c r="AB47" s="570"/>
      <c r="AC47" s="570"/>
      <c r="AD47" s="570"/>
      <c r="AE47" s="570"/>
      <c r="AF47" s="570"/>
      <c r="AG47" s="570"/>
      <c r="AH47" s="570"/>
    </row>
    <row r="48" spans="1:47">
      <c r="C48" s="573"/>
      <c r="D48" s="553"/>
      <c r="E48" s="556"/>
      <c r="F48" s="555" t="s">
        <v>673</v>
      </c>
      <c r="G48" s="573"/>
      <c r="H48" s="570"/>
      <c r="I48" s="570"/>
      <c r="J48" s="570"/>
      <c r="L48" s="541">
        <f>V45/W45</f>
        <v>1.2288378252695125</v>
      </c>
      <c r="M48" s="506"/>
      <c r="N48" s="573"/>
      <c r="O48" s="534"/>
      <c r="P48" s="560"/>
      <c r="Q48" s="570">
        <v>5</v>
      </c>
      <c r="V48" s="982"/>
      <c r="W48" s="982"/>
      <c r="Y48" s="570"/>
      <c r="Z48" s="570"/>
      <c r="AA48" s="570"/>
      <c r="AB48" s="570"/>
      <c r="AC48" s="570"/>
      <c r="AD48" s="570"/>
      <c r="AE48" s="570"/>
      <c r="AF48" s="570"/>
      <c r="AG48" s="570"/>
      <c r="AH48" s="570"/>
    </row>
    <row r="49" spans="1:47" s="570" customFormat="1">
      <c r="A49" s="571"/>
      <c r="C49" s="573"/>
      <c r="D49" s="553"/>
      <c r="E49" s="556"/>
      <c r="F49" s="548" t="s">
        <v>670</v>
      </c>
      <c r="G49" s="573">
        <v>2030</v>
      </c>
      <c r="H49" s="573" t="s">
        <v>801</v>
      </c>
      <c r="I49" s="573"/>
      <c r="J49" s="573"/>
      <c r="L49" s="541">
        <f>V49/W49</f>
        <v>1.3248968106178025</v>
      </c>
      <c r="M49" s="506"/>
      <c r="N49" s="573">
        <v>16</v>
      </c>
      <c r="O49" s="534">
        <f>('O&amp;M'!$I$98+'O&amp;M'!$I$99)*TRA_Cars!$Z$7</f>
        <v>5.4917850211616895E-4</v>
      </c>
      <c r="P49" s="557">
        <f t="array" ref="P49">INDEX('Cars INVCOST'!$D$24:$Q$146,MATCH(TRA_Cars!$AR$8&amp;TRA_Cars!$AS$8,'Cars INVCOST'!$C$24:$C$146&amp;'Cars INVCOST'!$A$24:$A$146,0),MATCH(TRA_Cars!G49&amp;$AT$8,'Cars INVCOST'!$D$22:$Q$22&amp;'Cars INVCOST'!$D$23:$Q$23,0))*$AB$7/1000</f>
        <v>132.47961225402761</v>
      </c>
      <c r="Q49" s="570">
        <v>5</v>
      </c>
      <c r="S49" s="558"/>
      <c r="T49" s="570">
        <v>18000</v>
      </c>
      <c r="V49" s="980">
        <f t="array" ref="V49">$AC$14/INDEX('Eff BEV'!$F$15:$U$26,,MATCH(TRA_Cars!G61&amp;TRA_Cars!$AT$10,'Eff BEV'!$F$13:$U$13&amp;'Eff BEV'!$F$14:$U$14,0))</f>
        <v>1896.9081163914811</v>
      </c>
      <c r="W49" s="980">
        <v>1431.7402692719506</v>
      </c>
      <c r="Z49"/>
      <c r="AA49"/>
    </row>
    <row r="50" spans="1:47">
      <c r="C50" s="573"/>
      <c r="D50" s="553"/>
      <c r="E50" s="573"/>
      <c r="F50" s="548" t="s">
        <v>671</v>
      </c>
      <c r="G50" s="570"/>
      <c r="L50" s="541">
        <f>V49/W49</f>
        <v>1.3248968106178025</v>
      </c>
      <c r="M50" s="508"/>
      <c r="O50" s="535"/>
      <c r="P50" s="557"/>
      <c r="Q50" s="570">
        <v>5</v>
      </c>
      <c r="V50" s="982"/>
      <c r="W50" s="982"/>
      <c r="Y50" s="570"/>
      <c r="AB50" s="570"/>
      <c r="AC50" s="570"/>
      <c r="AD50" s="570"/>
      <c r="AE50" s="570"/>
      <c r="AF50" s="570"/>
      <c r="AG50" s="570"/>
      <c r="AH50" s="570"/>
    </row>
    <row r="51" spans="1:47">
      <c r="C51" s="573"/>
      <c r="D51" s="553"/>
      <c r="E51" s="573"/>
      <c r="F51" s="573" t="s">
        <v>672</v>
      </c>
      <c r="G51" s="570"/>
      <c r="L51" s="541">
        <f>V49/W49</f>
        <v>1.3248968106178025</v>
      </c>
      <c r="M51" s="507"/>
      <c r="O51" s="535"/>
      <c r="P51" s="557"/>
      <c r="Q51" s="570">
        <v>5</v>
      </c>
      <c r="V51" s="982"/>
      <c r="W51" s="982"/>
      <c r="Y51" s="570"/>
      <c r="Z51" s="570"/>
      <c r="AB51" s="570"/>
      <c r="AC51" s="570"/>
      <c r="AD51" s="570"/>
      <c r="AE51" s="570"/>
      <c r="AF51" s="570"/>
      <c r="AG51" s="570"/>
      <c r="AH51" s="570"/>
      <c r="AI51" s="498"/>
      <c r="AJ51" s="498"/>
      <c r="AK51" s="498"/>
      <c r="AL51" s="498"/>
      <c r="AM51" s="498"/>
      <c r="AN51" s="498"/>
      <c r="AO51" s="498"/>
      <c r="AP51" s="498"/>
      <c r="AQ51" s="498"/>
      <c r="AR51" s="498"/>
      <c r="AS51" s="498"/>
      <c r="AT51" s="498"/>
      <c r="AU51" s="498"/>
    </row>
    <row r="52" spans="1:47" ht="13.8" thickBot="1">
      <c r="C52" s="536"/>
      <c r="D52" s="536"/>
      <c r="E52" s="536"/>
      <c r="F52" s="536" t="s">
        <v>673</v>
      </c>
      <c r="G52" s="536"/>
      <c r="H52" s="536"/>
      <c r="I52" s="536"/>
      <c r="J52" s="536"/>
      <c r="K52" s="536"/>
      <c r="L52" s="925">
        <f>V49/W49</f>
        <v>1.3248968106178025</v>
      </c>
      <c r="M52" s="536"/>
      <c r="N52" s="536"/>
      <c r="O52" s="537"/>
      <c r="P52" s="576"/>
      <c r="Q52" s="536">
        <v>5</v>
      </c>
      <c r="R52" s="537"/>
      <c r="S52" s="1301"/>
      <c r="T52" s="536"/>
      <c r="U52" s="573"/>
      <c r="V52" s="984"/>
      <c r="W52" s="984"/>
      <c r="Y52" s="570"/>
      <c r="AB52" s="570"/>
      <c r="AC52" s="570"/>
      <c r="AD52" s="570"/>
      <c r="AE52" s="570"/>
      <c r="AF52" s="570"/>
      <c r="AG52" s="570"/>
      <c r="AH52" s="570"/>
      <c r="AI52" s="498"/>
      <c r="AJ52" s="498"/>
      <c r="AK52" s="498"/>
      <c r="AL52" s="498"/>
      <c r="AM52" s="498"/>
      <c r="AN52" s="498"/>
      <c r="AO52" s="498"/>
      <c r="AP52" s="498"/>
      <c r="AQ52" s="498"/>
      <c r="AR52" s="498"/>
      <c r="AS52" s="498"/>
      <c r="AT52" s="498"/>
      <c r="AU52" s="498"/>
    </row>
    <row r="53" spans="1:47" s="570" customFormat="1">
      <c r="A53" s="571"/>
      <c r="C53" s="570" t="str">
        <f>LEFT(F53,4)&amp;MID(E53,4,3)&amp;"H2N"</f>
        <v>TPCAELCH2N</v>
      </c>
      <c r="D53" s="553" t="s">
        <v>503</v>
      </c>
      <c r="E53" s="556" t="s">
        <v>876</v>
      </c>
      <c r="F53" s="548" t="s">
        <v>670</v>
      </c>
      <c r="G53" s="570">
        <v>2018</v>
      </c>
      <c r="H53" s="570" t="s">
        <v>801</v>
      </c>
      <c r="I53" s="570">
        <v>2018</v>
      </c>
      <c r="J53" s="498">
        <v>2019</v>
      </c>
      <c r="K53" s="557"/>
      <c r="L53" s="1306">
        <f>AH$94*AG87+L17*AG88</f>
        <v>3.0952829999909111</v>
      </c>
      <c r="M53" s="972">
        <f>AN87</f>
        <v>0.17257775613419157</v>
      </c>
      <c r="N53" s="573">
        <v>16</v>
      </c>
      <c r="O53" s="47">
        <f>('O&amp;M'!$I$69+'O&amp;M'!$I$70)*$Z$7</f>
        <v>9.5086104003805458E-4</v>
      </c>
      <c r="P53" s="557">
        <f t="array" ref="P53">INDEX('Cars INVCOST'!$D$24:$Q$146,MATCH(TRA_Cars!$AR$9&amp;TRA_Cars!$AS$9,'Cars INVCOST'!$C$24:$C$146&amp;'Cars INVCOST'!$A$24:$A$146,0),MATCH(TRA_Cars!X41&amp;$AT$9,'Cars INVCOST'!$D$22:$Q$22&amp;'Cars INVCOST'!$D$23:$Q$23,0))*$AB$7/1000</f>
        <v>149.52414017347374</v>
      </c>
      <c r="Q53" s="570">
        <v>5</v>
      </c>
      <c r="R53" s="498">
        <v>5</v>
      </c>
      <c r="S53" s="558"/>
      <c r="T53" s="570">
        <v>18000</v>
      </c>
      <c r="V53" s="985">
        <f>W53*L53</f>
        <v>976.20349158113481</v>
      </c>
      <c r="W53" s="980">
        <f>W17</f>
        <v>315.384244860325</v>
      </c>
      <c r="AJ53" s="498"/>
      <c r="AK53" s="498"/>
      <c r="AL53" s="498"/>
      <c r="AM53" s="498"/>
      <c r="AN53" s="498"/>
      <c r="AO53" s="498"/>
      <c r="AP53" s="498"/>
      <c r="AQ53" s="498"/>
      <c r="AR53" s="498"/>
      <c r="AS53" s="498"/>
      <c r="AT53" s="498"/>
      <c r="AU53" s="498"/>
    </row>
    <row r="54" spans="1:47" s="498" customFormat="1" ht="17.100000000000001" customHeight="1">
      <c r="A54" s="3"/>
      <c r="B54" s="682" t="s">
        <v>674</v>
      </c>
      <c r="C54" s="573"/>
      <c r="D54" s="553"/>
      <c r="E54" s="681" t="s">
        <v>226</v>
      </c>
      <c r="F54" s="548" t="s">
        <v>671</v>
      </c>
      <c r="G54" s="570"/>
      <c r="H54" s="570"/>
      <c r="K54" s="557"/>
      <c r="L54" s="1306">
        <f>AH$94*AG87+L18*AG88</f>
        <v>3.0952829999909111</v>
      </c>
      <c r="M54" s="972">
        <f>AN88</f>
        <v>0.82742224386580843</v>
      </c>
      <c r="N54" s="570"/>
      <c r="O54" s="534"/>
      <c r="P54" s="557"/>
      <c r="Q54" s="570">
        <v>5</v>
      </c>
      <c r="R54" s="498">
        <v>5</v>
      </c>
      <c r="S54" s="558"/>
      <c r="T54" s="570"/>
      <c r="U54" s="570"/>
      <c r="V54" s="985"/>
      <c r="W54" s="982"/>
      <c r="Y54" s="570"/>
      <c r="Z54" s="570"/>
      <c r="AA54" s="570"/>
      <c r="AB54" s="570"/>
      <c r="AC54" s="570"/>
      <c r="AD54" s="570"/>
      <c r="AE54" s="570"/>
      <c r="AF54" s="570"/>
      <c r="AG54" s="570"/>
      <c r="AH54" s="570"/>
      <c r="AJ54"/>
      <c r="AK54" s="557"/>
      <c r="AL54"/>
      <c r="AM54"/>
      <c r="AN54"/>
      <c r="AO54"/>
      <c r="AP54"/>
      <c r="AQ54"/>
      <c r="AR54"/>
      <c r="AS54"/>
      <c r="AT54"/>
      <c r="AU54"/>
    </row>
    <row r="55" spans="1:47" s="498" customFormat="1">
      <c r="A55" s="3"/>
      <c r="C55" s="573"/>
      <c r="D55" s="553"/>
      <c r="E55" s="556"/>
      <c r="F55" s="573" t="s">
        <v>672</v>
      </c>
      <c r="G55" s="570"/>
      <c r="H55" s="570"/>
      <c r="K55" s="522"/>
      <c r="L55" s="1306">
        <f>AH$94*AG87+L19*AG88</f>
        <v>3.0952829999909111</v>
      </c>
      <c r="M55" s="973"/>
      <c r="N55" s="534"/>
      <c r="O55" s="534"/>
      <c r="P55" s="560"/>
      <c r="Q55" s="570">
        <v>5</v>
      </c>
      <c r="S55" s="558"/>
      <c r="T55" s="570"/>
      <c r="U55" s="570"/>
      <c r="V55" s="985"/>
      <c r="W55" s="982"/>
      <c r="Y55"/>
      <c r="Z55" s="570"/>
      <c r="AA55" s="570"/>
      <c r="AB55" s="570"/>
      <c r="AC55" s="570"/>
      <c r="AD55" s="570"/>
      <c r="AE55" s="570"/>
      <c r="AF55" s="570"/>
      <c r="AG55" s="570"/>
      <c r="AH55" s="570"/>
      <c r="AI55"/>
      <c r="AJ55"/>
      <c r="AK55"/>
      <c r="AL55"/>
      <c r="AM55"/>
      <c r="AN55"/>
      <c r="AO55"/>
      <c r="AP55"/>
      <c r="AQ55"/>
      <c r="AR55"/>
      <c r="AS55"/>
      <c r="AT55"/>
      <c r="AU55"/>
    </row>
    <row r="56" spans="1:47" s="498" customFormat="1">
      <c r="A56" s="3"/>
      <c r="C56" s="573"/>
      <c r="D56" s="553"/>
      <c r="E56" s="556"/>
      <c r="F56" s="555" t="s">
        <v>673</v>
      </c>
      <c r="G56" s="570"/>
      <c r="H56" s="573"/>
      <c r="I56" s="570"/>
      <c r="J56" s="570"/>
      <c r="K56" s="522"/>
      <c r="L56" s="1306">
        <f>AH$94*AG87+L20*AG88</f>
        <v>3.0952829999909111</v>
      </c>
      <c r="M56" s="973"/>
      <c r="N56" s="573"/>
      <c r="O56" s="534"/>
      <c r="P56" s="557"/>
      <c r="Q56" s="570">
        <v>5</v>
      </c>
      <c r="R56" s="570"/>
      <c r="S56" s="558"/>
      <c r="T56" s="570"/>
      <c r="U56" s="570"/>
      <c r="V56" s="985"/>
      <c r="W56" s="982"/>
      <c r="Y56"/>
      <c r="Z56" s="570"/>
      <c r="AA56" s="570"/>
      <c r="AB56" s="570"/>
      <c r="AC56" s="570"/>
      <c r="AD56" s="570"/>
      <c r="AE56" s="570"/>
      <c r="AF56" s="570"/>
      <c r="AG56" s="570"/>
      <c r="AH56" s="570"/>
      <c r="AI56"/>
      <c r="AJ56"/>
      <c r="AK56"/>
      <c r="AL56"/>
      <c r="AM56"/>
      <c r="AN56"/>
      <c r="AO56"/>
      <c r="AP56"/>
      <c r="AQ56"/>
      <c r="AR56"/>
      <c r="AS56"/>
      <c r="AT56"/>
      <c r="AU56"/>
    </row>
    <row r="57" spans="1:47" s="570" customFormat="1">
      <c r="A57" s="571"/>
      <c r="C57" s="573" t="str">
        <f>LEFT(F57,4)&amp;MID(E57,4,3)&amp;"H3N"</f>
        <v>TPCAELCH3N</v>
      </c>
      <c r="D57" s="553" t="s">
        <v>504</v>
      </c>
      <c r="E57" s="556" t="s">
        <v>876</v>
      </c>
      <c r="F57" s="548" t="s">
        <v>670</v>
      </c>
      <c r="G57" s="573">
        <v>2020</v>
      </c>
      <c r="H57" s="573" t="s">
        <v>801</v>
      </c>
      <c r="I57" s="573">
        <v>2020</v>
      </c>
      <c r="J57" s="573">
        <f>G61-1</f>
        <v>2029</v>
      </c>
      <c r="K57" s="557"/>
      <c r="L57" s="1306">
        <f>AH$95*AG87+L21*AG88</f>
        <v>3.3742481317181969</v>
      </c>
      <c r="M57" s="972">
        <f>AN87</f>
        <v>0.17257775613419157</v>
      </c>
      <c r="N57" s="573">
        <v>16</v>
      </c>
      <c r="O57" s="534">
        <f>('O&amp;M'!$I$69+'O&amp;M'!$I$70)*$Z$7</f>
        <v>9.5086104003805458E-4</v>
      </c>
      <c r="P57" s="557">
        <f t="array" ref="P57">INDEX('Cars INVCOST'!$D$24:$Q$146,MATCH(TRA_Cars!$AR$9&amp;TRA_Cars!$AS$9,'Cars INVCOST'!$C$24:$C$146&amp;'Cars INVCOST'!$A$24:$A$146,0),MATCH(TRA_Cars!G57&amp;$AT$9,'Cars INVCOST'!$D$22:$Q$22&amp;'Cars INVCOST'!$D$23:$Q$23,0))*$AB$7/1000</f>
        <v>144.55046010839939</v>
      </c>
      <c r="Q57" s="570">
        <v>5</v>
      </c>
      <c r="R57" s="498">
        <v>5</v>
      </c>
      <c r="S57" s="558"/>
      <c r="T57" s="570">
        <v>18000</v>
      </c>
      <c r="V57" s="985">
        <f>W57*L57</f>
        <v>1064.184698993306</v>
      </c>
      <c r="W57" s="980">
        <f>W21</f>
        <v>315.384244860325</v>
      </c>
      <c r="Y57"/>
      <c r="AI57"/>
      <c r="AJ57"/>
      <c r="AK57"/>
      <c r="AL57"/>
      <c r="AM57"/>
      <c r="AN57"/>
      <c r="AO57"/>
      <c r="AP57"/>
      <c r="AQ57"/>
      <c r="AR57"/>
      <c r="AS57"/>
      <c r="AT57"/>
      <c r="AU57"/>
    </row>
    <row r="58" spans="1:47" s="498" customFormat="1">
      <c r="A58" s="3"/>
      <c r="C58" s="573"/>
      <c r="D58" s="553"/>
      <c r="E58" s="681" t="s">
        <v>227</v>
      </c>
      <c r="F58" s="548" t="s">
        <v>671</v>
      </c>
      <c r="G58" s="573"/>
      <c r="H58" s="573"/>
      <c r="I58" s="573"/>
      <c r="J58" s="573"/>
      <c r="K58" s="557"/>
      <c r="L58" s="1306">
        <f>AH$95*AG87+L22*AG88</f>
        <v>3.3742481317181969</v>
      </c>
      <c r="M58" s="973">
        <f>AN88</f>
        <v>0.82742224386580843</v>
      </c>
      <c r="N58" s="573"/>
      <c r="O58" s="534"/>
      <c r="P58" s="560"/>
      <c r="Q58" s="570">
        <v>5</v>
      </c>
      <c r="R58" s="498">
        <v>5</v>
      </c>
      <c r="S58" s="558"/>
      <c r="T58" s="570"/>
      <c r="U58" s="570"/>
      <c r="V58" s="985"/>
      <c r="W58" s="982"/>
      <c r="X58" s="511"/>
      <c r="Y58"/>
      <c r="AB58" s="570"/>
      <c r="AC58" s="570"/>
      <c r="AD58" s="570"/>
      <c r="AE58" s="570"/>
      <c r="AF58" s="570"/>
      <c r="AG58" s="570"/>
      <c r="AH58" s="570"/>
      <c r="AI58"/>
      <c r="AJ58"/>
      <c r="AK58"/>
      <c r="AL58"/>
      <c r="AM58"/>
      <c r="AN58"/>
      <c r="AO58"/>
      <c r="AP58"/>
      <c r="AQ58"/>
      <c r="AR58"/>
      <c r="AS58"/>
      <c r="AT58"/>
      <c r="AU58"/>
    </row>
    <row r="59" spans="1:47" s="498" customFormat="1">
      <c r="A59" s="3"/>
      <c r="C59" s="573"/>
      <c r="D59" s="553"/>
      <c r="E59" s="556"/>
      <c r="F59" s="573" t="s">
        <v>672</v>
      </c>
      <c r="G59" s="573"/>
      <c r="H59" s="573"/>
      <c r="I59" s="573"/>
      <c r="J59" s="573"/>
      <c r="K59" s="522"/>
      <c r="L59" s="1306">
        <f>AH$95*AG87+L23*AG88</f>
        <v>3.3742481317181969</v>
      </c>
      <c r="M59" s="973"/>
      <c r="N59" s="573"/>
      <c r="O59" s="534"/>
      <c r="P59" s="560"/>
      <c r="Q59" s="570">
        <v>5</v>
      </c>
      <c r="S59" s="558"/>
      <c r="T59" s="570"/>
      <c r="U59" s="570"/>
      <c r="V59" s="985"/>
      <c r="W59" s="982"/>
      <c r="X59" s="511"/>
      <c r="Y59"/>
      <c r="AB59" s="570"/>
      <c r="AC59" s="570"/>
      <c r="AD59" s="570"/>
      <c r="AE59" s="570"/>
      <c r="AF59" s="570"/>
      <c r="AG59" s="570"/>
      <c r="AH59" s="570"/>
      <c r="AI59"/>
      <c r="AJ59"/>
      <c r="AK59"/>
      <c r="AL59"/>
      <c r="AM59"/>
      <c r="AN59"/>
      <c r="AO59"/>
      <c r="AP59"/>
      <c r="AQ59"/>
      <c r="AR59"/>
      <c r="AS59"/>
      <c r="AT59"/>
      <c r="AU59"/>
    </row>
    <row r="60" spans="1:47" s="498" customFormat="1">
      <c r="A60" s="3"/>
      <c r="C60" s="573"/>
      <c r="D60" s="553"/>
      <c r="E60" s="681"/>
      <c r="F60" s="555" t="s">
        <v>673</v>
      </c>
      <c r="G60" s="573"/>
      <c r="H60" s="570"/>
      <c r="I60" s="570"/>
      <c r="J60" s="570"/>
      <c r="K60" s="522"/>
      <c r="L60" s="1306">
        <f>AH$95*AG87+L24*AG88</f>
        <v>3.3742481317181969</v>
      </c>
      <c r="M60" s="973"/>
      <c r="N60" s="573"/>
      <c r="O60" s="534"/>
      <c r="P60" s="560"/>
      <c r="Q60" s="570">
        <v>5</v>
      </c>
      <c r="R60" s="570"/>
      <c r="S60" s="558"/>
      <c r="T60" s="570"/>
      <c r="U60" s="570"/>
      <c r="V60" s="985"/>
      <c r="X60" s="511"/>
      <c r="AB60" s="570"/>
      <c r="AC60" s="570"/>
      <c r="AD60" s="570"/>
      <c r="AE60" s="570"/>
      <c r="AF60" s="570"/>
      <c r="AG60" s="570"/>
      <c r="AH60" s="570"/>
      <c r="AI60"/>
      <c r="AJ60"/>
      <c r="AK60"/>
      <c r="AL60"/>
      <c r="AM60"/>
      <c r="AN60"/>
      <c r="AO60"/>
      <c r="AP60"/>
      <c r="AQ60"/>
      <c r="AR60"/>
      <c r="AS60"/>
      <c r="AT60"/>
      <c r="AU60"/>
    </row>
    <row r="61" spans="1:47" s="570" customFormat="1">
      <c r="A61" s="571"/>
      <c r="C61" s="573" t="str">
        <f>LEFT(F61,4)&amp;MID(E61,4,3)&amp;"H4N"</f>
        <v>TPCAELCH4N</v>
      </c>
      <c r="D61" s="553" t="s">
        <v>505</v>
      </c>
      <c r="E61" s="681" t="s">
        <v>876</v>
      </c>
      <c r="F61" s="548" t="s">
        <v>670</v>
      </c>
      <c r="G61" s="573">
        <v>2030</v>
      </c>
      <c r="H61" s="573" t="s">
        <v>801</v>
      </c>
      <c r="I61" s="573">
        <f>G61</f>
        <v>2030</v>
      </c>
      <c r="J61" s="573"/>
      <c r="K61" s="522"/>
      <c r="L61" s="1306">
        <f>AH$96*AG87+L25*AG88</f>
        <v>3.6817285477588126</v>
      </c>
      <c r="M61" s="972">
        <f>AN89</f>
        <v>0.18579913710926166</v>
      </c>
      <c r="N61" s="573">
        <v>16</v>
      </c>
      <c r="O61" s="534">
        <f>('O&amp;M'!$I$69+'O&amp;M'!$I$70)*$Z$7</f>
        <v>9.5086104003805458E-4</v>
      </c>
      <c r="P61" s="557">
        <f t="array" ref="P61">INDEX('Cars INVCOST'!$D$24:$Q$146,MATCH(TRA_Cars!$AR$9&amp;TRA_Cars!$AS$9,'Cars INVCOST'!$C$24:$C$146&amp;'Cars INVCOST'!$A$24:$A$146,0),MATCH(TRA_Cars!G61&amp;$AT$9,'Cars INVCOST'!$D$22:$Q$22&amp;'Cars INVCOST'!$D$23:$Q$23,0))*$AB$7/1000</f>
        <v>133.91891192424006</v>
      </c>
      <c r="Q61" s="570">
        <v>5</v>
      </c>
      <c r="R61" s="498">
        <v>5</v>
      </c>
      <c r="S61" s="558"/>
      <c r="T61" s="570">
        <v>18000</v>
      </c>
      <c r="V61" s="985">
        <f>W61*L61</f>
        <v>1161.1591778156142</v>
      </c>
      <c r="W61" s="980">
        <f>W25</f>
        <v>315.384244860325</v>
      </c>
      <c r="Y61" s="538"/>
      <c r="AI61" s="498"/>
      <c r="AJ61" s="498"/>
      <c r="AK61" s="498"/>
      <c r="AL61" s="498"/>
      <c r="AM61" s="498"/>
      <c r="AN61" s="498"/>
      <c r="AO61" s="498"/>
      <c r="AP61" s="498"/>
      <c r="AQ61" s="498"/>
      <c r="AR61" s="498"/>
      <c r="AS61" s="498"/>
      <c r="AT61" s="498"/>
      <c r="AU61" s="498"/>
    </row>
    <row r="62" spans="1:47" s="498" customFormat="1">
      <c r="A62" s="3"/>
      <c r="C62" s="573"/>
      <c r="D62" s="553"/>
      <c r="E62" s="681" t="s">
        <v>228</v>
      </c>
      <c r="F62" s="548" t="s">
        <v>671</v>
      </c>
      <c r="G62" s="570"/>
      <c r="K62" s="522"/>
      <c r="L62" s="1306">
        <f>AH$96*AG87+L26*AG88</f>
        <v>3.6817285477588126</v>
      </c>
      <c r="M62" s="973">
        <f>AN90</f>
        <v>0.81420086289073823</v>
      </c>
      <c r="O62" s="534"/>
      <c r="P62" s="557"/>
      <c r="Q62" s="570">
        <v>5</v>
      </c>
      <c r="R62" s="498">
        <v>5</v>
      </c>
      <c r="S62" s="558"/>
      <c r="T62" s="570"/>
      <c r="U62" s="570"/>
      <c r="V62" s="985"/>
      <c r="W62" s="982"/>
      <c r="X62" s="511"/>
      <c r="Y62" s="538"/>
      <c r="AG62" s="538"/>
      <c r="AH62" s="538"/>
      <c r="AI62" s="538"/>
      <c r="AJ62" s="538"/>
      <c r="AK62" s="538"/>
      <c r="AL62" s="538"/>
      <c r="AM62" s="538"/>
      <c r="AN62" s="538"/>
      <c r="AO62" s="538"/>
      <c r="AP62" s="538"/>
      <c r="AQ62" s="538"/>
      <c r="AR62" s="538"/>
      <c r="AS62" s="538"/>
      <c r="AT62" s="538"/>
      <c r="AU62" s="538"/>
    </row>
    <row r="63" spans="1:47" s="498" customFormat="1">
      <c r="A63" s="3"/>
      <c r="C63" s="573"/>
      <c r="D63" s="553"/>
      <c r="E63" s="558"/>
      <c r="F63" s="573" t="s">
        <v>672</v>
      </c>
      <c r="G63" s="570"/>
      <c r="K63" s="522"/>
      <c r="L63" s="1306">
        <f>AH$96*AG87+L27*AG88</f>
        <v>3.6817285477588126</v>
      </c>
      <c r="N63" s="499"/>
      <c r="O63" s="535"/>
      <c r="P63" s="557"/>
      <c r="Q63" s="570">
        <v>5</v>
      </c>
      <c r="S63" s="558"/>
      <c r="T63" s="570"/>
      <c r="U63" s="570"/>
      <c r="V63" s="985"/>
      <c r="W63" s="982"/>
      <c r="X63" s="511"/>
      <c r="Y63" s="538"/>
      <c r="AG63" s="538"/>
      <c r="AH63" s="538"/>
      <c r="AI63" s="538"/>
      <c r="AJ63" s="538"/>
      <c r="AK63" s="538"/>
      <c r="AL63" s="538"/>
      <c r="AM63" s="538"/>
      <c r="AN63" s="538"/>
      <c r="AO63" s="538"/>
      <c r="AP63" s="538"/>
      <c r="AQ63" s="538"/>
      <c r="AR63" s="538"/>
      <c r="AS63" s="538"/>
      <c r="AT63" s="538"/>
      <c r="AU63" s="538"/>
    </row>
    <row r="64" spans="1:47" s="498" customFormat="1" ht="13.8" thickBot="1">
      <c r="A64" s="3"/>
      <c r="C64" s="536"/>
      <c r="D64" s="536"/>
      <c r="E64" s="536"/>
      <c r="F64" s="536" t="s">
        <v>673</v>
      </c>
      <c r="G64" s="536"/>
      <c r="H64" s="536"/>
      <c r="I64" s="536"/>
      <c r="J64" s="536"/>
      <c r="K64" s="536"/>
      <c r="L64" s="1323">
        <f>AH$96*AG87+L28*AG88</f>
        <v>3.6817285477588126</v>
      </c>
      <c r="M64" s="536"/>
      <c r="N64" s="536"/>
      <c r="O64" s="537"/>
      <c r="P64" s="576"/>
      <c r="Q64" s="536">
        <v>5</v>
      </c>
      <c r="R64" s="537"/>
      <c r="S64" s="1301"/>
      <c r="T64" s="536"/>
      <c r="U64" s="573"/>
      <c r="V64" s="984"/>
      <c r="W64" s="984"/>
      <c r="X64" s="511"/>
      <c r="Y64" s="538"/>
      <c r="AG64" s="538"/>
      <c r="AH64" s="538"/>
      <c r="AI64" s="538"/>
      <c r="AJ64" s="538"/>
      <c r="AK64" s="538"/>
      <c r="AL64" s="538"/>
      <c r="AM64" s="538"/>
      <c r="AN64" s="538"/>
      <c r="AO64" s="538"/>
      <c r="AP64" s="538"/>
      <c r="AQ64" s="538"/>
      <c r="AR64" s="538"/>
      <c r="AS64" s="538"/>
      <c r="AT64" s="538"/>
      <c r="AU64" s="538"/>
    </row>
    <row r="65" spans="1:47" s="570" customFormat="1">
      <c r="A65" s="571"/>
      <c r="C65" s="570" t="str">
        <f>LEFT(F65,4)&amp;RIGHT(E65,3)&amp;"X1N"</f>
        <v>TPCAH2GX1N</v>
      </c>
      <c r="D65" s="553" t="s">
        <v>229</v>
      </c>
      <c r="E65" s="681" t="s">
        <v>668</v>
      </c>
      <c r="F65" s="548" t="s">
        <v>670</v>
      </c>
      <c r="G65" s="570">
        <v>2018</v>
      </c>
      <c r="H65" s="570" t="s">
        <v>801</v>
      </c>
      <c r="I65" s="1151">
        <v>2018</v>
      </c>
      <c r="L65" s="541">
        <f>V65/W65</f>
        <v>2.5384422080633993</v>
      </c>
      <c r="M65" s="506"/>
      <c r="N65" s="573">
        <v>16</v>
      </c>
      <c r="O65" s="47">
        <f>('O&amp;M'!$I$69+'O&amp;M'!$I$70)*$Z$7</f>
        <v>9.5086104003805458E-4</v>
      </c>
      <c r="P65" s="557">
        <f t="array" ref="P65">INDEX('Cars INVCOST'!$D$24:$Q$146,MATCH(TRA_Cars!$AR$10&amp;TRA_Cars!$AS$10,'Cars INVCOST'!$C$24:$C$146&amp;'Cars INVCOST'!$A$24:$A$146,0),MATCH(TRA_Cars!X41&amp;$AT$10,'Cars INVCOST'!$D$22:$Q$22&amp;'Cars INVCOST'!$D$23:$Q$23,0))*$AB$7/1000</f>
        <v>152.6879563824736</v>
      </c>
      <c r="Q65" s="570">
        <v>5</v>
      </c>
      <c r="R65" s="573"/>
      <c r="S65" s="558"/>
      <c r="T65" s="570">
        <v>18000</v>
      </c>
      <c r="V65" s="980">
        <f t="array" ref="V65">INDEX('Eff SF'!$D$11:$Q$28,MATCH(TRA_Cars!$AS$10&amp;TRA_Cars!$AV$10,'Eff SF'!$A$11:$A$28&amp;'Eff SF'!$C$11:$C$28,0),MATCH(TRA_Cars!X41&amp;TRA_Cars!$AT$10,'Eff SF'!$D$9:$Q$9&amp;'Eff SF'!$D$10:$Q$10,0))*$AC$13</f>
        <v>800.58467891165117</v>
      </c>
      <c r="W65" s="980">
        <f>W17</f>
        <v>315.384244860325</v>
      </c>
      <c r="Y65" s="538"/>
      <c r="AG65" s="538"/>
      <c r="AH65" s="538"/>
      <c r="AI65" s="538"/>
      <c r="AJ65" s="538"/>
      <c r="AK65" s="538"/>
      <c r="AL65" s="538"/>
      <c r="AM65" s="538"/>
      <c r="AN65" s="538"/>
      <c r="AO65" s="538"/>
      <c r="AP65" s="538"/>
      <c r="AQ65" s="538"/>
      <c r="AR65" s="538"/>
      <c r="AS65" s="538"/>
      <c r="AT65" s="538"/>
      <c r="AU65" s="538"/>
    </row>
    <row r="66" spans="1:47" ht="13.8" thickBot="1">
      <c r="C66" s="573"/>
      <c r="D66" s="573"/>
      <c r="E66" s="558"/>
      <c r="F66" s="548" t="s">
        <v>671</v>
      </c>
      <c r="G66" s="570"/>
      <c r="H66" s="570"/>
      <c r="I66" s="570"/>
      <c r="J66" s="570"/>
      <c r="K66" s="41"/>
      <c r="L66" s="541">
        <f>V65/W65</f>
        <v>2.5384422080633993</v>
      </c>
      <c r="M66" s="41"/>
      <c r="N66" s="570"/>
      <c r="O66" s="535"/>
      <c r="P66" s="560"/>
      <c r="Q66" s="570">
        <v>5</v>
      </c>
      <c r="V66" s="982"/>
      <c r="W66" s="982"/>
      <c r="Y66" s="538"/>
      <c r="AG66" s="538"/>
      <c r="AH66" s="538"/>
      <c r="AI66" s="538"/>
      <c r="AJ66" s="538"/>
      <c r="AK66" s="538"/>
      <c r="AL66" s="538"/>
      <c r="AM66" s="538"/>
      <c r="AN66" s="538"/>
      <c r="AO66" s="538"/>
      <c r="AP66" s="538"/>
      <c r="AQ66" s="538"/>
      <c r="AR66" s="538"/>
      <c r="AS66" s="538"/>
      <c r="AT66" s="538"/>
      <c r="AU66" s="538"/>
    </row>
    <row r="67" spans="1:47">
      <c r="C67" s="573"/>
      <c r="D67" s="573"/>
      <c r="E67" s="558"/>
      <c r="F67" s="573" t="s">
        <v>672</v>
      </c>
      <c r="G67" s="570"/>
      <c r="H67" s="570"/>
      <c r="I67" s="570"/>
      <c r="J67" s="570"/>
      <c r="K67" s="41"/>
      <c r="L67" s="541">
        <f>V65/W65</f>
        <v>2.5384422080633993</v>
      </c>
      <c r="M67" s="41"/>
      <c r="N67" s="573"/>
      <c r="O67" s="535"/>
      <c r="P67" s="560"/>
      <c r="Q67" s="570">
        <v>5</v>
      </c>
      <c r="V67" s="982"/>
      <c r="W67" s="982"/>
      <c r="Y67" s="538"/>
      <c r="AB67" s="1247"/>
      <c r="AC67" s="1248"/>
      <c r="AD67" s="1307"/>
      <c r="AE67" s="1248"/>
      <c r="AF67" s="1248"/>
      <c r="AG67" s="1248"/>
      <c r="AH67" s="1248"/>
      <c r="AI67" s="1248"/>
      <c r="AJ67" s="1248"/>
      <c r="AK67" s="1248"/>
      <c r="AL67" s="1248"/>
      <c r="AM67" s="1248"/>
      <c r="AN67" s="1248"/>
      <c r="AO67" s="1249"/>
      <c r="AP67" s="538"/>
      <c r="AQ67" s="538"/>
      <c r="AR67" s="538"/>
      <c r="AS67" s="538"/>
      <c r="AT67" s="538"/>
      <c r="AU67" s="538"/>
    </row>
    <row r="68" spans="1:47">
      <c r="C68" s="573"/>
      <c r="D68" s="573"/>
      <c r="E68" s="558"/>
      <c r="F68" s="555" t="s">
        <v>673</v>
      </c>
      <c r="G68" s="570"/>
      <c r="H68" s="573"/>
      <c r="I68" s="570"/>
      <c r="J68" s="570"/>
      <c r="K68" s="41"/>
      <c r="L68" s="541">
        <f>V65/W65</f>
        <v>2.5384422080633993</v>
      </c>
      <c r="M68" s="41"/>
      <c r="N68" s="573"/>
      <c r="O68" s="534"/>
      <c r="P68" s="560"/>
      <c r="Q68" s="570">
        <v>5</v>
      </c>
      <c r="V68" s="982"/>
      <c r="W68" s="982"/>
      <c r="Y68" s="498"/>
      <c r="AB68" s="1250"/>
      <c r="AC68" s="573"/>
      <c r="AD68" s="573"/>
      <c r="AE68" s="573"/>
      <c r="AF68" s="573"/>
      <c r="AG68" s="573"/>
      <c r="AH68" s="573"/>
      <c r="AI68" s="573"/>
      <c r="AJ68" s="573"/>
      <c r="AK68" s="573"/>
      <c r="AL68" s="573"/>
      <c r="AM68" s="573"/>
      <c r="AN68" s="573"/>
      <c r="AO68" s="1252"/>
      <c r="AP68" s="538"/>
      <c r="AQ68" s="538"/>
      <c r="AR68" s="538"/>
      <c r="AS68" s="538"/>
      <c r="AT68" s="538"/>
      <c r="AU68" s="538"/>
    </row>
    <row r="69" spans="1:47" s="570" customFormat="1">
      <c r="A69" s="571"/>
      <c r="C69" s="573"/>
      <c r="D69" s="553"/>
      <c r="E69" s="558"/>
      <c r="F69" s="548" t="s">
        <v>670</v>
      </c>
      <c r="G69" s="573">
        <v>2020</v>
      </c>
      <c r="H69" s="573" t="s">
        <v>801</v>
      </c>
      <c r="I69" s="573"/>
      <c r="J69" s="573"/>
      <c r="L69" s="541">
        <f>V69/W69</f>
        <v>2.892021081533648</v>
      </c>
      <c r="M69" s="560"/>
      <c r="N69" s="573">
        <v>16</v>
      </c>
      <c r="O69" s="534">
        <f>('O&amp;M'!$I$69+'O&amp;M'!$I$70)*$Z$7</f>
        <v>9.5086104003805458E-4</v>
      </c>
      <c r="P69" s="557">
        <f t="array" ref="P69">INDEX('Cars INVCOST'!$D$24:$Q$146,MATCH(TRA_Cars!$AR$10&amp;TRA_Cars!$AS$10,'Cars INVCOST'!$C$24:$C$146&amp;'Cars INVCOST'!$A$24:$A$146,0),MATCH(TRA_Cars!G69&amp;$AT$10,'Cars INVCOST'!$D$22:$Q$22&amp;'Cars INVCOST'!$D$23:$Q$23,0))*$AB$7/1000</f>
        <v>140.13173497162654</v>
      </c>
      <c r="Q69" s="570">
        <v>5</v>
      </c>
      <c r="S69" s="558"/>
      <c r="T69" s="570">
        <v>18000</v>
      </c>
      <c r="V69" s="980">
        <f t="array" ref="V69">INDEX('Eff SF'!$D$11:$Q$28,MATCH(TRA_Cars!$AS$10&amp;TRA_Cars!$AV$10,'Eff SF'!$A$11:$A$28&amp;'Eff SF'!$C$11:$C$28,0),MATCH(TRA_Cars!G69&amp;TRA_Cars!$AT$10,'Eff SF'!$D$9:$Q$9&amp;'Eff SF'!$D$10:$Q$10,0))*$AC$13</f>
        <v>912.09788491963002</v>
      </c>
      <c r="W69" s="980">
        <f>W21</f>
        <v>315.384244860325</v>
      </c>
      <c r="Y69"/>
      <c r="AB69" s="1308" t="s">
        <v>1070</v>
      </c>
      <c r="AC69" s="573"/>
      <c r="AD69" s="573"/>
      <c r="AE69" s="573"/>
      <c r="AF69" s="573"/>
      <c r="AG69" s="573"/>
      <c r="AH69" s="573"/>
      <c r="AI69" s="573"/>
      <c r="AJ69" s="573"/>
      <c r="AK69" s="573"/>
      <c r="AL69" s="573"/>
      <c r="AM69" s="573"/>
      <c r="AN69" s="573"/>
      <c r="AO69" s="1252"/>
      <c r="AP69" s="498"/>
      <c r="AQ69" s="498"/>
      <c r="AR69" s="498"/>
      <c r="AS69" s="498"/>
      <c r="AT69" s="498"/>
      <c r="AU69" s="498"/>
    </row>
    <row r="70" spans="1:47">
      <c r="C70" s="573"/>
      <c r="D70" s="573"/>
      <c r="E70" s="558"/>
      <c r="F70" s="548" t="s">
        <v>671</v>
      </c>
      <c r="G70" s="573"/>
      <c r="H70" s="573"/>
      <c r="I70" s="573"/>
      <c r="J70" s="573"/>
      <c r="K70" s="41"/>
      <c r="L70" s="541">
        <f>V69/W69</f>
        <v>2.892021081533648</v>
      </c>
      <c r="M70" s="41"/>
      <c r="N70" s="573"/>
      <c r="O70" s="534"/>
      <c r="P70" s="560"/>
      <c r="Q70" s="570">
        <v>5</v>
      </c>
      <c r="V70" s="982"/>
      <c r="W70" s="982"/>
      <c r="AB70" s="1309" t="s">
        <v>1072</v>
      </c>
      <c r="AC70" s="573"/>
      <c r="AD70" s="573"/>
      <c r="AE70" s="573"/>
      <c r="AF70" s="573"/>
      <c r="AG70" s="573"/>
      <c r="AH70" s="573"/>
      <c r="AI70" s="573"/>
      <c r="AJ70" s="573"/>
      <c r="AK70" s="573"/>
      <c r="AL70" s="573"/>
      <c r="AM70" s="573"/>
      <c r="AN70" s="573"/>
      <c r="AO70" s="1252"/>
    </row>
    <row r="71" spans="1:47">
      <c r="C71" s="573"/>
      <c r="D71" s="573"/>
      <c r="E71" s="558"/>
      <c r="F71" s="573" t="s">
        <v>672</v>
      </c>
      <c r="G71" s="573"/>
      <c r="H71" s="573"/>
      <c r="I71" s="573"/>
      <c r="J71" s="573"/>
      <c r="K71" s="41"/>
      <c r="L71" s="541">
        <f>V69/W69</f>
        <v>2.892021081533648</v>
      </c>
      <c r="M71" s="41"/>
      <c r="N71" s="573"/>
      <c r="O71" s="534"/>
      <c r="P71" s="560"/>
      <c r="Q71" s="570">
        <v>5</v>
      </c>
      <c r="V71" s="982"/>
      <c r="W71" s="982"/>
      <c r="AB71" s="1309" t="s">
        <v>1087</v>
      </c>
      <c r="AC71" s="573"/>
      <c r="AD71" s="573"/>
      <c r="AE71" s="573"/>
      <c r="AF71" s="573"/>
      <c r="AG71" s="573"/>
      <c r="AH71" s="573"/>
      <c r="AI71" s="573"/>
      <c r="AJ71" s="573"/>
      <c r="AK71" s="573"/>
      <c r="AL71" s="573"/>
      <c r="AM71" s="573"/>
      <c r="AN71" s="573"/>
      <c r="AO71" s="1252"/>
    </row>
    <row r="72" spans="1:47">
      <c r="C72" s="573"/>
      <c r="D72" s="573"/>
      <c r="E72" s="558"/>
      <c r="F72" s="555" t="s">
        <v>673</v>
      </c>
      <c r="G72" s="573"/>
      <c r="H72" s="570"/>
      <c r="I72" s="570"/>
      <c r="J72" s="570"/>
      <c r="K72" s="41"/>
      <c r="L72" s="541">
        <f>V69/W69</f>
        <v>2.892021081533648</v>
      </c>
      <c r="M72" s="41"/>
      <c r="N72" s="573"/>
      <c r="O72" s="534"/>
      <c r="P72" s="560"/>
      <c r="Q72" s="570">
        <v>5</v>
      </c>
      <c r="V72" s="982"/>
      <c r="W72" s="982"/>
      <c r="Z72" s="498"/>
      <c r="AA72" s="498"/>
      <c r="AB72" s="1250"/>
      <c r="AC72" s="573"/>
      <c r="AD72" s="573"/>
      <c r="AE72" s="554"/>
      <c r="AF72" s="573"/>
      <c r="AG72" s="573"/>
      <c r="AH72" s="573"/>
      <c r="AI72" s="573"/>
      <c r="AJ72" s="573"/>
      <c r="AK72" s="573"/>
      <c r="AL72" s="573"/>
      <c r="AM72" s="573"/>
      <c r="AN72" s="573"/>
      <c r="AO72" s="1252"/>
    </row>
    <row r="73" spans="1:47" s="570" customFormat="1">
      <c r="A73" s="571"/>
      <c r="C73" s="573"/>
      <c r="D73" s="553"/>
      <c r="E73" s="558"/>
      <c r="F73" s="548" t="s">
        <v>670</v>
      </c>
      <c r="G73" s="573">
        <v>2030</v>
      </c>
      <c r="H73" s="573" t="s">
        <v>801</v>
      </c>
      <c r="I73" s="573"/>
      <c r="J73" s="573"/>
      <c r="L73" s="541">
        <f>V73/W73</f>
        <v>3.6166902516944339</v>
      </c>
      <c r="M73" s="560"/>
      <c r="N73" s="573">
        <v>16</v>
      </c>
      <c r="O73" s="534">
        <f>('O&amp;M'!$I$69+'O&amp;M'!$I$70)*$Z$7</f>
        <v>9.5086104003805458E-4</v>
      </c>
      <c r="P73" s="557">
        <f t="array" ref="P73">INDEX('Cars INVCOST'!$D$24:$Q$146,MATCH(TRA_Cars!$AR$10&amp;TRA_Cars!$AS$10,'Cars INVCOST'!$C$24:$C$146&amp;'Cars INVCOST'!$A$24:$A$146,0),MATCH(TRA_Cars!G73&amp;$AT$10,'Cars INVCOST'!$D$22:$Q$22&amp;'Cars INVCOST'!$D$23:$Q$23,0))*$AB$7/1000</f>
        <v>126.64719181762199</v>
      </c>
      <c r="Q73" s="570">
        <v>5</v>
      </c>
      <c r="S73" s="558"/>
      <c r="T73" s="570">
        <v>18000</v>
      </c>
      <c r="V73" s="980">
        <f t="array" ref="V73">INDEX('Eff SF'!$D$11:$Q$28,MATCH(TRA_Cars!$AS$10&amp;TRA_Cars!$AV$10,'Eff SF'!$A$11:$A$28&amp;'Eff SF'!$C$11:$C$28,0),MATCH(TRA_Cars!G73&amp;TRA_Cars!$AT$10,'Eff SF'!$D$9:$Q$9&amp;'Eff SF'!$D$10:$Q$10,0))*$AC$13</f>
        <v>1140.6471239243479</v>
      </c>
      <c r="W73" s="980">
        <f>W25</f>
        <v>315.384244860325</v>
      </c>
      <c r="Y73"/>
      <c r="Z73" s="498"/>
      <c r="AA73" s="548"/>
      <c r="AB73" s="1310"/>
      <c r="AC73" s="1305"/>
      <c r="AD73" s="1305"/>
      <c r="AE73" s="1305"/>
      <c r="AF73" s="1305"/>
      <c r="AG73" s="1305" t="s">
        <v>1067</v>
      </c>
      <c r="AH73" s="1305" t="s">
        <v>1068</v>
      </c>
      <c r="AI73" s="1305" t="s">
        <v>1013</v>
      </c>
      <c r="AJ73" s="1305" t="s">
        <v>1014</v>
      </c>
      <c r="AK73" s="1305" t="s">
        <v>1015</v>
      </c>
      <c r="AL73" s="1305" t="s">
        <v>1016</v>
      </c>
      <c r="AM73" s="1305" t="s">
        <v>1019</v>
      </c>
      <c r="AN73" s="1305" t="s">
        <v>1069</v>
      </c>
      <c r="AO73" s="1311"/>
      <c r="AP73"/>
      <c r="AQ73"/>
      <c r="AR73"/>
      <c r="AS73"/>
      <c r="AT73"/>
      <c r="AU73"/>
    </row>
    <row r="74" spans="1:47" ht="14.4">
      <c r="C74" s="573"/>
      <c r="D74" s="573"/>
      <c r="E74" s="558"/>
      <c r="F74" s="548" t="s">
        <v>671</v>
      </c>
      <c r="G74" s="570"/>
      <c r="I74" s="570"/>
      <c r="J74" s="570"/>
      <c r="K74" s="41"/>
      <c r="L74" s="541">
        <f>V73/W73</f>
        <v>3.6166902516944339</v>
      </c>
      <c r="M74" s="41"/>
      <c r="O74" s="534"/>
      <c r="P74" s="557"/>
      <c r="Q74" s="570">
        <v>5</v>
      </c>
      <c r="V74" s="982"/>
      <c r="W74" s="982"/>
      <c r="Z74" s="498"/>
      <c r="AA74" s="498"/>
      <c r="AB74" s="1310" t="s">
        <v>670</v>
      </c>
      <c r="AC74" s="1305" t="s">
        <v>1081</v>
      </c>
      <c r="AD74" s="1305"/>
      <c r="AE74" s="1305"/>
      <c r="AF74" s="1305"/>
      <c r="AG74" s="1319">
        <v>8.2883715800650598E-2</v>
      </c>
      <c r="AH74" s="1319">
        <v>8.2883715800650598E-2</v>
      </c>
      <c r="AI74" s="1319">
        <v>7.0803730281783203E-2</v>
      </c>
      <c r="AJ74" s="1319">
        <v>6.1969686632245599E-2</v>
      </c>
      <c r="AK74" s="1319">
        <v>6.0207008532722497E-2</v>
      </c>
      <c r="AL74" s="1319">
        <v>5.7203861002108197E-2</v>
      </c>
      <c r="AM74" s="1319">
        <v>9.2314399537270206E-2</v>
      </c>
      <c r="AN74" s="1319">
        <v>8.8790539575744204E-2</v>
      </c>
      <c r="AO74" s="1311" t="s">
        <v>670</v>
      </c>
    </row>
    <row r="75" spans="1:47" ht="14.4">
      <c r="C75" s="573"/>
      <c r="D75" s="553"/>
      <c r="E75" s="491"/>
      <c r="F75" s="573" t="s">
        <v>672</v>
      </c>
      <c r="G75" s="570"/>
      <c r="K75" s="41"/>
      <c r="L75" s="541">
        <f>V73/W73</f>
        <v>3.6166902516944339</v>
      </c>
      <c r="M75" s="41"/>
      <c r="O75" s="535"/>
      <c r="P75" s="557"/>
      <c r="Q75" s="570">
        <v>5</v>
      </c>
      <c r="V75" s="982"/>
      <c r="W75" s="982"/>
      <c r="AB75" s="1310" t="s">
        <v>671</v>
      </c>
      <c r="AC75" s="1305" t="s">
        <v>1082</v>
      </c>
      <c r="AD75" s="1305"/>
      <c r="AE75" s="1305"/>
      <c r="AF75" s="1305"/>
      <c r="AG75" s="1319">
        <v>0.32173074841238103</v>
      </c>
      <c r="AH75" s="1319">
        <v>0.32173074841238103</v>
      </c>
      <c r="AI75" s="1319">
        <v>0.27356727683991</v>
      </c>
      <c r="AJ75" s="1319">
        <v>0.24141521801670698</v>
      </c>
      <c r="AK75" s="1319">
        <v>0.252541836487992</v>
      </c>
      <c r="AL75" s="1319">
        <v>0.26033268430615203</v>
      </c>
      <c r="AM75" s="1319">
        <v>0.33682539714358101</v>
      </c>
      <c r="AN75" s="1319">
        <v>0.29151971493001599</v>
      </c>
      <c r="AO75" s="1311" t="s">
        <v>671</v>
      </c>
    </row>
    <row r="76" spans="1:47" ht="15" thickBot="1">
      <c r="C76" s="536"/>
      <c r="D76" s="536"/>
      <c r="E76" s="536"/>
      <c r="F76" s="536" t="s">
        <v>673</v>
      </c>
      <c r="G76" s="536"/>
      <c r="H76" s="536"/>
      <c r="I76" s="536"/>
      <c r="J76" s="536"/>
      <c r="K76" s="536"/>
      <c r="L76" s="925">
        <f>V73/W73</f>
        <v>3.6166902516944339</v>
      </c>
      <c r="M76" s="536"/>
      <c r="N76" s="536"/>
      <c r="O76" s="537"/>
      <c r="P76" s="576"/>
      <c r="Q76" s="536">
        <v>5</v>
      </c>
      <c r="R76" s="537"/>
      <c r="S76" s="1301"/>
      <c r="T76" s="536"/>
      <c r="U76" s="573"/>
      <c r="V76" s="984"/>
      <c r="W76" s="984"/>
      <c r="Z76" s="548"/>
      <c r="AA76" s="557"/>
      <c r="AB76" s="1310" t="s">
        <v>672</v>
      </c>
      <c r="AC76" s="1305" t="s">
        <v>1083</v>
      </c>
      <c r="AD76" s="1305"/>
      <c r="AE76" s="1305"/>
      <c r="AF76" s="1305"/>
      <c r="AG76" s="1319">
        <v>0.23792964753957199</v>
      </c>
      <c r="AH76" s="1319">
        <v>0.23792964753957199</v>
      </c>
      <c r="AI76" s="1319">
        <v>0.21568103798130098</v>
      </c>
      <c r="AJ76" s="1319">
        <v>0.21211349098651799</v>
      </c>
      <c r="AK76" s="1319">
        <v>0.24183386085504499</v>
      </c>
      <c r="AL76" s="1319">
        <v>0.26135283575041801</v>
      </c>
      <c r="AM76" s="1319">
        <v>0.212363641470244</v>
      </c>
      <c r="AN76" s="1319">
        <v>0.20718164715955498</v>
      </c>
      <c r="AO76" s="1311" t="s">
        <v>672</v>
      </c>
    </row>
    <row r="77" spans="1:47" s="570" customFormat="1" ht="14.4">
      <c r="A77" s="571"/>
      <c r="C77" s="548" t="str">
        <f>LEFT(F77,4)&amp;RIGHT(E77,5)&amp;"N"</f>
        <v>TPCAGSBL5N</v>
      </c>
      <c r="D77" s="553" t="s">
        <v>501</v>
      </c>
      <c r="E77" s="558" t="s">
        <v>675</v>
      </c>
      <c r="F77" s="548" t="s">
        <v>670</v>
      </c>
      <c r="G77" s="573">
        <v>2020</v>
      </c>
      <c r="H77" s="498" t="s">
        <v>801</v>
      </c>
      <c r="I77" s="499">
        <f>G77</f>
        <v>2020</v>
      </c>
      <c r="J77" s="553"/>
      <c r="L77" s="541">
        <f>V77/W77</f>
        <v>1.2263933611433107</v>
      </c>
      <c r="M77" s="553"/>
      <c r="N77" s="573">
        <v>16</v>
      </c>
      <c r="O77" s="535">
        <f>('O&amp;M'!$I$23+'O&amp;M'!$I$22)*TRA_Cars!$Z$7</f>
        <v>7.5508398661474794E-4</v>
      </c>
      <c r="P77" s="557">
        <f t="array" ref="P77">INDEX('Cars INVCOST'!$D$24:$Q$146,MATCH(TRA_Cars!$AR$11&amp;TRA_Cars!$AS$11,'Cars INVCOST'!$C$24:$C$146&amp;'Cars INVCOST'!$A$24:$A$146,0),MATCH(TRA_Cars!G77&amp;$AT$11,'Cars INVCOST'!$D$22:$Q$22&amp;'Cars INVCOST'!$D$23:$Q$23,0))*$AB$7/1000</f>
        <v>105.79641640360681</v>
      </c>
      <c r="Q77" s="570">
        <v>5</v>
      </c>
      <c r="S77" s="558"/>
      <c r="T77" s="570">
        <v>18000</v>
      </c>
      <c r="V77" s="980">
        <f t="array" ref="V77">INDEX('Eff SF'!$D$11:$Q$28,MATCH(TRA_Cars!$AS$11&amp;TRA_Cars!$AV$11,'Eff SF'!$A$11:$A$28&amp;'Eff SF'!$C$11:$C$28,0),MATCH(TRA_Cars!G77&amp;TRA_Cars!$AT$11,'Eff SF'!$D$9:$Q$9&amp;'Eff SF'!$D$10:$Q$10,0))*$AC$13</f>
        <v>386.78514410589889</v>
      </c>
      <c r="W77" s="980">
        <f>W17</f>
        <v>315.384244860325</v>
      </c>
      <c r="Z77" s="548"/>
      <c r="AA77" s="557"/>
      <c r="AB77" s="1310" t="s">
        <v>673</v>
      </c>
      <c r="AC77" s="1305" t="s">
        <v>1084</v>
      </c>
      <c r="AD77" s="1305"/>
      <c r="AE77" s="1305"/>
      <c r="AF77" s="1305"/>
      <c r="AG77" s="1319">
        <v>0.43745588824739701</v>
      </c>
      <c r="AH77" s="1319">
        <v>0.43745588824739701</v>
      </c>
      <c r="AI77" s="1319">
        <v>0.51994795489700596</v>
      </c>
      <c r="AJ77" s="1319">
        <v>0.56450160436452901</v>
      </c>
      <c r="AK77" s="1319">
        <v>0.52541729412424099</v>
      </c>
      <c r="AL77" s="1319">
        <v>0.50111061894132103</v>
      </c>
      <c r="AM77" s="1319">
        <v>0.43849656184890501</v>
      </c>
      <c r="AN77" s="1319">
        <v>0.49250809833468501</v>
      </c>
      <c r="AO77" s="1311" t="s">
        <v>673</v>
      </c>
      <c r="AP77"/>
      <c r="AQ77"/>
      <c r="AR77"/>
      <c r="AS77"/>
      <c r="AT77"/>
      <c r="AU77"/>
    </row>
    <row r="78" spans="1:47">
      <c r="C78" s="1244"/>
      <c r="D78" s="1244"/>
      <c r="E78" s="571"/>
      <c r="F78" s="548" t="s">
        <v>671</v>
      </c>
      <c r="G78" s="573"/>
      <c r="H78" s="498"/>
      <c r="I78" s="498"/>
      <c r="J78" s="499"/>
      <c r="L78" s="541">
        <f>V77/W77</f>
        <v>1.2263933611433107</v>
      </c>
      <c r="M78" s="27"/>
      <c r="N78" s="570"/>
      <c r="O78" s="534"/>
      <c r="P78" s="560"/>
      <c r="Q78" s="570">
        <v>5</v>
      </c>
      <c r="V78" s="980"/>
      <c r="W78" s="980"/>
      <c r="Z78" s="548"/>
      <c r="AA78" s="548"/>
      <c r="AB78" s="1250"/>
      <c r="AC78" s="573"/>
      <c r="AD78" s="573"/>
      <c r="AE78" s="573"/>
      <c r="AF78" s="573"/>
      <c r="AG78" s="573"/>
      <c r="AH78" s="573"/>
      <c r="AI78" s="553" t="s">
        <v>1080</v>
      </c>
      <c r="AJ78" s="553" t="s">
        <v>1085</v>
      </c>
      <c r="AK78" s="553" t="s">
        <v>1080</v>
      </c>
      <c r="AL78" s="553" t="s">
        <v>1085</v>
      </c>
      <c r="AM78" s="573"/>
      <c r="AN78" s="573"/>
      <c r="AO78" s="1252"/>
    </row>
    <row r="79" spans="1:47">
      <c r="C79" s="1244"/>
      <c r="E79" s="571"/>
      <c r="F79" s="573" t="s">
        <v>672</v>
      </c>
      <c r="G79" s="573"/>
      <c r="H79" s="498"/>
      <c r="I79" s="498"/>
      <c r="J79" s="498"/>
      <c r="L79" s="541">
        <f>V77/W77</f>
        <v>1.2263933611433107</v>
      </c>
      <c r="M79" s="27"/>
      <c r="N79" s="573"/>
      <c r="O79" s="534"/>
      <c r="P79" s="560"/>
      <c r="Q79" s="570">
        <v>5</v>
      </c>
      <c r="V79" s="980"/>
      <c r="W79" s="980"/>
      <c r="AB79" s="1250"/>
      <c r="AC79" s="558"/>
      <c r="AD79" s="558"/>
      <c r="AE79" s="1312" t="s">
        <v>1071</v>
      </c>
      <c r="AF79" s="573" t="s">
        <v>670</v>
      </c>
      <c r="AG79" s="560">
        <f>AVERAGE(AG74:AN74)</f>
        <v>7.4632082145396891E-2</v>
      </c>
      <c r="AH79" s="560">
        <f>AG79/AG$83</f>
        <v>6.9103779764256371E-2</v>
      </c>
      <c r="AI79" s="1306">
        <v>0.9</v>
      </c>
      <c r="AJ79" s="1306">
        <f>1-AI79</f>
        <v>9.9999999999999978E-2</v>
      </c>
      <c r="AK79" s="560">
        <f>AI79*AH79</f>
        <v>6.2193401787830734E-2</v>
      </c>
      <c r="AL79" s="560">
        <f>AJ79*AH79</f>
        <v>6.9103779764256353E-3</v>
      </c>
      <c r="AM79" s="573"/>
      <c r="AN79" s="573"/>
      <c r="AO79" s="1252"/>
    </row>
    <row r="80" spans="1:47">
      <c r="C80" s="1244"/>
      <c r="E80" s="571"/>
      <c r="F80" s="555" t="s">
        <v>673</v>
      </c>
      <c r="G80" s="573"/>
      <c r="H80" s="570"/>
      <c r="I80" s="570"/>
      <c r="J80" s="498"/>
      <c r="L80" s="541">
        <f>V77/W77</f>
        <v>1.2263933611433107</v>
      </c>
      <c r="M80" s="27"/>
      <c r="N80" s="573"/>
      <c r="O80" s="534"/>
      <c r="P80" s="560"/>
      <c r="Q80" s="570">
        <v>5</v>
      </c>
      <c r="V80" s="980"/>
      <c r="W80" s="980"/>
      <c r="Z80" s="548"/>
      <c r="AB80" s="1313"/>
      <c r="AC80" s="558"/>
      <c r="AD80" s="558"/>
      <c r="AE80" s="558"/>
      <c r="AF80" s="573" t="s">
        <v>671</v>
      </c>
      <c r="AG80" s="560">
        <f t="shared" ref="AG80:AG82" si="0">AVERAGE(AG75:AN75)</f>
        <v>0.28745795306864003</v>
      </c>
      <c r="AH80" s="560">
        <f t="shared" ref="AH80:AH82" si="1">AG80/AG$83</f>
        <v>0.26616477135985184</v>
      </c>
      <c r="AI80" s="1306">
        <v>0.9</v>
      </c>
      <c r="AJ80" s="1306">
        <f t="shared" ref="AJ80:AJ82" si="2">1-AI80</f>
        <v>9.9999999999999978E-2</v>
      </c>
      <c r="AK80" s="560">
        <f t="shared" ref="AK80:AK82" si="3">AI80*AH80</f>
        <v>0.23954829422386667</v>
      </c>
      <c r="AL80" s="560">
        <f t="shared" ref="AL80:AL82" si="4">AJ80*AH80</f>
        <v>2.6616477135985177E-2</v>
      </c>
      <c r="AM80" s="573"/>
      <c r="AN80" s="573"/>
      <c r="AO80" s="1252"/>
    </row>
    <row r="81" spans="1:47" s="570" customFormat="1">
      <c r="A81" s="571"/>
      <c r="C81" s="1244"/>
      <c r="E81" s="571"/>
      <c r="F81" s="548" t="s">
        <v>670</v>
      </c>
      <c r="G81" s="573">
        <v>2030</v>
      </c>
      <c r="H81" s="570" t="s">
        <v>801</v>
      </c>
      <c r="I81" s="499"/>
      <c r="L81" s="541">
        <f>V81/W81</f>
        <v>1.4085693409161937</v>
      </c>
      <c r="M81" s="557"/>
      <c r="N81" s="573">
        <v>16</v>
      </c>
      <c r="O81" s="535">
        <f>('O&amp;M'!$I$23+'O&amp;M'!$I$22)*TRA_Cars!$Z$7</f>
        <v>7.5508398661474794E-4</v>
      </c>
      <c r="P81" s="557">
        <f t="array" ref="P81">INDEX('Cars INVCOST'!$D$24:$Q$146,MATCH(TRA_Cars!$AR$11&amp;TRA_Cars!$AS$11,'Cars INVCOST'!$C$24:$C$146&amp;'Cars INVCOST'!$A$24:$A$146,0),MATCH(TRA_Cars!G81&amp;$AT$11,'Cars INVCOST'!$D$22:$Q$22&amp;'Cars INVCOST'!$D$23:$Q$23,0))*$AB$7/1000</f>
        <v>107.01560995368764</v>
      </c>
      <c r="Q81" s="570">
        <v>5</v>
      </c>
      <c r="S81" s="558"/>
      <c r="T81" s="570">
        <v>18000</v>
      </c>
      <c r="V81" s="980">
        <f t="array" ref="V81">INDEX('Eff SF'!$D$11:$Q$28,MATCH(TRA_Cars!$AS$11&amp;TRA_Cars!$AV$11,'Eff SF'!$A$11:$A$28&amp;'Eff SF'!$C$11:$C$28,0),MATCH(TRA_Cars!G81&amp;TRA_Cars!$AT$11,'Eff SF'!$D$9:$Q$9&amp;'Eff SF'!$D$10:$Q$10,0))*$AC$13</f>
        <v>444.24057791825942</v>
      </c>
      <c r="W81" s="980">
        <f>W17</f>
        <v>315.384244860325</v>
      </c>
      <c r="Z81" s="548"/>
      <c r="AB81" s="1313"/>
      <c r="AC81" s="558"/>
      <c r="AD81" s="558"/>
      <c r="AE81" s="558"/>
      <c r="AF81" s="573" t="s">
        <v>672</v>
      </c>
      <c r="AG81" s="560">
        <f t="shared" si="0"/>
        <v>0.22829822616027809</v>
      </c>
      <c r="AH81" s="560">
        <f t="shared" si="1"/>
        <v>0.21138724644470192</v>
      </c>
      <c r="AI81" s="1306">
        <v>0.8</v>
      </c>
      <c r="AJ81" s="1306">
        <f t="shared" si="2"/>
        <v>0.19999999999999996</v>
      </c>
      <c r="AK81" s="560">
        <f t="shared" si="3"/>
        <v>0.16910979715576155</v>
      </c>
      <c r="AL81" s="560">
        <f t="shared" si="4"/>
        <v>4.2277449288940373E-2</v>
      </c>
      <c r="AM81" s="573"/>
      <c r="AN81" s="573"/>
      <c r="AO81" s="1252"/>
      <c r="AP81"/>
      <c r="AQ81"/>
      <c r="AR81"/>
      <c r="AS81"/>
      <c r="AT81"/>
      <c r="AU81"/>
    </row>
    <row r="82" spans="1:47">
      <c r="C82" s="1244"/>
      <c r="E82" s="571"/>
      <c r="F82" s="548" t="s">
        <v>671</v>
      </c>
      <c r="G82" s="570"/>
      <c r="J82" s="499"/>
      <c r="K82" s="27"/>
      <c r="L82" s="541">
        <f>V81/W81</f>
        <v>1.4085693409161937</v>
      </c>
      <c r="M82" s="27"/>
      <c r="Q82" s="570">
        <v>5</v>
      </c>
      <c r="V82" s="982"/>
      <c r="W82" s="982"/>
      <c r="Z82" s="557"/>
      <c r="AA82" s="557"/>
      <c r="AB82" s="1250"/>
      <c r="AC82" s="573"/>
      <c r="AD82" s="573"/>
      <c r="AE82" s="573"/>
      <c r="AF82" s="573" t="s">
        <v>673</v>
      </c>
      <c r="AG82" s="560">
        <f t="shared" si="0"/>
        <v>0.48961173862568508</v>
      </c>
      <c r="AH82" s="560">
        <f t="shared" si="1"/>
        <v>0.45334420243118984</v>
      </c>
      <c r="AI82" s="1306">
        <v>0.05</v>
      </c>
      <c r="AJ82" s="1306">
        <f t="shared" si="2"/>
        <v>0.95</v>
      </c>
      <c r="AK82" s="560">
        <f t="shared" si="3"/>
        <v>2.2667210121559492E-2</v>
      </c>
      <c r="AL82" s="560">
        <f t="shared" si="4"/>
        <v>0.4306769923096303</v>
      </c>
      <c r="AM82" s="573"/>
      <c r="AN82" s="573"/>
      <c r="AO82" s="1252"/>
    </row>
    <row r="83" spans="1:47" s="498" customFormat="1">
      <c r="A83" s="3"/>
      <c r="C83" s="1244"/>
      <c r="E83" s="571"/>
      <c r="F83" s="573" t="s">
        <v>672</v>
      </c>
      <c r="G83" s="570"/>
      <c r="K83" s="27"/>
      <c r="L83" s="541">
        <f>V81/W81</f>
        <v>1.4085693409161937</v>
      </c>
      <c r="M83" s="27"/>
      <c r="N83" s="496"/>
      <c r="P83"/>
      <c r="Q83" s="570">
        <v>5</v>
      </c>
      <c r="S83" s="558"/>
      <c r="T83" s="570"/>
      <c r="U83" s="570"/>
      <c r="V83" s="982"/>
      <c r="W83" s="982"/>
      <c r="X83" s="511"/>
      <c r="Y83"/>
      <c r="Z83" s="557"/>
      <c r="AA83" s="570"/>
      <c r="AB83" s="1250"/>
      <c r="AC83" s="573"/>
      <c r="AD83" s="573"/>
      <c r="AE83" s="573"/>
      <c r="AF83" s="573"/>
      <c r="AG83" s="560">
        <f>SUM(AG79:AG82)</f>
        <v>1.08</v>
      </c>
      <c r="AH83" s="560">
        <f>SUM(AH79:AH82)</f>
        <v>1</v>
      </c>
      <c r="AI83" s="573"/>
      <c r="AJ83" s="573"/>
      <c r="AK83" s="560">
        <f>SUM(AK79:AK82)</f>
        <v>0.49351870328901848</v>
      </c>
      <c r="AL83" s="560">
        <f>SUM(AL79:AL82)</f>
        <v>0.50648129671098152</v>
      </c>
      <c r="AM83" s="560">
        <f>SUM(AK83:AL83)</f>
        <v>1</v>
      </c>
      <c r="AN83" s="573"/>
      <c r="AO83" s="1252"/>
      <c r="AP83"/>
      <c r="AQ83"/>
      <c r="AR83"/>
      <c r="AS83"/>
      <c r="AT83"/>
      <c r="AU83"/>
    </row>
    <row r="84" spans="1:47" s="498" customFormat="1" ht="13.8" thickBot="1">
      <c r="A84" s="3"/>
      <c r="C84" s="1358"/>
      <c r="D84" s="536"/>
      <c r="E84" s="536"/>
      <c r="F84" s="536" t="s">
        <v>673</v>
      </c>
      <c r="G84" s="536"/>
      <c r="H84" s="536"/>
      <c r="I84" s="536"/>
      <c r="J84" s="536"/>
      <c r="K84" s="536"/>
      <c r="L84" s="925">
        <f>V81/W81</f>
        <v>1.4085693409161937</v>
      </c>
      <c r="M84" s="536"/>
      <c r="N84" s="536"/>
      <c r="O84" s="537"/>
      <c r="P84" s="536"/>
      <c r="Q84" s="536">
        <v>5</v>
      </c>
      <c r="R84" s="537"/>
      <c r="S84" s="1301"/>
      <c r="T84" s="536"/>
      <c r="U84" s="573"/>
      <c r="V84" s="983"/>
      <c r="W84" s="983"/>
      <c r="X84" s="511"/>
      <c r="Y84"/>
      <c r="Z84" s="538"/>
      <c r="AA84" s="557"/>
      <c r="AB84" s="1250">
        <v>0.75</v>
      </c>
      <c r="AC84" s="573"/>
      <c r="AD84" s="573"/>
      <c r="AE84" s="573"/>
      <c r="AF84" s="573"/>
      <c r="AG84" s="573"/>
      <c r="AH84" s="573"/>
      <c r="AI84" s="573"/>
      <c r="AJ84" s="573"/>
      <c r="AK84" s="573"/>
      <c r="AL84" s="573"/>
      <c r="AM84" s="573"/>
      <c r="AN84" s="573"/>
      <c r="AO84" s="1252"/>
      <c r="AP84"/>
      <c r="AQ84"/>
      <c r="AR84"/>
      <c r="AS84"/>
      <c r="AT84"/>
      <c r="AU84"/>
    </row>
    <row r="85" spans="1:47" s="498" customFormat="1">
      <c r="A85" s="3"/>
      <c r="E85" s="571"/>
      <c r="S85" s="558"/>
      <c r="T85" s="570"/>
      <c r="U85" s="570"/>
      <c r="V85" s="570"/>
      <c r="W85" s="570"/>
      <c r="X85" s="511"/>
      <c r="Y85"/>
      <c r="Z85" s="538"/>
      <c r="AA85" s="538"/>
      <c r="AB85" s="1250"/>
      <c r="AC85" s="573"/>
      <c r="AD85" s="573"/>
      <c r="AE85" s="573"/>
      <c r="AF85" s="573"/>
      <c r="AG85" s="573"/>
      <c r="AH85" s="573"/>
      <c r="AI85" s="573"/>
      <c r="AJ85" s="573"/>
      <c r="AK85" s="573"/>
      <c r="AL85" s="573"/>
      <c r="AM85" s="573"/>
      <c r="AN85" s="573"/>
      <c r="AO85" s="1252"/>
      <c r="AP85"/>
      <c r="AQ85"/>
      <c r="AR85"/>
      <c r="AS85"/>
      <c r="AT85"/>
      <c r="AU85"/>
    </row>
    <row r="86" spans="1:47">
      <c r="Z86" s="538"/>
      <c r="AA86" s="538"/>
      <c r="AB86" s="1250"/>
      <c r="AC86" s="573"/>
      <c r="AD86" s="573"/>
      <c r="AE86" s="573"/>
      <c r="AF86" s="573"/>
      <c r="AG86" s="573"/>
      <c r="AH86" s="573"/>
      <c r="AI86" s="573"/>
      <c r="AJ86" s="573"/>
      <c r="AK86" s="573"/>
      <c r="AL86" s="573"/>
      <c r="AM86" s="573"/>
      <c r="AN86" s="573"/>
      <c r="AO86" s="1252"/>
    </row>
    <row r="87" spans="1:47">
      <c r="D87" s="9"/>
      <c r="N87" s="10"/>
      <c r="AB87" s="1250"/>
      <c r="AC87" s="558"/>
      <c r="AD87" s="491" t="s">
        <v>1075</v>
      </c>
      <c r="AE87" s="558"/>
      <c r="AF87" s="558"/>
      <c r="AG87" s="1316">
        <f>AK83</f>
        <v>0.49351870328901848</v>
      </c>
      <c r="AH87" s="573"/>
      <c r="AI87" s="573">
        <v>2020</v>
      </c>
      <c r="AJ87" s="553" t="s">
        <v>1077</v>
      </c>
      <c r="AK87" s="573"/>
      <c r="AL87" s="553" t="s">
        <v>1073</v>
      </c>
      <c r="AM87">
        <f>AG87/AG95</f>
        <v>2.8050771143232526E-4</v>
      </c>
      <c r="AN87" s="1316">
        <f>AM87/SUM(AM87:AM88)</f>
        <v>0.17257775613419157</v>
      </c>
      <c r="AO87" s="1252"/>
    </row>
    <row r="88" spans="1:47">
      <c r="D88" s="9"/>
      <c r="M88" s="512"/>
      <c r="N88" s="10"/>
      <c r="AB88" s="1250"/>
      <c r="AC88" s="558"/>
      <c r="AD88" s="491" t="s">
        <v>1076</v>
      </c>
      <c r="AE88" s="558"/>
      <c r="AF88" s="558"/>
      <c r="AG88" s="1316">
        <f>AL83</f>
        <v>0.50648129671098152</v>
      </c>
      <c r="AH88" s="573"/>
      <c r="AI88" s="573"/>
      <c r="AJ88" s="553" t="s">
        <v>1077</v>
      </c>
      <c r="AK88" s="573"/>
      <c r="AL88" s="553" t="s">
        <v>1085</v>
      </c>
      <c r="AM88">
        <f>AG88/AF95</f>
        <v>1.3448912838716256E-3</v>
      </c>
      <c r="AN88" s="1316">
        <f>AM88/SUM(AM87:AM88)</f>
        <v>0.82742224386580843</v>
      </c>
      <c r="AO88" s="1252"/>
    </row>
    <row r="89" spans="1:47">
      <c r="B89" s="18" t="s">
        <v>62</v>
      </c>
      <c r="C89" s="18"/>
      <c r="D89" s="19"/>
      <c r="E89" s="19"/>
      <c r="F89" s="19"/>
      <c r="G89" s="19"/>
      <c r="H89" s="19"/>
      <c r="I89" s="19"/>
      <c r="K89" s="500"/>
      <c r="L89" s="19"/>
      <c r="M89" s="500"/>
      <c r="AB89" s="1250"/>
      <c r="AC89" s="573"/>
      <c r="AD89" s="573"/>
      <c r="AE89" s="573"/>
      <c r="AF89" s="573"/>
      <c r="AG89" s="573"/>
      <c r="AH89" s="573"/>
      <c r="AI89" s="573">
        <v>2030</v>
      </c>
      <c r="AJ89" s="553" t="s">
        <v>1077</v>
      </c>
      <c r="AK89" s="573"/>
      <c r="AL89" s="553" t="s">
        <v>1073</v>
      </c>
      <c r="AM89" s="570">
        <f>AG87/AG96</f>
        <v>2.6017006254780916E-4</v>
      </c>
      <c r="AN89" s="1316">
        <f>AM89/SUM(AM89:AM90)</f>
        <v>0.18579913710926166</v>
      </c>
      <c r="AO89" s="1252"/>
    </row>
    <row r="90" spans="1:47" ht="13.8">
      <c r="B90" s="17" t="s">
        <v>63</v>
      </c>
      <c r="C90" s="17" t="s">
        <v>1</v>
      </c>
      <c r="D90" s="17" t="s">
        <v>64</v>
      </c>
      <c r="E90" s="17" t="s">
        <v>65</v>
      </c>
      <c r="F90" s="17" t="s">
        <v>66</v>
      </c>
      <c r="G90" s="17" t="s">
        <v>67</v>
      </c>
      <c r="H90" s="17" t="s">
        <v>68</v>
      </c>
      <c r="I90" s="17" t="s">
        <v>69</v>
      </c>
      <c r="AB90" s="1250"/>
      <c r="AC90" s="573"/>
      <c r="AD90" s="573"/>
      <c r="AE90" s="573"/>
      <c r="AF90" s="573"/>
      <c r="AG90" s="573"/>
      <c r="AH90" s="573"/>
      <c r="AI90" s="573"/>
      <c r="AJ90" s="553" t="s">
        <v>1077</v>
      </c>
      <c r="AK90" s="573"/>
      <c r="AL90" s="553" t="s">
        <v>1085</v>
      </c>
      <c r="AM90" s="570">
        <f>AG88/AF96</f>
        <v>1.1401058838082423E-3</v>
      </c>
      <c r="AN90" s="1316">
        <f>AM90/SUM(AM89:AM90)</f>
        <v>0.81420086289073823</v>
      </c>
      <c r="AO90" s="1252"/>
    </row>
    <row r="91" spans="1:47" ht="21" thickBot="1">
      <c r="B91" s="20" t="s">
        <v>70</v>
      </c>
      <c r="C91" s="20" t="s">
        <v>71</v>
      </c>
      <c r="D91" s="20" t="s">
        <v>72</v>
      </c>
      <c r="E91" s="20" t="s">
        <v>73</v>
      </c>
      <c r="F91" s="20" t="s">
        <v>74</v>
      </c>
      <c r="G91" s="20" t="s">
        <v>75</v>
      </c>
      <c r="H91" s="20" t="s">
        <v>76</v>
      </c>
      <c r="I91" s="20" t="s">
        <v>77</v>
      </c>
      <c r="AB91" s="1250"/>
      <c r="AC91" s="573"/>
      <c r="AD91" s="573"/>
      <c r="AE91" s="573"/>
      <c r="AF91" s="573"/>
      <c r="AG91" s="573"/>
      <c r="AH91" s="573"/>
      <c r="AI91" s="573"/>
      <c r="AJ91" s="573"/>
      <c r="AK91" s="573"/>
      <c r="AL91" s="573"/>
      <c r="AM91" s="573"/>
      <c r="AN91" s="573"/>
      <c r="AO91" s="1252"/>
    </row>
    <row r="92" spans="1:47">
      <c r="B92" s="21" t="s">
        <v>78</v>
      </c>
      <c r="C92" t="str">
        <f>C5</f>
        <v>TPCADSBL2N</v>
      </c>
      <c r="D92" s="538" t="str">
        <f>D5</f>
        <v>Transport Passengers Car - Diesel Engine - Blending 2 - Average size - New</v>
      </c>
      <c r="E92" s="543" t="s">
        <v>81</v>
      </c>
      <c r="F92" s="544" t="s">
        <v>82</v>
      </c>
      <c r="AB92" s="1250"/>
      <c r="AC92" s="553" t="s">
        <v>1086</v>
      </c>
      <c r="AD92" s="573"/>
      <c r="AE92" s="573"/>
      <c r="AF92" s="573"/>
      <c r="AG92" s="573"/>
      <c r="AH92" s="573"/>
      <c r="AI92" s="573"/>
      <c r="AJ92" s="573"/>
      <c r="AK92" s="573"/>
      <c r="AL92" s="573"/>
      <c r="AM92" s="573"/>
      <c r="AN92" s="573"/>
      <c r="AO92" s="1252"/>
    </row>
    <row r="93" spans="1:47" s="498" customFormat="1">
      <c r="A93" s="3"/>
      <c r="B93" s="502"/>
      <c r="C93" s="498" t="str">
        <f>C9</f>
        <v>TPCADSBL3N</v>
      </c>
      <c r="D93" s="538" t="str">
        <f>D9</f>
        <v>Transport Passengers Car - Diesel Engine - Blending 3 - Average size - New</v>
      </c>
      <c r="E93" s="543" t="s">
        <v>81</v>
      </c>
      <c r="F93" s="544" t="s">
        <v>82</v>
      </c>
      <c r="J93"/>
      <c r="S93" s="558"/>
      <c r="T93" s="570"/>
      <c r="U93" s="570"/>
      <c r="V93" s="570"/>
      <c r="W93" s="570"/>
      <c r="X93" s="511"/>
      <c r="Y93"/>
      <c r="Z93"/>
      <c r="AA93"/>
      <c r="AB93" s="1250"/>
      <c r="AC93" s="573"/>
      <c r="AD93" s="573"/>
      <c r="AE93" s="553" t="s">
        <v>1090</v>
      </c>
      <c r="AF93" s="548" t="s">
        <v>1092</v>
      </c>
      <c r="AG93" s="573" t="s">
        <v>1088</v>
      </c>
      <c r="AH93" s="573"/>
      <c r="AI93" s="573"/>
      <c r="AJ93" s="573"/>
      <c r="AK93" s="573"/>
      <c r="AL93" s="573"/>
      <c r="AM93" s="573"/>
      <c r="AN93" s="573"/>
      <c r="AO93" s="1252"/>
      <c r="AP93"/>
      <c r="AQ93"/>
      <c r="AR93"/>
      <c r="AS93"/>
      <c r="AT93"/>
      <c r="AU93"/>
    </row>
    <row r="94" spans="1:47" s="538" customFormat="1">
      <c r="A94" s="539"/>
      <c r="B94" s="543"/>
      <c r="C94" s="538" t="str">
        <f>C13</f>
        <v>TPCADSBL4N</v>
      </c>
      <c r="D94" s="538" t="str">
        <f>D13</f>
        <v>Transport Passengers Car - Diesel Engine - Blending 4 - Average size - New</v>
      </c>
      <c r="E94" s="543" t="s">
        <v>81</v>
      </c>
      <c r="F94" s="544" t="s">
        <v>82</v>
      </c>
      <c r="S94" s="558"/>
      <c r="T94" s="570"/>
      <c r="U94" s="570"/>
      <c r="V94" s="570"/>
      <c r="W94" s="570"/>
      <c r="Y94"/>
      <c r="Z94"/>
      <c r="AA94"/>
      <c r="AB94" s="1250"/>
      <c r="AC94" s="573">
        <v>2018</v>
      </c>
      <c r="AD94" s="573"/>
      <c r="AE94" s="554">
        <f>W17</f>
        <v>315.384244860325</v>
      </c>
      <c r="AF94" s="557">
        <f>V17</f>
        <v>326.7343756415039</v>
      </c>
      <c r="AG94" s="560">
        <f>V41</f>
        <v>1642.731341128916</v>
      </c>
      <c r="AH94" s="560">
        <f>AG94/AE94</f>
        <v>5.208666469234811</v>
      </c>
      <c r="AI94" s="573"/>
      <c r="AJ94" s="573"/>
      <c r="AK94" s="573"/>
      <c r="AL94" s="573"/>
      <c r="AM94" s="573"/>
      <c r="AN94" s="573"/>
      <c r="AO94" s="1252"/>
      <c r="AP94"/>
      <c r="AQ94"/>
      <c r="AR94"/>
      <c r="AS94"/>
      <c r="AT94"/>
      <c r="AU94"/>
    </row>
    <row r="95" spans="1:47" s="538" customFormat="1">
      <c r="A95" s="539"/>
      <c r="B95" s="543"/>
      <c r="C95" s="538" t="str">
        <f>C17</f>
        <v>TPCAGSBL2N</v>
      </c>
      <c r="D95" s="538" t="str">
        <f>D17</f>
        <v>Transport Passengers Car - Otto Engine - Blending 2 - Average size - New</v>
      </c>
      <c r="E95" s="543" t="s">
        <v>81</v>
      </c>
      <c r="F95" s="544" t="s">
        <v>82</v>
      </c>
      <c r="S95" s="558"/>
      <c r="T95" s="570"/>
      <c r="U95" s="570"/>
      <c r="V95" s="570"/>
      <c r="W95" s="570"/>
      <c r="Y95"/>
      <c r="Z95"/>
      <c r="AA95"/>
      <c r="AB95" s="1250"/>
      <c r="AC95" s="573">
        <v>2020</v>
      </c>
      <c r="AD95" s="553"/>
      <c r="AE95" s="554">
        <f>AE94</f>
        <v>315.384244860325</v>
      </c>
      <c r="AF95" s="557">
        <f>V33</f>
        <v>376.59646008928024</v>
      </c>
      <c r="AG95" s="560">
        <f>V45</f>
        <v>1759.37659884293</v>
      </c>
      <c r="AH95" s="560">
        <f>AG95/AE95</f>
        <v>5.5785177208903045</v>
      </c>
      <c r="AI95" s="573"/>
      <c r="AJ95" s="573"/>
      <c r="AK95" s="573"/>
      <c r="AL95" s="573"/>
      <c r="AM95" s="573"/>
      <c r="AN95" s="573"/>
      <c r="AO95" s="1252"/>
      <c r="AP95"/>
      <c r="AQ95"/>
      <c r="AR95"/>
      <c r="AS95"/>
      <c r="AT95"/>
      <c r="AU95"/>
    </row>
    <row r="96" spans="1:47" s="538" customFormat="1">
      <c r="A96" s="539"/>
      <c r="B96" s="543"/>
      <c r="C96" s="538" t="str">
        <f>C21</f>
        <v>TPCAGSBL3N</v>
      </c>
      <c r="D96" s="538" t="str">
        <f>D21</f>
        <v>Transport Passengers Car - Otto Engine - Blending 3 - Average size - New</v>
      </c>
      <c r="E96" s="543" t="s">
        <v>81</v>
      </c>
      <c r="F96" s="544" t="s">
        <v>82</v>
      </c>
      <c r="S96" s="558"/>
      <c r="T96" s="570"/>
      <c r="U96" s="570"/>
      <c r="V96" s="570"/>
      <c r="W96" s="570"/>
      <c r="Y96"/>
      <c r="Z96"/>
      <c r="AB96" s="1250"/>
      <c r="AC96" s="573">
        <v>2030</v>
      </c>
      <c r="AD96" s="553"/>
      <c r="AE96" s="554">
        <f>AE95</f>
        <v>315.384244860325</v>
      </c>
      <c r="AF96" s="557">
        <f>V37</f>
        <v>444.24057791825942</v>
      </c>
      <c r="AG96" s="560">
        <f>V49</f>
        <v>1896.9081163914811</v>
      </c>
      <c r="AH96" s="560">
        <f>AG96/AE96</f>
        <v>6.0145937766535216</v>
      </c>
      <c r="AI96" s="573"/>
      <c r="AJ96" s="573"/>
      <c r="AK96" s="573"/>
      <c r="AL96" s="573"/>
      <c r="AM96" s="573"/>
      <c r="AN96" s="573"/>
      <c r="AO96" s="1252"/>
      <c r="AQ96"/>
      <c r="AR96"/>
      <c r="AS96"/>
      <c r="AT96"/>
      <c r="AU96"/>
    </row>
    <row r="97" spans="1:47" s="538" customFormat="1">
      <c r="A97" s="539"/>
      <c r="B97" s="543"/>
      <c r="C97" s="538" t="str">
        <f>C25</f>
        <v>TPCAGSBL4N</v>
      </c>
      <c r="D97" s="538" t="str">
        <f>D25</f>
        <v>Transport Passengers Car - Otto Engine - Blending 4 - Average size - New</v>
      </c>
      <c r="E97" s="543" t="s">
        <v>81</v>
      </c>
      <c r="F97" s="544" t="s">
        <v>82</v>
      </c>
      <c r="S97" s="558"/>
      <c r="T97" s="570"/>
      <c r="U97" s="570"/>
      <c r="V97" s="570"/>
      <c r="W97" s="570"/>
      <c r="Y97"/>
      <c r="Z97"/>
      <c r="AA97"/>
      <c r="AB97" s="1250"/>
      <c r="AC97" s="573"/>
      <c r="AD97" s="556"/>
      <c r="AE97" s="573"/>
      <c r="AF97" s="573"/>
      <c r="AG97" s="573"/>
      <c r="AH97" s="573"/>
      <c r="AI97" s="573"/>
      <c r="AJ97" s="573"/>
      <c r="AK97" s="573"/>
      <c r="AL97" s="573"/>
      <c r="AM97" s="573"/>
      <c r="AN97" s="573"/>
      <c r="AO97" s="1252"/>
      <c r="AP97"/>
      <c r="AQ97"/>
      <c r="AR97"/>
      <c r="AS97"/>
      <c r="AT97"/>
      <c r="AU97"/>
    </row>
    <row r="98" spans="1:47" s="538" customFormat="1">
      <c r="A98" s="539"/>
      <c r="B98" s="543"/>
      <c r="C98" s="538" t="str">
        <f>C29</f>
        <v>TPCANGBL2N</v>
      </c>
      <c r="D98" s="538" t="str">
        <f>D29</f>
        <v>Transport Passengers Car - Gas Engine - Blending 2 - Average size - New</v>
      </c>
      <c r="E98" s="543" t="s">
        <v>81</v>
      </c>
      <c r="F98" s="544" t="s">
        <v>82</v>
      </c>
      <c r="S98" s="558"/>
      <c r="T98" s="570"/>
      <c r="U98" s="570"/>
      <c r="V98" s="570"/>
      <c r="W98" s="570"/>
      <c r="Y98"/>
      <c r="Z98"/>
      <c r="AA98"/>
      <c r="AB98" s="1250"/>
      <c r="AC98" s="573"/>
      <c r="AD98" s="573"/>
      <c r="AE98" s="573"/>
      <c r="AF98" s="573"/>
      <c r="AG98" s="573"/>
      <c r="AH98" s="573"/>
      <c r="AI98" s="573"/>
      <c r="AJ98" s="573"/>
      <c r="AK98" s="573"/>
      <c r="AL98" s="573"/>
      <c r="AM98" s="573"/>
      <c r="AN98" s="573"/>
      <c r="AO98" s="1252"/>
      <c r="AP98"/>
      <c r="AQ98"/>
      <c r="AR98"/>
      <c r="AS98"/>
      <c r="AT98"/>
      <c r="AU98"/>
    </row>
    <row r="99" spans="1:47" s="538" customFormat="1">
      <c r="A99" s="539"/>
      <c r="B99" s="543"/>
      <c r="C99" s="538" t="str">
        <f>C33</f>
        <v>TPCANGBL3N</v>
      </c>
      <c r="D99" s="538" t="str">
        <f>D33</f>
        <v>Transport Passengers Car - Gas Engine - Blending 3 - Average size - New</v>
      </c>
      <c r="E99" s="543" t="s">
        <v>81</v>
      </c>
      <c r="F99" s="544" t="s">
        <v>82</v>
      </c>
      <c r="S99" s="558"/>
      <c r="T99" s="570"/>
      <c r="U99" s="570"/>
      <c r="V99" s="570"/>
      <c r="W99" s="570"/>
      <c r="Y99"/>
      <c r="Z99"/>
      <c r="AA99"/>
      <c r="AB99" s="1250"/>
      <c r="AC99" s="573"/>
      <c r="AD99" s="573"/>
      <c r="AE99" s="573"/>
      <c r="AF99" s="573"/>
      <c r="AG99" s="573"/>
      <c r="AH99" s="573"/>
      <c r="AI99" s="573"/>
      <c r="AJ99" s="573"/>
      <c r="AK99" s="573"/>
      <c r="AL99" s="573"/>
      <c r="AM99" s="573"/>
      <c r="AN99" s="573"/>
      <c r="AO99" s="1252"/>
      <c r="AP99"/>
      <c r="AQ99"/>
      <c r="AR99"/>
      <c r="AS99"/>
      <c r="AT99"/>
      <c r="AU99"/>
    </row>
    <row r="100" spans="1:47" s="538" customFormat="1">
      <c r="A100" s="539"/>
      <c r="B100" s="543"/>
      <c r="C100" s="538" t="str">
        <f>C37</f>
        <v>TPCANGBL4N</v>
      </c>
      <c r="D100" s="538" t="str">
        <f>D37</f>
        <v>Transport Passengers Car - Gas Engine - Blending 4 - Average size - New</v>
      </c>
      <c r="E100" s="543" t="s">
        <v>81</v>
      </c>
      <c r="F100" s="544" t="s">
        <v>82</v>
      </c>
      <c r="S100" s="558"/>
      <c r="T100" s="570"/>
      <c r="U100" s="570"/>
      <c r="V100" s="570"/>
      <c r="W100" s="570"/>
      <c r="Y100"/>
      <c r="Z100"/>
      <c r="AA100"/>
      <c r="AB100" s="1250"/>
      <c r="AC100" s="573"/>
      <c r="AD100" s="573"/>
      <c r="AE100" s="573"/>
      <c r="AF100" s="1251"/>
      <c r="AG100" s="573"/>
      <c r="AH100" s="573"/>
      <c r="AI100" s="573"/>
      <c r="AJ100" s="573"/>
      <c r="AK100" s="573"/>
      <c r="AL100" s="573"/>
      <c r="AM100" s="573"/>
      <c r="AN100" s="573"/>
      <c r="AO100" s="1252"/>
      <c r="AP100"/>
      <c r="AQ100"/>
      <c r="AR100"/>
      <c r="AS100"/>
      <c r="AT100"/>
      <c r="AU100"/>
    </row>
    <row r="101" spans="1:47" s="498" customFormat="1">
      <c r="A101" s="3"/>
      <c r="B101" s="502"/>
      <c r="C101" s="19" t="str">
        <f>C41</f>
        <v>TPCAELCX1N</v>
      </c>
      <c r="D101" s="22" t="str">
        <f>D41</f>
        <v>Transport Passengers Car - Battery Electric Vehicle - Average battery size - New</v>
      </c>
      <c r="E101" s="21" t="s">
        <v>81</v>
      </c>
      <c r="F101" s="23" t="s">
        <v>82</v>
      </c>
      <c r="G101" s="23"/>
      <c r="H101" s="21"/>
      <c r="I101" s="24" t="s">
        <v>79</v>
      </c>
      <c r="J101" s="497"/>
      <c r="S101" s="558"/>
      <c r="T101" s="570"/>
      <c r="U101" s="570"/>
      <c r="V101" s="570"/>
      <c r="W101" s="570"/>
      <c r="X101" s="511"/>
      <c r="Y101"/>
      <c r="Z101"/>
      <c r="AA101"/>
      <c r="AB101" s="1250"/>
      <c r="AC101" s="573"/>
      <c r="AD101" s="573"/>
      <c r="AE101" s="573"/>
      <c r="AF101" s="1251"/>
      <c r="AG101" s="573"/>
      <c r="AH101" s="573"/>
      <c r="AI101" s="573"/>
      <c r="AJ101" s="573"/>
      <c r="AK101" s="573"/>
      <c r="AL101" s="573"/>
      <c r="AM101" s="573"/>
      <c r="AN101" s="573"/>
      <c r="AO101" s="1252"/>
      <c r="AP101"/>
      <c r="AQ101"/>
      <c r="AR101"/>
      <c r="AS101"/>
      <c r="AT101"/>
      <c r="AU101"/>
    </row>
    <row r="102" spans="1:47">
      <c r="B102" s="19"/>
      <c r="C102" s="500" t="str">
        <f>C53</f>
        <v>TPCAELCH2N</v>
      </c>
      <c r="D102" s="500" t="str">
        <f>D53</f>
        <v>Transport Passengers Car - Hybrid Electric Vehicle Gasoline 2 - Average size - New</v>
      </c>
      <c r="E102" s="502" t="s">
        <v>81</v>
      </c>
      <c r="F102" s="501" t="s">
        <v>82</v>
      </c>
      <c r="G102" s="501"/>
      <c r="H102" s="502"/>
      <c r="I102" s="497"/>
      <c r="J102" s="24"/>
      <c r="N102" s="10"/>
      <c r="AB102" s="1250"/>
      <c r="AC102" s="573"/>
      <c r="AD102" s="573"/>
      <c r="AE102" s="573"/>
      <c r="AF102" s="1251"/>
      <c r="AG102" s="573"/>
      <c r="AH102" s="573"/>
      <c r="AI102" s="573"/>
      <c r="AJ102" s="573"/>
      <c r="AK102" s="573"/>
      <c r="AL102" s="573"/>
      <c r="AM102" s="573"/>
      <c r="AN102" s="573"/>
      <c r="AO102" s="1252"/>
    </row>
    <row r="103" spans="1:47">
      <c r="B103" s="19"/>
      <c r="C103" s="500" t="str">
        <f>C57</f>
        <v>TPCAELCH3N</v>
      </c>
      <c r="D103" s="500" t="str">
        <f>D57</f>
        <v>Transport Passengers Car - Hybrid Electric Vehicle Gasoline 3 - Average size - New</v>
      </c>
      <c r="E103" s="502" t="s">
        <v>81</v>
      </c>
      <c r="F103" s="501" t="s">
        <v>82</v>
      </c>
      <c r="G103" s="501"/>
      <c r="H103" s="502"/>
      <c r="I103" s="497"/>
      <c r="N103" s="10"/>
      <c r="AB103" s="1250"/>
      <c r="AC103" s="573"/>
      <c r="AD103" s="573"/>
      <c r="AE103" s="573"/>
      <c r="AF103" s="573"/>
      <c r="AG103" s="573"/>
      <c r="AH103" s="573"/>
      <c r="AI103" s="573"/>
      <c r="AJ103" s="573"/>
      <c r="AK103" s="573"/>
      <c r="AL103" s="573"/>
      <c r="AM103" s="573"/>
      <c r="AN103" s="573"/>
      <c r="AO103" s="1252"/>
    </row>
    <row r="104" spans="1:47" ht="13.8" thickBot="1">
      <c r="B104" s="19"/>
      <c r="C104" s="500" t="str">
        <f>C61</f>
        <v>TPCAELCH4N</v>
      </c>
      <c r="D104" s="500" t="str">
        <f>D61</f>
        <v>Transport Passengers Car - Hybrid Electric Vehicle Gasoline 4 - Average size - New</v>
      </c>
      <c r="E104" s="502" t="s">
        <v>81</v>
      </c>
      <c r="F104" s="501" t="s">
        <v>82</v>
      </c>
      <c r="G104" s="501"/>
      <c r="H104" s="502"/>
      <c r="I104" s="497"/>
      <c r="N104" s="10"/>
      <c r="AB104" s="1314"/>
      <c r="AC104" s="536"/>
      <c r="AD104" s="536"/>
      <c r="AE104" s="536"/>
      <c r="AF104" s="536"/>
      <c r="AG104" s="536"/>
      <c r="AH104" s="536"/>
      <c r="AI104" s="536"/>
      <c r="AJ104" s="536"/>
      <c r="AK104" s="536"/>
      <c r="AL104" s="536"/>
      <c r="AM104" s="536"/>
      <c r="AN104" s="536"/>
      <c r="AO104" s="1315"/>
    </row>
    <row r="105" spans="1:47">
      <c r="C105" s="58" t="str">
        <f>C65</f>
        <v>TPCAH2GX1N</v>
      </c>
      <c r="D105" s="19" t="str">
        <f>D65</f>
        <v>Transport Passengers Car - Hydrogen Fuel-cell Electric Vehicle - Average size - New</v>
      </c>
      <c r="E105" s="21" t="s">
        <v>81</v>
      </c>
      <c r="F105" s="23" t="s">
        <v>82</v>
      </c>
      <c r="G105" s="19"/>
      <c r="H105" s="19"/>
      <c r="I105" s="24" t="s">
        <v>79</v>
      </c>
      <c r="N105" s="10"/>
    </row>
    <row r="106" spans="1:47">
      <c r="C106" s="3" t="str">
        <f>C77</f>
        <v>TPCAGSBL5N</v>
      </c>
      <c r="D106" s="498" t="str">
        <f>D77</f>
        <v>Transport Passengers Car - Flex-Fuel Ethanol - Average size - New</v>
      </c>
      <c r="E106" s="502" t="s">
        <v>81</v>
      </c>
      <c r="F106" s="501" t="s">
        <v>82</v>
      </c>
      <c r="I106" s="569" t="s">
        <v>79</v>
      </c>
      <c r="N106" s="10"/>
    </row>
    <row r="107" spans="1:47">
      <c r="N107" s="10"/>
    </row>
    <row r="108" spans="1:47">
      <c r="N108" s="10"/>
    </row>
    <row r="109" spans="1:47">
      <c r="N109" s="10"/>
    </row>
    <row r="110" spans="1:47">
      <c r="N110" s="10"/>
    </row>
    <row r="111" spans="1:47">
      <c r="N111" s="10"/>
    </row>
    <row r="112" spans="1:47">
      <c r="N112" s="10"/>
    </row>
    <row r="113" spans="14:14">
      <c r="N113" s="10"/>
    </row>
    <row r="114" spans="14:14">
      <c r="N114" s="10"/>
    </row>
    <row r="115" spans="14:14">
      <c r="N115" s="10"/>
    </row>
    <row r="116" spans="14:14">
      <c r="N116" s="10"/>
    </row>
    <row r="117" spans="14:14">
      <c r="N117" s="10"/>
    </row>
    <row r="118" spans="14:14">
      <c r="N118" s="10"/>
    </row>
    <row r="119" spans="14:14">
      <c r="N119" s="10"/>
    </row>
    <row r="120" spans="14:14">
      <c r="N120" s="10"/>
    </row>
    <row r="121" spans="14:14">
      <c r="N121" s="10"/>
    </row>
    <row r="122" spans="14:14">
      <c r="N122" s="10"/>
    </row>
    <row r="123" spans="14:14">
      <c r="N123" s="10"/>
    </row>
    <row r="124" spans="14:14">
      <c r="N124" s="10"/>
    </row>
    <row r="125" spans="14:14">
      <c r="N125" s="10"/>
    </row>
    <row r="126" spans="14:14">
      <c r="N126" s="10"/>
    </row>
    <row r="127" spans="14:14">
      <c r="N127" s="10"/>
    </row>
    <row r="128" spans="14:14">
      <c r="N128" s="10"/>
    </row>
    <row r="129" spans="14:14">
      <c r="N129" s="10"/>
    </row>
    <row r="130" spans="14:14">
      <c r="N130" s="10"/>
    </row>
    <row r="131" spans="14:14">
      <c r="N131" s="10"/>
    </row>
    <row r="132" spans="14:14">
      <c r="N132" s="10"/>
    </row>
    <row r="133" spans="14:14">
      <c r="N133" s="10"/>
    </row>
    <row r="134" spans="14:14">
      <c r="N134" s="10"/>
    </row>
    <row r="135" spans="14:14">
      <c r="N135" s="10"/>
    </row>
    <row r="136" spans="14:14">
      <c r="N136" s="10"/>
    </row>
    <row r="137" spans="14:14">
      <c r="N137" s="10"/>
    </row>
    <row r="138" spans="14:14">
      <c r="N138" s="10"/>
    </row>
    <row r="139" spans="14:14">
      <c r="N139" s="10"/>
    </row>
    <row r="140" spans="14:14">
      <c r="N140" s="10"/>
    </row>
    <row r="141" spans="14:14">
      <c r="N141" s="10"/>
    </row>
    <row r="142" spans="14:14">
      <c r="N142" s="10"/>
    </row>
    <row r="143" spans="14:14">
      <c r="N143" s="10"/>
    </row>
    <row r="144" spans="14:14">
      <c r="N144" s="10"/>
    </row>
    <row r="145" spans="14:14">
      <c r="N145" s="10"/>
    </row>
    <row r="146" spans="14:14">
      <c r="N146" s="10"/>
    </row>
    <row r="147" spans="14:14">
      <c r="N147" s="10"/>
    </row>
    <row r="148" spans="14:14">
      <c r="N148" s="10"/>
    </row>
    <row r="149" spans="14:14">
      <c r="N149" s="10"/>
    </row>
    <row r="150" spans="14:14">
      <c r="N150" s="10"/>
    </row>
    <row r="151" spans="14:14">
      <c r="N151" s="10"/>
    </row>
    <row r="152" spans="14:14">
      <c r="N152" s="10"/>
    </row>
    <row r="153" spans="14:14">
      <c r="N153" s="10"/>
    </row>
    <row r="154" spans="14:14">
      <c r="N154" s="10"/>
    </row>
    <row r="155" spans="14:14">
      <c r="N155" s="10"/>
    </row>
    <row r="156" spans="14:14">
      <c r="N156" s="10"/>
    </row>
    <row r="157" spans="14:14">
      <c r="N157" s="10"/>
    </row>
    <row r="158" spans="14:14">
      <c r="N158" s="10"/>
    </row>
    <row r="159" spans="14:14">
      <c r="N159" s="10"/>
    </row>
    <row r="160" spans="14:14">
      <c r="N160" s="10"/>
    </row>
    <row r="161" spans="14:14">
      <c r="N161" s="10"/>
    </row>
    <row r="162" spans="14:14">
      <c r="N162" s="10"/>
    </row>
    <row r="163" spans="14:14">
      <c r="N163" s="10"/>
    </row>
    <row r="164" spans="14:14">
      <c r="N164" s="10"/>
    </row>
    <row r="165" spans="14:14">
      <c r="N165" s="10"/>
    </row>
    <row r="166" spans="14:14">
      <c r="N166" s="10"/>
    </row>
    <row r="167" spans="14:14">
      <c r="N167" s="10"/>
    </row>
    <row r="168" spans="14:14">
      <c r="N168" s="10"/>
    </row>
    <row r="169" spans="14:14">
      <c r="N169" s="10"/>
    </row>
    <row r="170" spans="14:14">
      <c r="N170" s="10"/>
    </row>
    <row r="171" spans="14:14">
      <c r="N171" s="10"/>
    </row>
    <row r="172" spans="14:14">
      <c r="N172" s="10"/>
    </row>
    <row r="173" spans="14:14">
      <c r="N173" s="10"/>
    </row>
    <row r="174" spans="14:14">
      <c r="N174" s="10"/>
    </row>
    <row r="175" spans="14:14">
      <c r="N175" s="10"/>
    </row>
    <row r="176" spans="14:14">
      <c r="N176" s="10"/>
    </row>
    <row r="177" spans="14:14">
      <c r="N177" s="10"/>
    </row>
    <row r="178" spans="14:14">
      <c r="N178" s="10"/>
    </row>
    <row r="179" spans="14:14">
      <c r="N179" s="10"/>
    </row>
    <row r="180" spans="14:14">
      <c r="N180" s="10"/>
    </row>
    <row r="181" spans="14:14">
      <c r="N181" s="10"/>
    </row>
    <row r="182" spans="14:14">
      <c r="N182" s="10"/>
    </row>
    <row r="183" spans="14:14">
      <c r="N183" s="10"/>
    </row>
    <row r="184" spans="14:14">
      <c r="N184" s="10"/>
    </row>
    <row r="185" spans="14:14">
      <c r="N185" s="10"/>
    </row>
    <row r="186" spans="14:14">
      <c r="N186" s="10"/>
    </row>
    <row r="187" spans="14:14">
      <c r="N187" s="10"/>
    </row>
    <row r="188" spans="14:14">
      <c r="N188" s="10"/>
    </row>
    <row r="189" spans="14:14">
      <c r="N189" s="10"/>
    </row>
    <row r="190" spans="14:14">
      <c r="N190" s="10"/>
    </row>
    <row r="191" spans="14:14">
      <c r="N191" s="10"/>
    </row>
    <row r="192" spans="14:14">
      <c r="N192" s="10"/>
    </row>
    <row r="193" spans="14:14">
      <c r="N193" s="10"/>
    </row>
    <row r="194" spans="14:14">
      <c r="N194" s="10"/>
    </row>
    <row r="195" spans="14:14">
      <c r="N195" s="10"/>
    </row>
    <row r="196" spans="14:14">
      <c r="N196" s="10"/>
    </row>
    <row r="197" spans="14:14">
      <c r="N197" s="10"/>
    </row>
    <row r="198" spans="14:14">
      <c r="N198" s="10"/>
    </row>
    <row r="199" spans="14:14">
      <c r="N199" s="10"/>
    </row>
    <row r="200" spans="14:14">
      <c r="N200" s="10"/>
    </row>
    <row r="201" spans="14:14">
      <c r="N201" s="10"/>
    </row>
    <row r="202" spans="14:14">
      <c r="N202" s="10"/>
    </row>
    <row r="203" spans="14:14">
      <c r="N203" s="10"/>
    </row>
    <row r="204" spans="14:14">
      <c r="N204" s="10"/>
    </row>
    <row r="205" spans="14:14">
      <c r="N205" s="10"/>
    </row>
    <row r="206" spans="14:14">
      <c r="N206" s="10"/>
    </row>
    <row r="207" spans="14:14">
      <c r="N207" s="10"/>
    </row>
    <row r="208" spans="14:14">
      <c r="N208" s="10"/>
    </row>
    <row r="209" spans="14:14">
      <c r="N209" s="10"/>
    </row>
    <row r="210" spans="14:14">
      <c r="N210" s="10"/>
    </row>
  </sheetData>
  <mergeCells count="4">
    <mergeCell ref="AQ23:AT24"/>
    <mergeCell ref="Y6:AA6"/>
    <mergeCell ref="AB6:AC6"/>
    <mergeCell ref="Y11:AC11"/>
  </mergeCells>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S359"/>
  <sheetViews>
    <sheetView workbookViewId="0">
      <selection activeCell="P25" sqref="P25"/>
    </sheetView>
  </sheetViews>
  <sheetFormatPr defaultRowHeight="13.2"/>
  <cols>
    <col min="1" max="1" width="23.88671875" style="570" bestFit="1" customWidth="1"/>
    <col min="2" max="2" width="23.88671875" style="570" customWidth="1"/>
    <col min="3" max="3" width="19.44140625" style="570" bestFit="1" customWidth="1"/>
    <col min="4" max="18" width="11.6640625" style="570" customWidth="1"/>
  </cols>
  <sheetData>
    <row r="1" spans="1:2" s="570" customFormat="1"/>
    <row r="2" spans="1:2" s="570" customFormat="1"/>
    <row r="3" spans="1:2" s="570" customFormat="1" ht="17.399999999999999">
      <c r="A3" s="731" t="s">
        <v>787</v>
      </c>
      <c r="B3" s="548"/>
    </row>
    <row r="4" spans="1:2" s="570" customFormat="1"/>
    <row r="5" spans="1:2" s="570" customFormat="1">
      <c r="A5" s="548" t="s">
        <v>972</v>
      </c>
    </row>
    <row r="6" spans="1:2" s="570" customFormat="1"/>
    <row r="7" spans="1:2" s="570" customFormat="1">
      <c r="A7" s="548" t="s">
        <v>973</v>
      </c>
    </row>
    <row r="8" spans="1:2" s="570" customFormat="1"/>
    <row r="9" spans="1:2" s="570" customFormat="1">
      <c r="A9" s="548" t="s">
        <v>975</v>
      </c>
    </row>
    <row r="10" spans="1:2" s="570" customFormat="1"/>
    <row r="11" spans="1:2" s="570" customFormat="1">
      <c r="A11" s="548" t="s">
        <v>789</v>
      </c>
    </row>
    <row r="12" spans="1:2" s="570" customFormat="1">
      <c r="A12" s="548" t="s">
        <v>788</v>
      </c>
    </row>
    <row r="13" spans="1:2" s="570" customFormat="1"/>
    <row r="14" spans="1:2" s="570" customFormat="1"/>
    <row r="15" spans="1:2" s="570" customFormat="1">
      <c r="A15" s="1171">
        <v>1.1772337051589639</v>
      </c>
      <c r="B15" s="548" t="s">
        <v>969</v>
      </c>
    </row>
    <row r="16" spans="1:2">
      <c r="A16" s="683"/>
      <c r="B16" s="548" t="s">
        <v>970</v>
      </c>
    </row>
    <row r="17" spans="1:18" ht="15">
      <c r="A17" s="686"/>
      <c r="B17" s="686"/>
    </row>
    <row r="20" spans="1:18" ht="14.4" thickBot="1">
      <c r="A20" s="687"/>
      <c r="B20" s="687"/>
      <c r="C20" s="687"/>
      <c r="D20"/>
      <c r="E20"/>
      <c r="F20"/>
      <c r="G20"/>
      <c r="H20"/>
      <c r="I20"/>
      <c r="J20"/>
      <c r="K20"/>
      <c r="L20"/>
      <c r="M20"/>
      <c r="N20"/>
      <c r="O20"/>
      <c r="P20"/>
      <c r="Q20"/>
      <c r="R20"/>
    </row>
    <row r="21" spans="1:18" ht="18.600000000000001" thickBot="1">
      <c r="A21" s="688"/>
      <c r="B21" s="688"/>
      <c r="C21" s="688"/>
      <c r="D21" s="1492" t="s">
        <v>971</v>
      </c>
      <c r="E21" s="1493"/>
      <c r="F21" s="1493"/>
      <c r="G21" s="1493"/>
      <c r="H21" s="1493"/>
      <c r="I21" s="1493"/>
      <c r="J21" s="1493"/>
      <c r="K21" s="1493"/>
      <c r="L21" s="1493"/>
      <c r="M21" s="1493"/>
      <c r="N21" s="1493"/>
      <c r="O21" s="1493"/>
      <c r="P21" s="1493"/>
      <c r="Q21" s="1494"/>
      <c r="R21" s="689"/>
    </row>
    <row r="22" spans="1:18" ht="15" thickBot="1">
      <c r="A22" s="690"/>
      <c r="B22" s="690"/>
      <c r="C22" s="690" t="s">
        <v>776</v>
      </c>
      <c r="D22" s="691">
        <v>2010</v>
      </c>
      <c r="E22" s="733">
        <v>2015</v>
      </c>
      <c r="F22" s="744">
        <v>2020</v>
      </c>
      <c r="G22" s="744">
        <v>2020</v>
      </c>
      <c r="H22" s="744">
        <v>2020</v>
      </c>
      <c r="I22" s="732">
        <v>2025</v>
      </c>
      <c r="J22" s="732">
        <v>2025</v>
      </c>
      <c r="K22" s="732">
        <v>2025</v>
      </c>
      <c r="L22" s="732">
        <v>2030</v>
      </c>
      <c r="M22" s="732">
        <v>2030</v>
      </c>
      <c r="N22" s="732">
        <v>2030</v>
      </c>
      <c r="O22" s="732">
        <v>2045</v>
      </c>
      <c r="P22" s="732">
        <v>2045</v>
      </c>
      <c r="Q22" s="732">
        <v>2045</v>
      </c>
      <c r="R22" s="692"/>
    </row>
    <row r="23" spans="1:18" ht="15" thickBot="1">
      <c r="A23" s="742" t="s">
        <v>774</v>
      </c>
      <c r="B23" s="693" t="s">
        <v>775</v>
      </c>
      <c r="C23" s="694"/>
      <c r="D23" s="695" t="s">
        <v>96</v>
      </c>
      <c r="E23" s="697" t="s">
        <v>735</v>
      </c>
      <c r="F23" s="696" t="s">
        <v>734</v>
      </c>
      <c r="G23" s="697" t="s">
        <v>735</v>
      </c>
      <c r="H23" s="698" t="s">
        <v>736</v>
      </c>
      <c r="I23" s="696" t="s">
        <v>734</v>
      </c>
      <c r="J23" s="697" t="s">
        <v>735</v>
      </c>
      <c r="K23" s="698" t="s">
        <v>736</v>
      </c>
      <c r="L23" s="696" t="s">
        <v>734</v>
      </c>
      <c r="M23" s="697" t="s">
        <v>735</v>
      </c>
      <c r="N23" s="698" t="s">
        <v>736</v>
      </c>
      <c r="O23" s="696" t="s">
        <v>734</v>
      </c>
      <c r="P23" s="697" t="s">
        <v>735</v>
      </c>
      <c r="Q23" s="698" t="s">
        <v>736</v>
      </c>
      <c r="R23" s="699"/>
    </row>
    <row r="24" spans="1:18" ht="14.4">
      <c r="A24" s="735" t="s">
        <v>737</v>
      </c>
      <c r="B24" s="738" t="s">
        <v>777</v>
      </c>
      <c r="C24" s="700" t="s">
        <v>738</v>
      </c>
      <c r="D24" s="701">
        <v>15729.493943446098</v>
      </c>
      <c r="E24" s="703">
        <v>15837.016173824237</v>
      </c>
      <c r="F24" s="705">
        <v>16047.600786744046</v>
      </c>
      <c r="G24" s="703">
        <v>16945.845791020645</v>
      </c>
      <c r="H24" s="706">
        <v>17497.322314466383</v>
      </c>
      <c r="I24" s="705">
        <v>16202.245656512165</v>
      </c>
      <c r="J24" s="703">
        <v>16694.75046648979</v>
      </c>
      <c r="K24" s="706">
        <v>17359.397396223412</v>
      </c>
      <c r="L24" s="702">
        <v>16374.362022409872</v>
      </c>
      <c r="M24" s="703">
        <v>17100.08179689035</v>
      </c>
      <c r="N24" s="704">
        <v>17761.833119606512</v>
      </c>
      <c r="O24" s="705">
        <v>16010.902031703756</v>
      </c>
      <c r="P24" s="703">
        <v>17125.272160610781</v>
      </c>
      <c r="Q24" s="704">
        <v>18311.483117643635</v>
      </c>
      <c r="R24" s="707"/>
    </row>
    <row r="25" spans="1:18" ht="14.4">
      <c r="A25" s="734" t="s">
        <v>737</v>
      </c>
      <c r="B25" s="738" t="s">
        <v>777</v>
      </c>
      <c r="C25" s="708" t="s">
        <v>739</v>
      </c>
      <c r="D25" s="1172">
        <v>15273.051163286102</v>
      </c>
      <c r="E25" s="1173">
        <v>15219.613535412382</v>
      </c>
      <c r="F25" s="713">
        <v>15466.612574619634</v>
      </c>
      <c r="G25" s="1173">
        <v>16276.371754401047</v>
      </c>
      <c r="H25" s="1174">
        <v>16796.484205663102</v>
      </c>
      <c r="I25" s="713">
        <v>15602.435096719973</v>
      </c>
      <c r="J25" s="1173">
        <v>16275.044610005734</v>
      </c>
      <c r="K25" s="1174">
        <v>16923.873246453037</v>
      </c>
      <c r="L25" s="1175">
        <v>15759.681739207199</v>
      </c>
      <c r="M25" s="1173">
        <v>16463.939992875021</v>
      </c>
      <c r="N25" s="1176">
        <v>17133.5721240155</v>
      </c>
      <c r="O25" s="713">
        <v>15479.89577026806</v>
      </c>
      <c r="P25" s="1173">
        <v>16579.050429658888</v>
      </c>
      <c r="Q25" s="1176">
        <v>17773.217763273275</v>
      </c>
      <c r="R25" s="707"/>
    </row>
    <row r="26" spans="1:18" ht="14.4">
      <c r="A26" s="734" t="s">
        <v>737</v>
      </c>
      <c r="B26" s="1172" t="s">
        <v>777</v>
      </c>
      <c r="C26" s="708" t="s">
        <v>740</v>
      </c>
      <c r="D26" s="1172">
        <v>14792.355596318544</v>
      </c>
      <c r="E26" s="1173">
        <v>14786.888109000523</v>
      </c>
      <c r="F26" s="713">
        <v>15057.953913991265</v>
      </c>
      <c r="G26" s="1173">
        <v>15812.934124468518</v>
      </c>
      <c r="H26" s="1174">
        <v>16318.076240621102</v>
      </c>
      <c r="I26" s="713">
        <v>15188.917949513007</v>
      </c>
      <c r="J26" s="1173">
        <v>15831.281042345488</v>
      </c>
      <c r="K26" s="1174">
        <v>16469.545382405253</v>
      </c>
      <c r="L26" s="1175">
        <v>15333.079008086601</v>
      </c>
      <c r="M26" s="1173">
        <v>16027.621322235118</v>
      </c>
      <c r="N26" s="1176">
        <v>16702.332532263601</v>
      </c>
      <c r="O26" s="713">
        <v>15108.316484713458</v>
      </c>
      <c r="P26" s="1173">
        <v>16201.204741315831</v>
      </c>
      <c r="Q26" s="1176">
        <v>17400.499856516126</v>
      </c>
      <c r="R26" s="707"/>
    </row>
    <row r="27" spans="1:18" ht="14.4">
      <c r="A27" s="736" t="s">
        <v>741</v>
      </c>
      <c r="B27" s="739" t="s">
        <v>29</v>
      </c>
      <c r="C27" s="715" t="s">
        <v>738</v>
      </c>
      <c r="D27" s="716">
        <v>18151.876737388666</v>
      </c>
      <c r="E27" s="718">
        <v>18491.769299182648</v>
      </c>
      <c r="F27" s="720">
        <v>18566.914054992027</v>
      </c>
      <c r="G27" s="718">
        <v>19039.319652978469</v>
      </c>
      <c r="H27" s="721">
        <v>19678.549687937182</v>
      </c>
      <c r="I27" s="720">
        <v>18271.27490751346</v>
      </c>
      <c r="J27" s="718">
        <v>18869.245367404241</v>
      </c>
      <c r="K27" s="721">
        <v>19378.392408178101</v>
      </c>
      <c r="L27" s="717">
        <v>18240.293344026653</v>
      </c>
      <c r="M27" s="718">
        <v>19079.168884603168</v>
      </c>
      <c r="N27" s="719">
        <v>20035.366526792353</v>
      </c>
      <c r="O27" s="720">
        <v>17882.47523815605</v>
      </c>
      <c r="P27" s="718">
        <v>19096.032770585709</v>
      </c>
      <c r="Q27" s="719">
        <v>20227.283858850406</v>
      </c>
      <c r="R27" s="707"/>
    </row>
    <row r="28" spans="1:18" ht="14.4">
      <c r="A28" s="736" t="s">
        <v>741</v>
      </c>
      <c r="B28" s="739" t="s">
        <v>29</v>
      </c>
      <c r="C28" s="722" t="s">
        <v>739</v>
      </c>
      <c r="D28" s="716">
        <v>17445.081034171802</v>
      </c>
      <c r="E28" s="718">
        <v>17481.737649593604</v>
      </c>
      <c r="F28" s="720">
        <v>17613.210203415558</v>
      </c>
      <c r="G28" s="718">
        <v>18062.483980606674</v>
      </c>
      <c r="H28" s="721">
        <v>18656.655275924662</v>
      </c>
      <c r="I28" s="720">
        <v>17366.622407449566</v>
      </c>
      <c r="J28" s="718">
        <v>18224.098572576637</v>
      </c>
      <c r="K28" s="721">
        <v>18734.067882924865</v>
      </c>
      <c r="L28" s="717">
        <v>17351.841509996808</v>
      </c>
      <c r="M28" s="718">
        <v>18151.743336647556</v>
      </c>
      <c r="N28" s="719">
        <v>19070.525645426867</v>
      </c>
      <c r="O28" s="720">
        <v>17075.228211032219</v>
      </c>
      <c r="P28" s="718">
        <v>18258.153454991017</v>
      </c>
      <c r="Q28" s="719">
        <v>19405.085456959547</v>
      </c>
      <c r="R28" s="707"/>
    </row>
    <row r="29" spans="1:18" ht="15" thickBot="1">
      <c r="A29" s="736" t="s">
        <v>741</v>
      </c>
      <c r="B29" s="1177" t="s">
        <v>29</v>
      </c>
      <c r="C29" s="722" t="s">
        <v>740</v>
      </c>
      <c r="D29" s="716">
        <v>16751.099179754645</v>
      </c>
      <c r="E29" s="718">
        <v>16829.433524504559</v>
      </c>
      <c r="F29" s="720">
        <v>16996.570981648867</v>
      </c>
      <c r="G29" s="718">
        <v>17422.808018980832</v>
      </c>
      <c r="H29" s="721">
        <v>17996.04754409039</v>
      </c>
      <c r="I29" s="720">
        <v>16780.778114684777</v>
      </c>
      <c r="J29" s="718">
        <v>17590.436363174955</v>
      </c>
      <c r="K29" s="721">
        <v>18103.033002757631</v>
      </c>
      <c r="L29" s="717">
        <v>16767.862554198869</v>
      </c>
      <c r="M29" s="718">
        <v>17550.062326798117</v>
      </c>
      <c r="N29" s="719">
        <v>18452.397719226901</v>
      </c>
      <c r="O29" s="720">
        <v>16548.182244504456</v>
      </c>
      <c r="P29" s="718">
        <v>17718.031763855706</v>
      </c>
      <c r="Q29" s="719">
        <v>18875.804849942851</v>
      </c>
      <c r="R29" s="707"/>
    </row>
    <row r="30" spans="1:18" ht="15" hidden="1" customHeight="1">
      <c r="A30" s="736" t="s">
        <v>741</v>
      </c>
      <c r="B30" s="738" t="s">
        <v>426</v>
      </c>
      <c r="C30" s="700" t="s">
        <v>738</v>
      </c>
      <c r="D30" s="701"/>
      <c r="E30" s="703"/>
      <c r="F30" s="705"/>
      <c r="G30" s="703"/>
      <c r="H30" s="706"/>
      <c r="I30" s="705"/>
      <c r="J30" s="703"/>
      <c r="K30" s="706"/>
      <c r="L30" s="702"/>
      <c r="M30" s="703"/>
      <c r="N30" s="704"/>
      <c r="O30" s="705"/>
      <c r="P30" s="703"/>
      <c r="Q30" s="704"/>
      <c r="R30" s="707"/>
    </row>
    <row r="31" spans="1:18" ht="15" hidden="1" customHeight="1">
      <c r="A31" s="736" t="s">
        <v>741</v>
      </c>
      <c r="B31" s="738" t="s">
        <v>426</v>
      </c>
      <c r="C31" s="708" t="s">
        <v>739</v>
      </c>
      <c r="D31" s="1172"/>
      <c r="E31" s="1173"/>
      <c r="F31" s="713"/>
      <c r="G31" s="1173"/>
      <c r="H31" s="1174"/>
      <c r="I31" s="713"/>
      <c r="J31" s="1173"/>
      <c r="K31" s="1174"/>
      <c r="L31" s="1175"/>
      <c r="M31" s="1173"/>
      <c r="N31" s="1176"/>
      <c r="O31" s="713"/>
      <c r="P31" s="1173"/>
      <c r="Q31" s="1176"/>
      <c r="R31" s="707"/>
    </row>
    <row r="32" spans="1:18" ht="15.75" hidden="1" customHeight="1" thickBot="1">
      <c r="A32" s="736" t="s">
        <v>741</v>
      </c>
      <c r="B32" s="1172" t="s">
        <v>778</v>
      </c>
      <c r="C32" s="708" t="s">
        <v>740</v>
      </c>
      <c r="D32" s="1172"/>
      <c r="E32" s="1173"/>
      <c r="F32" s="713"/>
      <c r="G32" s="1173"/>
      <c r="H32" s="1174"/>
      <c r="I32" s="713"/>
      <c r="J32" s="1173"/>
      <c r="K32" s="1174"/>
      <c r="L32" s="1175"/>
      <c r="M32" s="1173"/>
      <c r="N32" s="1176"/>
      <c r="O32" s="713"/>
      <c r="P32" s="1173"/>
      <c r="Q32" s="1176"/>
      <c r="R32" s="707"/>
    </row>
    <row r="33" spans="1:18" ht="15" thickBot="1">
      <c r="A33" s="1178" t="s">
        <v>743</v>
      </c>
      <c r="B33" s="1179" t="s">
        <v>779</v>
      </c>
      <c r="C33" s="1180" t="s">
        <v>738</v>
      </c>
      <c r="D33" s="1181">
        <f>D24</f>
        <v>15729.493943446098</v>
      </c>
      <c r="E33" s="1181">
        <f t="shared" ref="E33:Q33" si="0">E24</f>
        <v>15837.016173824237</v>
      </c>
      <c r="F33" s="1181">
        <f t="shared" si="0"/>
        <v>16047.600786744046</v>
      </c>
      <c r="G33" s="1181">
        <f t="shared" si="0"/>
        <v>16945.845791020645</v>
      </c>
      <c r="H33" s="1181">
        <f t="shared" si="0"/>
        <v>17497.322314466383</v>
      </c>
      <c r="I33" s="1181">
        <f t="shared" si="0"/>
        <v>16202.245656512165</v>
      </c>
      <c r="J33" s="1181">
        <f t="shared" si="0"/>
        <v>16694.75046648979</v>
      </c>
      <c r="K33" s="1181">
        <f t="shared" si="0"/>
        <v>17359.397396223412</v>
      </c>
      <c r="L33" s="1181">
        <f t="shared" si="0"/>
        <v>16374.362022409872</v>
      </c>
      <c r="M33" s="1181">
        <f t="shared" si="0"/>
        <v>17100.08179689035</v>
      </c>
      <c r="N33" s="1181">
        <f t="shared" si="0"/>
        <v>17761.833119606512</v>
      </c>
      <c r="O33" s="1181">
        <f t="shared" si="0"/>
        <v>16010.902031703756</v>
      </c>
      <c r="P33" s="1181">
        <f t="shared" si="0"/>
        <v>17125.272160610781</v>
      </c>
      <c r="Q33" s="1181">
        <f t="shared" si="0"/>
        <v>18311.483117643635</v>
      </c>
      <c r="R33" s="707"/>
    </row>
    <row r="34" spans="1:18" ht="15" thickBot="1">
      <c r="A34" s="1178" t="s">
        <v>743</v>
      </c>
      <c r="B34" s="1179" t="s">
        <v>779</v>
      </c>
      <c r="C34" s="1182" t="s">
        <v>739</v>
      </c>
      <c r="D34" s="1181">
        <f t="shared" ref="D34:Q35" si="1">D25</f>
        <v>15273.051163286102</v>
      </c>
      <c r="E34" s="1181">
        <f t="shared" si="1"/>
        <v>15219.613535412382</v>
      </c>
      <c r="F34" s="1181">
        <f t="shared" si="1"/>
        <v>15466.612574619634</v>
      </c>
      <c r="G34" s="1181">
        <f t="shared" si="1"/>
        <v>16276.371754401047</v>
      </c>
      <c r="H34" s="1181">
        <f t="shared" si="1"/>
        <v>16796.484205663102</v>
      </c>
      <c r="I34" s="1181">
        <f t="shared" si="1"/>
        <v>15602.435096719973</v>
      </c>
      <c r="J34" s="1181">
        <f t="shared" si="1"/>
        <v>16275.044610005734</v>
      </c>
      <c r="K34" s="1181">
        <f t="shared" si="1"/>
        <v>16923.873246453037</v>
      </c>
      <c r="L34" s="1181">
        <f t="shared" si="1"/>
        <v>15759.681739207199</v>
      </c>
      <c r="M34" s="1181">
        <f t="shared" si="1"/>
        <v>16463.939992875021</v>
      </c>
      <c r="N34" s="1181">
        <f t="shared" si="1"/>
        <v>17133.5721240155</v>
      </c>
      <c r="O34" s="1181">
        <f t="shared" si="1"/>
        <v>15479.89577026806</v>
      </c>
      <c r="P34" s="1181">
        <f t="shared" si="1"/>
        <v>16579.050429658888</v>
      </c>
      <c r="Q34" s="1181">
        <f t="shared" si="1"/>
        <v>17773.217763273275</v>
      </c>
      <c r="R34" s="707"/>
    </row>
    <row r="35" spans="1:18" ht="15" thickBot="1">
      <c r="A35" s="1178" t="s">
        <v>743</v>
      </c>
      <c r="B35" s="1183" t="s">
        <v>779</v>
      </c>
      <c r="C35" s="1182" t="s">
        <v>740</v>
      </c>
      <c r="D35" s="1181">
        <f t="shared" si="1"/>
        <v>14792.355596318544</v>
      </c>
      <c r="E35" s="1181">
        <f t="shared" si="1"/>
        <v>14786.888109000523</v>
      </c>
      <c r="F35" s="1181">
        <f t="shared" si="1"/>
        <v>15057.953913991265</v>
      </c>
      <c r="G35" s="1181">
        <f t="shared" si="1"/>
        <v>15812.934124468518</v>
      </c>
      <c r="H35" s="1181">
        <f t="shared" si="1"/>
        <v>16318.076240621102</v>
      </c>
      <c r="I35" s="1181">
        <f t="shared" si="1"/>
        <v>15188.917949513007</v>
      </c>
      <c r="J35" s="1181">
        <f t="shared" si="1"/>
        <v>15831.281042345488</v>
      </c>
      <c r="K35" s="1181">
        <f t="shared" si="1"/>
        <v>16469.545382405253</v>
      </c>
      <c r="L35" s="1181">
        <f t="shared" si="1"/>
        <v>15333.079008086601</v>
      </c>
      <c r="M35" s="1181">
        <f t="shared" si="1"/>
        <v>16027.621322235118</v>
      </c>
      <c r="N35" s="1181">
        <f t="shared" si="1"/>
        <v>16702.332532263601</v>
      </c>
      <c r="O35" s="1181">
        <f t="shared" si="1"/>
        <v>15108.316484713458</v>
      </c>
      <c r="P35" s="1181">
        <f t="shared" si="1"/>
        <v>16201.204741315831</v>
      </c>
      <c r="Q35" s="1181">
        <f t="shared" si="1"/>
        <v>17400.499856516126</v>
      </c>
      <c r="R35" s="707"/>
    </row>
    <row r="36" spans="1:18" ht="15" thickBot="1">
      <c r="A36" s="1184" t="s">
        <v>744</v>
      </c>
      <c r="B36" s="1185" t="s">
        <v>157</v>
      </c>
      <c r="C36" s="1186" t="s">
        <v>738</v>
      </c>
      <c r="D36" s="1187">
        <f>D24*$A$15</f>
        <v>18517.290435318529</v>
      </c>
      <c r="E36" s="1187">
        <f t="shared" ref="E36:Q36" si="2">E24*$A$15</f>
        <v>18643.869228973545</v>
      </c>
      <c r="F36" s="1187">
        <f t="shared" si="2"/>
        <v>18891.776533090597</v>
      </c>
      <c r="G36" s="1187">
        <f t="shared" si="2"/>
        <v>19949.220827615667</v>
      </c>
      <c r="H36" s="1187">
        <f t="shared" si="2"/>
        <v>20598.437578619876</v>
      </c>
      <c r="I36" s="1187">
        <f t="shared" si="2"/>
        <v>19073.829686111545</v>
      </c>
      <c r="J36" s="1187">
        <f t="shared" si="2"/>
        <v>19653.622948370117</v>
      </c>
      <c r="K36" s="1187">
        <f t="shared" si="2"/>
        <v>20436.067716082958</v>
      </c>
      <c r="L36" s="1187">
        <f t="shared" si="2"/>
        <v>19276.450873255799</v>
      </c>
      <c r="M36" s="1187">
        <f t="shared" si="2"/>
        <v>20130.79265227458</v>
      </c>
      <c r="N36" s="1187">
        <f t="shared" si="2"/>
        <v>20909.828613809572</v>
      </c>
      <c r="O36" s="1187">
        <f t="shared" si="2"/>
        <v>18848.573521719794</v>
      </c>
      <c r="P36" s="1187">
        <f t="shared" si="2"/>
        <v>20160.447597491482</v>
      </c>
      <c r="Q36" s="1187">
        <f t="shared" si="2"/>
        <v>21556.895117539432</v>
      </c>
      <c r="R36" s="723"/>
    </row>
    <row r="37" spans="1:18" ht="15" thickBot="1">
      <c r="A37" s="1184" t="s">
        <v>744</v>
      </c>
      <c r="B37" s="1185" t="s">
        <v>157</v>
      </c>
      <c r="C37" s="1188" t="s">
        <v>739</v>
      </c>
      <c r="D37" s="1187">
        <f t="shared" ref="D37:Q38" si="3">D25*$A$15</f>
        <v>17979.950610037722</v>
      </c>
      <c r="E37" s="1187">
        <f t="shared" si="3"/>
        <v>17917.042033381036</v>
      </c>
      <c r="F37" s="1187">
        <f t="shared" si="3"/>
        <v>18207.817627477692</v>
      </c>
      <c r="G37" s="1187">
        <f t="shared" si="3"/>
        <v>19161.093426978248</v>
      </c>
      <c r="H37" s="1187">
        <f t="shared" si="3"/>
        <v>19773.38733507679</v>
      </c>
      <c r="I37" s="1187">
        <f t="shared" si="3"/>
        <v>18367.712478413912</v>
      </c>
      <c r="J37" s="1187">
        <f t="shared" si="3"/>
        <v>19159.531067864475</v>
      </c>
      <c r="K37" s="1187">
        <f t="shared" si="3"/>
        <v>19923.354007562571</v>
      </c>
      <c r="L37" s="1187">
        <f t="shared" si="3"/>
        <v>18552.828525972953</v>
      </c>
      <c r="M37" s="1187">
        <f t="shared" si="3"/>
        <v>19381.905079327105</v>
      </c>
      <c r="N37" s="1187">
        <f t="shared" si="3"/>
        <v>20170.218594163107</v>
      </c>
      <c r="O37" s="1187">
        <f t="shared" si="3"/>
        <v>18223.455053107242</v>
      </c>
      <c r="P37" s="1187">
        <f t="shared" si="3"/>
        <v>19517.416965324643</v>
      </c>
      <c r="Q37" s="1187">
        <f t="shared" si="3"/>
        <v>20923.231000055308</v>
      </c>
      <c r="R37" s="723"/>
    </row>
    <row r="38" spans="1:18" ht="15" thickBot="1">
      <c r="A38" s="1184" t="s">
        <v>744</v>
      </c>
      <c r="B38" s="1189" t="s">
        <v>157</v>
      </c>
      <c r="C38" s="1188" t="s">
        <v>740</v>
      </c>
      <c r="D38" s="1187">
        <f t="shared" si="3"/>
        <v>17414.059586683015</v>
      </c>
      <c r="E38" s="1187">
        <f t="shared" si="3"/>
        <v>17407.62307632971</v>
      </c>
      <c r="F38" s="1187">
        <f t="shared" si="3"/>
        <v>17726.730878280858</v>
      </c>
      <c r="G38" s="1187">
        <f t="shared" si="3"/>
        <v>18615.519028782692</v>
      </c>
      <c r="H38" s="1187">
        <f t="shared" si="3"/>
        <v>19210.189353812835</v>
      </c>
      <c r="I38" s="1187">
        <f t="shared" si="3"/>
        <v>17880.906155060689</v>
      </c>
      <c r="J38" s="1187">
        <f t="shared" si="3"/>
        <v>18637.117638893244</v>
      </c>
      <c r="K38" s="1187">
        <f t="shared" si="3"/>
        <v>19388.50393281264</v>
      </c>
      <c r="L38" s="1187">
        <f t="shared" si="3"/>
        <v>18050.617412184918</v>
      </c>
      <c r="M38" s="1187">
        <f t="shared" si="3"/>
        <v>18868.256034059661</v>
      </c>
      <c r="N38" s="1187">
        <f t="shared" si="3"/>
        <v>19662.548811753779</v>
      </c>
      <c r="O38" s="1187">
        <f t="shared" si="3"/>
        <v>17786.019394013474</v>
      </c>
      <c r="P38" s="1187">
        <f t="shared" si="3"/>
        <v>19072.604285658206</v>
      </c>
      <c r="Q38" s="1187">
        <f t="shared" si="3"/>
        <v>20484.454917704497</v>
      </c>
      <c r="R38" s="723"/>
    </row>
    <row r="39" spans="1:18" ht="14.4">
      <c r="A39" s="734" t="s">
        <v>745</v>
      </c>
      <c r="B39" s="738" t="s">
        <v>777</v>
      </c>
      <c r="C39" s="700" t="s">
        <v>738</v>
      </c>
      <c r="D39" s="701">
        <v>15651.004974710957</v>
      </c>
      <c r="E39" s="703">
        <v>15978.364466915013</v>
      </c>
      <c r="F39" s="705">
        <v>16158.652835089406</v>
      </c>
      <c r="G39" s="703">
        <v>17062.220048584972</v>
      </c>
      <c r="H39" s="706">
        <v>17605.848047022271</v>
      </c>
      <c r="I39" s="705">
        <v>16277.928791645476</v>
      </c>
      <c r="J39" s="703">
        <v>16775.709356686282</v>
      </c>
      <c r="K39" s="706">
        <v>17445.26873664555</v>
      </c>
      <c r="L39" s="702">
        <v>16427.500937901896</v>
      </c>
      <c r="M39" s="703">
        <v>17158.376400357352</v>
      </c>
      <c r="N39" s="704">
        <v>17820.520739434429</v>
      </c>
      <c r="O39" s="705">
        <v>16057.758881184925</v>
      </c>
      <c r="P39" s="703">
        <v>17174.604754083099</v>
      </c>
      <c r="Q39" s="704">
        <v>18348.918484227408</v>
      </c>
      <c r="R39" s="707"/>
    </row>
    <row r="40" spans="1:18" ht="14.4">
      <c r="A40" s="734" t="s">
        <v>745</v>
      </c>
      <c r="B40" s="738" t="s">
        <v>777</v>
      </c>
      <c r="C40" s="708" t="s">
        <v>739</v>
      </c>
      <c r="D40" s="1172">
        <v>14767.060791138178</v>
      </c>
      <c r="E40" s="1173">
        <v>15066.128617928614</v>
      </c>
      <c r="F40" s="713">
        <v>15562.431315633066</v>
      </c>
      <c r="G40" s="1173">
        <v>16376.671634776671</v>
      </c>
      <c r="H40" s="1174">
        <v>16889.98715720285</v>
      </c>
      <c r="I40" s="713">
        <v>15671.460941975291</v>
      </c>
      <c r="J40" s="1173">
        <v>16343.228349997897</v>
      </c>
      <c r="K40" s="1174">
        <v>16996.586004963916</v>
      </c>
      <c r="L40" s="1175">
        <v>15809.79488129038</v>
      </c>
      <c r="M40" s="1173">
        <v>16518.521397370361</v>
      </c>
      <c r="N40" s="1176">
        <v>17188.543526618141</v>
      </c>
      <c r="O40" s="713">
        <v>15526.335242029494</v>
      </c>
      <c r="P40" s="1173">
        <v>16627.648456771625</v>
      </c>
      <c r="Q40" s="1176">
        <v>17811.666805171139</v>
      </c>
      <c r="R40" s="707"/>
    </row>
    <row r="41" spans="1:18" ht="15" thickBot="1">
      <c r="A41" s="734" t="s">
        <v>745</v>
      </c>
      <c r="B41" s="1172" t="s">
        <v>777</v>
      </c>
      <c r="C41" s="708" t="s">
        <v>740</v>
      </c>
      <c r="D41" s="1172">
        <v>14354.242924007254</v>
      </c>
      <c r="E41" s="1173">
        <v>14658.446811952143</v>
      </c>
      <c r="F41" s="713">
        <v>15141.658561933527</v>
      </c>
      <c r="G41" s="1173">
        <v>15900.615275568138</v>
      </c>
      <c r="H41" s="1174">
        <v>16399.675625405474</v>
      </c>
      <c r="I41" s="713">
        <v>15246.960271310165</v>
      </c>
      <c r="J41" s="1173">
        <v>15888.69178519528</v>
      </c>
      <c r="K41" s="1174">
        <v>16531.11474702468</v>
      </c>
      <c r="L41" s="1175">
        <v>15378.909190234528</v>
      </c>
      <c r="M41" s="1173">
        <v>16077.515553165042</v>
      </c>
      <c r="N41" s="1176">
        <v>16752.653639310985</v>
      </c>
      <c r="O41" s="713">
        <v>15153.78736153958</v>
      </c>
      <c r="P41" s="1173">
        <v>16248.653603794613</v>
      </c>
      <c r="Q41" s="1176">
        <v>17438.950307148869</v>
      </c>
      <c r="R41" s="707"/>
    </row>
    <row r="42" spans="1:18" ht="14.4">
      <c r="A42" s="734" t="s">
        <v>746</v>
      </c>
      <c r="B42" s="738" t="s">
        <v>780</v>
      </c>
      <c r="C42" s="700" t="s">
        <v>738</v>
      </c>
      <c r="D42" s="701">
        <v>30623.414186147369</v>
      </c>
      <c r="E42" s="703">
        <v>27350.301350736845</v>
      </c>
      <c r="F42" s="705">
        <v>24720.117943095287</v>
      </c>
      <c r="G42" s="703">
        <v>24226.662097752684</v>
      </c>
      <c r="H42" s="706">
        <v>23890.650792947887</v>
      </c>
      <c r="I42" s="705">
        <v>21593.897285229788</v>
      </c>
      <c r="J42" s="703">
        <v>21428.742567871675</v>
      </c>
      <c r="K42" s="706">
        <v>22635.21988388582</v>
      </c>
      <c r="L42" s="702">
        <v>21024.983607139722</v>
      </c>
      <c r="M42" s="703">
        <v>21784.429554769038</v>
      </c>
      <c r="N42" s="704">
        <v>22349.148794763991</v>
      </c>
      <c r="O42" s="705">
        <v>20551.700750333712</v>
      </c>
      <c r="P42" s="703">
        <v>21161.1496953674</v>
      </c>
      <c r="Q42" s="704">
        <v>21961.73268596776</v>
      </c>
      <c r="R42" s="723"/>
    </row>
    <row r="43" spans="1:18" ht="14.4">
      <c r="A43" s="734" t="s">
        <v>746</v>
      </c>
      <c r="B43" s="738" t="s">
        <v>780</v>
      </c>
      <c r="C43" s="708" t="s">
        <v>739</v>
      </c>
      <c r="D43" s="1172">
        <v>22415.611387254499</v>
      </c>
      <c r="E43" s="1173">
        <v>23003.713872842112</v>
      </c>
      <c r="F43" s="713">
        <v>22583.893691377794</v>
      </c>
      <c r="G43" s="1173">
        <v>22238.532324369138</v>
      </c>
      <c r="H43" s="1174">
        <v>22039.55381623748</v>
      </c>
      <c r="I43" s="713">
        <v>20314.564698763286</v>
      </c>
      <c r="J43" s="1173">
        <v>20418.575331541426</v>
      </c>
      <c r="K43" s="1174">
        <v>21564.731843531958</v>
      </c>
      <c r="L43" s="1175">
        <v>19876.886597860179</v>
      </c>
      <c r="M43" s="1173">
        <v>20602.909526806165</v>
      </c>
      <c r="N43" s="1176">
        <v>21188.786281318542</v>
      </c>
      <c r="O43" s="713">
        <v>19464.444571569384</v>
      </c>
      <c r="P43" s="1173">
        <v>20133.136138894482</v>
      </c>
      <c r="Q43" s="1176">
        <v>20994.582509409633</v>
      </c>
      <c r="R43" s="723"/>
    </row>
    <row r="44" spans="1:18" ht="14.4">
      <c r="A44" s="734" t="s">
        <v>746</v>
      </c>
      <c r="B44" s="1172" t="s">
        <v>780</v>
      </c>
      <c r="C44" s="708" t="s">
        <v>740</v>
      </c>
      <c r="D44" s="1172">
        <v>22488.807331568933</v>
      </c>
      <c r="E44" s="1173">
        <v>22581.75211284211</v>
      </c>
      <c r="F44" s="713">
        <v>21061.216642292755</v>
      </c>
      <c r="G44" s="1173">
        <v>20821.247047099492</v>
      </c>
      <c r="H44" s="1174">
        <v>20731.413601792821</v>
      </c>
      <c r="I44" s="713">
        <v>19302.513365254865</v>
      </c>
      <c r="J44" s="1173">
        <v>19431.294297620192</v>
      </c>
      <c r="K44" s="1174">
        <v>20539.453035088398</v>
      </c>
      <c r="L44" s="1175">
        <v>18983.624432279197</v>
      </c>
      <c r="M44" s="1173">
        <v>19711.311442125636</v>
      </c>
      <c r="N44" s="1176">
        <v>20321.676725538822</v>
      </c>
      <c r="O44" s="713">
        <v>18869.72121276351</v>
      </c>
      <c r="P44" s="1173">
        <v>19566.300991729051</v>
      </c>
      <c r="Q44" s="1176">
        <v>20453.233344896329</v>
      </c>
      <c r="R44" s="723"/>
    </row>
    <row r="45" spans="1:18" ht="14.4">
      <c r="A45" s="736" t="s">
        <v>747</v>
      </c>
      <c r="B45" s="739" t="s">
        <v>29</v>
      </c>
      <c r="C45" s="715" t="s">
        <v>738</v>
      </c>
      <c r="D45" s="716">
        <v>18034.708844625442</v>
      </c>
      <c r="E45" s="718">
        <v>18342.017195373915</v>
      </c>
      <c r="F45" s="720">
        <v>18394.960369400542</v>
      </c>
      <c r="G45" s="718">
        <v>18833.764143483724</v>
      </c>
      <c r="H45" s="721">
        <v>19488.803448887313</v>
      </c>
      <c r="I45" s="720">
        <v>18097.612797707858</v>
      </c>
      <c r="J45" s="718">
        <v>18658.691413450135</v>
      </c>
      <c r="K45" s="721">
        <v>19181.529813535177</v>
      </c>
      <c r="L45" s="717">
        <v>18004.32034717621</v>
      </c>
      <c r="M45" s="718">
        <v>18851.600228886455</v>
      </c>
      <c r="N45" s="719">
        <v>19821.812883116483</v>
      </c>
      <c r="O45" s="720">
        <v>17680.980485492517</v>
      </c>
      <c r="P45" s="718">
        <v>18896.76171190563</v>
      </c>
      <c r="Q45" s="719">
        <v>20055.231385241215</v>
      </c>
      <c r="R45" s="707"/>
    </row>
    <row r="46" spans="1:18" ht="14.4">
      <c r="A46" s="736" t="s">
        <v>747</v>
      </c>
      <c r="B46" s="739" t="s">
        <v>29</v>
      </c>
      <c r="C46" s="722" t="s">
        <v>739</v>
      </c>
      <c r="D46" s="716">
        <v>16901.121992167016</v>
      </c>
      <c r="E46" s="718">
        <v>17078.300343414616</v>
      </c>
      <c r="F46" s="720">
        <v>17466.035958212269</v>
      </c>
      <c r="G46" s="718">
        <v>17886.409513148788</v>
      </c>
      <c r="H46" s="721">
        <v>18494.068814658454</v>
      </c>
      <c r="I46" s="720">
        <v>17221.53992656415</v>
      </c>
      <c r="J46" s="718">
        <v>18029.111688282748</v>
      </c>
      <c r="K46" s="721">
        <v>18551.539145515857</v>
      </c>
      <c r="L46" s="717">
        <v>17153.74731388464</v>
      </c>
      <c r="M46" s="718">
        <v>17960.913677224016</v>
      </c>
      <c r="N46" s="719">
        <v>18891.773741328077</v>
      </c>
      <c r="O46" s="720">
        <v>16908.456758138665</v>
      </c>
      <c r="P46" s="718">
        <v>18093.329180292585</v>
      </c>
      <c r="Q46" s="719">
        <v>19263.650693749598</v>
      </c>
      <c r="R46" s="707"/>
    </row>
    <row r="47" spans="1:18" ht="14.4">
      <c r="A47" s="736" t="s">
        <v>747</v>
      </c>
      <c r="B47" s="1177" t="s">
        <v>29</v>
      </c>
      <c r="C47" s="722" t="s">
        <v>740</v>
      </c>
      <c r="D47" s="716">
        <v>16285.901898663013</v>
      </c>
      <c r="E47" s="718">
        <v>16480.458691465243</v>
      </c>
      <c r="F47" s="720">
        <v>16865.85127193305</v>
      </c>
      <c r="G47" s="718">
        <v>17266.471053531601</v>
      </c>
      <c r="H47" s="721">
        <v>17851.626255200099</v>
      </c>
      <c r="I47" s="720">
        <v>16649.943009620412</v>
      </c>
      <c r="J47" s="718">
        <v>17415.527148491536</v>
      </c>
      <c r="K47" s="721">
        <v>17939.2690038088</v>
      </c>
      <c r="L47" s="717">
        <v>16594.567933967635</v>
      </c>
      <c r="M47" s="718">
        <v>17383.275162934922</v>
      </c>
      <c r="N47" s="719">
        <v>18296.37990744667</v>
      </c>
      <c r="O47" s="720">
        <v>16405.413700150129</v>
      </c>
      <c r="P47" s="718">
        <v>17577.037161074128</v>
      </c>
      <c r="Q47" s="719">
        <v>18755.570442068736</v>
      </c>
      <c r="R47" s="707"/>
    </row>
    <row r="48" spans="1:18" ht="14.4">
      <c r="A48" s="736" t="s">
        <v>748</v>
      </c>
      <c r="B48" s="739" t="s">
        <v>781</v>
      </c>
      <c r="C48" s="715" t="s">
        <v>738</v>
      </c>
      <c r="D48" s="716">
        <v>33412.58667374737</v>
      </c>
      <c r="E48" s="718">
        <v>30015.510421736843</v>
      </c>
      <c r="F48" s="720">
        <v>27191.474878992813</v>
      </c>
      <c r="G48" s="718">
        <v>26703.078990645947</v>
      </c>
      <c r="H48" s="721">
        <v>26331.461041842071</v>
      </c>
      <c r="I48" s="720">
        <v>23927.319282433942</v>
      </c>
      <c r="J48" s="718">
        <v>23976.204474225258</v>
      </c>
      <c r="K48" s="721">
        <v>24121.681895479367</v>
      </c>
      <c r="L48" s="717">
        <v>22795.062235582118</v>
      </c>
      <c r="M48" s="718">
        <v>23247.563229373813</v>
      </c>
      <c r="N48" s="719">
        <v>23884.70330518483</v>
      </c>
      <c r="O48" s="720">
        <v>21661.946496838875</v>
      </c>
      <c r="P48" s="718">
        <v>22481.914618591862</v>
      </c>
      <c r="Q48" s="719">
        <v>23275.385100322594</v>
      </c>
      <c r="R48" s="707"/>
    </row>
    <row r="49" spans="1:18" ht="14.4">
      <c r="A49" s="736" t="s">
        <v>748</v>
      </c>
      <c r="B49" s="739" t="s">
        <v>781</v>
      </c>
      <c r="C49" s="722" t="s">
        <v>739</v>
      </c>
      <c r="D49" s="716">
        <v>24682.229311310493</v>
      </c>
      <c r="E49" s="718">
        <v>25185.226292842108</v>
      </c>
      <c r="F49" s="720">
        <v>24668.345200870612</v>
      </c>
      <c r="G49" s="718">
        <v>24325.895011217664</v>
      </c>
      <c r="H49" s="721">
        <v>24098.947673051967</v>
      </c>
      <c r="I49" s="720">
        <v>22294.78620409733</v>
      </c>
      <c r="J49" s="718">
        <v>22681.788996835166</v>
      </c>
      <c r="K49" s="721">
        <v>22881.931819090951</v>
      </c>
      <c r="L49" s="717">
        <v>21381.664185361016</v>
      </c>
      <c r="M49" s="718">
        <v>21846.466011612003</v>
      </c>
      <c r="N49" s="719">
        <v>22490.791122164628</v>
      </c>
      <c r="O49" s="720">
        <v>20408.898541181392</v>
      </c>
      <c r="P49" s="718">
        <v>21252.498899429029</v>
      </c>
      <c r="Q49" s="719">
        <v>22111.224696261688</v>
      </c>
      <c r="R49" s="707"/>
    </row>
    <row r="50" spans="1:18" ht="15" thickBot="1">
      <c r="A50" s="736" t="s">
        <v>748</v>
      </c>
      <c r="B50" s="1177" t="s">
        <v>781</v>
      </c>
      <c r="C50" s="722" t="s">
        <v>740</v>
      </c>
      <c r="D50" s="716">
        <v>24580.656742908399</v>
      </c>
      <c r="E50" s="718">
        <v>24582.064207342104</v>
      </c>
      <c r="F50" s="720">
        <v>22943.093396983208</v>
      </c>
      <c r="G50" s="718">
        <v>22704.290649165654</v>
      </c>
      <c r="H50" s="721">
        <v>22592.543897687472</v>
      </c>
      <c r="I50" s="720">
        <v>21082.297699783856</v>
      </c>
      <c r="J50" s="718">
        <v>21481.454036422409</v>
      </c>
      <c r="K50" s="721">
        <v>21728.665341923472</v>
      </c>
      <c r="L50" s="717">
        <v>20347.695956109266</v>
      </c>
      <c r="M50" s="718">
        <v>20837.039642432002</v>
      </c>
      <c r="N50" s="719">
        <v>21501.106724197532</v>
      </c>
      <c r="O50" s="720">
        <v>19734.259280128936</v>
      </c>
      <c r="P50" s="718">
        <v>20584.577680918639</v>
      </c>
      <c r="Q50" s="719">
        <v>21474.257003996994</v>
      </c>
      <c r="R50" s="707"/>
    </row>
    <row r="51" spans="1:18" ht="14.4" hidden="1">
      <c r="A51" s="734" t="s">
        <v>749</v>
      </c>
      <c r="B51" s="738"/>
      <c r="C51" s="700" t="s">
        <v>738</v>
      </c>
      <c r="D51" s="701"/>
      <c r="E51" s="703"/>
      <c r="F51" s="705"/>
      <c r="G51" s="703"/>
      <c r="H51" s="706"/>
      <c r="I51" s="705"/>
      <c r="J51" s="703"/>
      <c r="K51" s="706"/>
      <c r="L51" s="702"/>
      <c r="M51" s="703"/>
      <c r="N51" s="704"/>
      <c r="O51" s="705"/>
      <c r="P51" s="703"/>
      <c r="Q51" s="704"/>
      <c r="R51" s="707"/>
    </row>
    <row r="52" spans="1:18" ht="14.4" hidden="1">
      <c r="A52" s="734"/>
      <c r="B52" s="738"/>
      <c r="C52" s="708" t="s">
        <v>739</v>
      </c>
      <c r="D52" s="1172"/>
      <c r="E52" s="1173"/>
      <c r="F52" s="713"/>
      <c r="G52" s="1173"/>
      <c r="H52" s="1174"/>
      <c r="I52" s="713"/>
      <c r="J52" s="1173"/>
      <c r="K52" s="1174"/>
      <c r="L52" s="1175"/>
      <c r="M52" s="1173"/>
      <c r="N52" s="1176"/>
      <c r="O52" s="713"/>
      <c r="P52" s="1173"/>
      <c r="Q52" s="1176"/>
      <c r="R52" s="707"/>
    </row>
    <row r="53" spans="1:18" ht="14.4" hidden="1">
      <c r="A53" s="734"/>
      <c r="B53" s="1172"/>
      <c r="C53" s="708" t="s">
        <v>740</v>
      </c>
      <c r="D53" s="1172"/>
      <c r="E53" s="1173"/>
      <c r="F53" s="713"/>
      <c r="G53" s="1173"/>
      <c r="H53" s="1174"/>
      <c r="I53" s="713"/>
      <c r="J53" s="1173"/>
      <c r="K53" s="1174"/>
      <c r="L53" s="1175"/>
      <c r="M53" s="1173"/>
      <c r="N53" s="1176"/>
      <c r="O53" s="713"/>
      <c r="P53" s="1173"/>
      <c r="Q53" s="1176"/>
      <c r="R53" s="707"/>
    </row>
    <row r="54" spans="1:18" ht="14.4" hidden="1">
      <c r="A54" s="736" t="s">
        <v>750</v>
      </c>
      <c r="B54" s="739"/>
      <c r="C54" s="715" t="s">
        <v>738</v>
      </c>
      <c r="D54" s="716"/>
      <c r="E54" s="718"/>
      <c r="F54" s="720"/>
      <c r="G54" s="718"/>
      <c r="H54" s="721"/>
      <c r="I54" s="720"/>
      <c r="J54" s="718"/>
      <c r="K54" s="721"/>
      <c r="L54" s="717"/>
      <c r="M54" s="718"/>
      <c r="N54" s="719"/>
      <c r="O54" s="720"/>
      <c r="P54" s="718"/>
      <c r="Q54" s="719"/>
      <c r="R54" s="707"/>
    </row>
    <row r="55" spans="1:18" ht="14.4" hidden="1">
      <c r="A55" s="736"/>
      <c r="B55" s="739"/>
      <c r="C55" s="722" t="s">
        <v>739</v>
      </c>
      <c r="D55" s="716"/>
      <c r="E55" s="718"/>
      <c r="F55" s="720"/>
      <c r="G55" s="718"/>
      <c r="H55" s="721"/>
      <c r="I55" s="720"/>
      <c r="J55" s="718"/>
      <c r="K55" s="721"/>
      <c r="L55" s="717"/>
      <c r="M55" s="718"/>
      <c r="N55" s="719"/>
      <c r="O55" s="720"/>
      <c r="P55" s="718"/>
      <c r="Q55" s="719"/>
      <c r="R55" s="707"/>
    </row>
    <row r="56" spans="1:18" ht="15" hidden="1" thickBot="1">
      <c r="A56" s="736"/>
      <c r="B56" s="1177"/>
      <c r="C56" s="722" t="s">
        <v>740</v>
      </c>
      <c r="D56" s="716"/>
      <c r="E56" s="718"/>
      <c r="F56" s="720"/>
      <c r="G56" s="718"/>
      <c r="H56" s="721"/>
      <c r="I56" s="720"/>
      <c r="J56" s="718"/>
      <c r="K56" s="721"/>
      <c r="L56" s="717"/>
      <c r="M56" s="718"/>
      <c r="N56" s="719"/>
      <c r="O56" s="720"/>
      <c r="P56" s="718"/>
      <c r="Q56" s="719"/>
      <c r="R56" s="707"/>
    </row>
    <row r="57" spans="1:18" ht="14.4" hidden="1">
      <c r="A57" s="734" t="s">
        <v>751</v>
      </c>
      <c r="B57" s="738"/>
      <c r="C57" s="700" t="s">
        <v>738</v>
      </c>
      <c r="D57" s="701"/>
      <c r="E57" s="703"/>
      <c r="F57" s="705"/>
      <c r="G57" s="703"/>
      <c r="H57" s="706"/>
      <c r="I57" s="705"/>
      <c r="J57" s="703"/>
      <c r="K57" s="706"/>
      <c r="L57" s="702"/>
      <c r="M57" s="703"/>
      <c r="N57" s="704"/>
      <c r="O57" s="705"/>
      <c r="P57" s="703"/>
      <c r="Q57" s="704"/>
      <c r="R57" s="707"/>
    </row>
    <row r="58" spans="1:18" ht="14.4" hidden="1">
      <c r="A58" s="734"/>
      <c r="B58" s="738"/>
      <c r="C58" s="708" t="s">
        <v>739</v>
      </c>
      <c r="D58" s="1172"/>
      <c r="E58" s="1173"/>
      <c r="F58" s="713"/>
      <c r="G58" s="1173"/>
      <c r="H58" s="1174"/>
      <c r="I58" s="713"/>
      <c r="J58" s="1173"/>
      <c r="K58" s="1174"/>
      <c r="L58" s="1175"/>
      <c r="M58" s="1173"/>
      <c r="N58" s="1176"/>
      <c r="O58" s="713"/>
      <c r="P58" s="1173"/>
      <c r="Q58" s="1176"/>
      <c r="R58" s="707"/>
    </row>
    <row r="59" spans="1:18" ht="14.4" hidden="1">
      <c r="A59" s="734"/>
      <c r="B59" s="1172"/>
      <c r="C59" s="708" t="s">
        <v>740</v>
      </c>
      <c r="D59" s="1172"/>
      <c r="E59" s="1173"/>
      <c r="F59" s="713"/>
      <c r="G59" s="1173"/>
      <c r="H59" s="1174"/>
      <c r="I59" s="713"/>
      <c r="J59" s="1173"/>
      <c r="K59" s="1174"/>
      <c r="L59" s="1175"/>
      <c r="M59" s="1173"/>
      <c r="N59" s="1176"/>
      <c r="O59" s="713"/>
      <c r="P59" s="1173"/>
      <c r="Q59" s="1176"/>
      <c r="R59" s="707"/>
    </row>
    <row r="60" spans="1:18" ht="14.4" hidden="1">
      <c r="A60" s="736" t="s">
        <v>752</v>
      </c>
      <c r="B60" s="739"/>
      <c r="C60" s="715" t="s">
        <v>738</v>
      </c>
      <c r="D60" s="716"/>
      <c r="E60" s="718"/>
      <c r="F60" s="720"/>
      <c r="G60" s="718"/>
      <c r="H60" s="721"/>
      <c r="I60" s="720"/>
      <c r="J60" s="718"/>
      <c r="K60" s="721"/>
      <c r="L60" s="717"/>
      <c r="M60" s="718"/>
      <c r="N60" s="719"/>
      <c r="O60" s="720"/>
      <c r="P60" s="718"/>
      <c r="Q60" s="719"/>
      <c r="R60" s="707"/>
    </row>
    <row r="61" spans="1:18" ht="14.4" hidden="1">
      <c r="A61" s="736"/>
      <c r="B61" s="739"/>
      <c r="C61" s="722" t="s">
        <v>739</v>
      </c>
      <c r="D61" s="716"/>
      <c r="E61" s="718"/>
      <c r="F61" s="720"/>
      <c r="G61" s="718"/>
      <c r="H61" s="721"/>
      <c r="I61" s="720"/>
      <c r="J61" s="718"/>
      <c r="K61" s="721"/>
      <c r="L61" s="717"/>
      <c r="M61" s="718"/>
      <c r="N61" s="719"/>
      <c r="O61" s="720"/>
      <c r="P61" s="718"/>
      <c r="Q61" s="719"/>
      <c r="R61" s="707"/>
    </row>
    <row r="62" spans="1:18" ht="15" hidden="1" thickBot="1">
      <c r="A62" s="736"/>
      <c r="B62" s="1177"/>
      <c r="C62" s="722" t="s">
        <v>740</v>
      </c>
      <c r="D62" s="716"/>
      <c r="E62" s="718"/>
      <c r="F62" s="720"/>
      <c r="G62" s="718"/>
      <c r="H62" s="721"/>
      <c r="I62" s="720"/>
      <c r="J62" s="718"/>
      <c r="K62" s="721"/>
      <c r="L62" s="717"/>
      <c r="M62" s="718"/>
      <c r="N62" s="719"/>
      <c r="O62" s="720"/>
      <c r="P62" s="718"/>
      <c r="Q62" s="719"/>
      <c r="R62" s="707"/>
    </row>
    <row r="63" spans="1:18" ht="14.4" hidden="1">
      <c r="A63" s="734" t="s">
        <v>753</v>
      </c>
      <c r="B63" s="738"/>
      <c r="C63" s="700" t="s">
        <v>738</v>
      </c>
      <c r="D63" s="701"/>
      <c r="E63" s="703"/>
      <c r="F63" s="705"/>
      <c r="G63" s="703"/>
      <c r="H63" s="706"/>
      <c r="I63" s="705"/>
      <c r="J63" s="703"/>
      <c r="K63" s="706"/>
      <c r="L63" s="702"/>
      <c r="M63" s="703"/>
      <c r="N63" s="704"/>
      <c r="O63" s="705"/>
      <c r="P63" s="703"/>
      <c r="Q63" s="704"/>
      <c r="R63" s="707"/>
    </row>
    <row r="64" spans="1:18" ht="14.4" hidden="1">
      <c r="A64" s="734"/>
      <c r="B64" s="738"/>
      <c r="C64" s="708" t="s">
        <v>739</v>
      </c>
      <c r="D64" s="1172"/>
      <c r="E64" s="1173"/>
      <c r="F64" s="713"/>
      <c r="G64" s="1173"/>
      <c r="H64" s="1174"/>
      <c r="I64" s="713"/>
      <c r="J64" s="1173"/>
      <c r="K64" s="1174"/>
      <c r="L64" s="1175"/>
      <c r="M64" s="1173"/>
      <c r="N64" s="1176"/>
      <c r="O64" s="713"/>
      <c r="P64" s="1173"/>
      <c r="Q64" s="1176"/>
      <c r="R64" s="707"/>
    </row>
    <row r="65" spans="1:18" ht="15" hidden="1" thickBot="1">
      <c r="A65" s="734"/>
      <c r="B65" s="1172"/>
      <c r="C65" s="708" t="s">
        <v>740</v>
      </c>
      <c r="D65" s="1172"/>
      <c r="E65" s="1173"/>
      <c r="F65" s="713"/>
      <c r="G65" s="1173"/>
      <c r="H65" s="1174"/>
      <c r="I65" s="713"/>
      <c r="J65" s="1173"/>
      <c r="K65" s="1174"/>
      <c r="L65" s="1175"/>
      <c r="M65" s="1173"/>
      <c r="N65" s="1176"/>
      <c r="O65" s="713"/>
      <c r="P65" s="1173"/>
      <c r="Q65" s="1176"/>
      <c r="R65" s="707"/>
    </row>
    <row r="66" spans="1:18" ht="14.4">
      <c r="A66" s="734" t="s">
        <v>758</v>
      </c>
      <c r="B66" s="738" t="s">
        <v>426</v>
      </c>
      <c r="C66" s="700" t="s">
        <v>738</v>
      </c>
      <c r="D66" s="701">
        <v>22786.401472967598</v>
      </c>
      <c r="E66" s="703">
        <v>23490.454828072863</v>
      </c>
      <c r="F66" s="705">
        <v>24127.859634122124</v>
      </c>
      <c r="G66" s="703">
        <v>23950.01021188575</v>
      </c>
      <c r="H66" s="706">
        <v>23888.509393991015</v>
      </c>
      <c r="I66" s="705">
        <v>21974.090868235435</v>
      </c>
      <c r="J66" s="703">
        <v>21950.600947551771</v>
      </c>
      <c r="K66" s="706">
        <v>22087.116735848263</v>
      </c>
      <c r="L66" s="702">
        <v>20667.020842699403</v>
      </c>
      <c r="M66" s="703">
        <v>20815.031636791929</v>
      </c>
      <c r="N66" s="704">
        <v>21002.614786791928</v>
      </c>
      <c r="O66" s="705">
        <v>19823.969171075463</v>
      </c>
      <c r="P66" s="703">
        <v>20106.074591378889</v>
      </c>
      <c r="Q66" s="704">
        <v>20868.947538372715</v>
      </c>
      <c r="R66" s="707"/>
    </row>
    <row r="67" spans="1:18" ht="14.4">
      <c r="A67" s="734" t="s">
        <v>758</v>
      </c>
      <c r="B67" s="738" t="s">
        <v>426</v>
      </c>
      <c r="C67" s="708" t="s">
        <v>739</v>
      </c>
      <c r="D67" s="1190">
        <f>D66</f>
        <v>22786.401472967598</v>
      </c>
      <c r="E67" s="1190">
        <f>E66</f>
        <v>23490.454828072863</v>
      </c>
      <c r="F67" s="1175">
        <v>21636.363427817625</v>
      </c>
      <c r="G67" s="1175">
        <v>21558.728457173314</v>
      </c>
      <c r="H67" s="1175">
        <v>21594.662152436467</v>
      </c>
      <c r="I67" s="1175">
        <v>20231.252945278655</v>
      </c>
      <c r="J67" s="1175">
        <v>20336.069460015497</v>
      </c>
      <c r="K67" s="1175">
        <v>20533.343538061945</v>
      </c>
      <c r="L67" s="1175">
        <v>19266.097202977908</v>
      </c>
      <c r="M67" s="1175">
        <v>19484.183356557231</v>
      </c>
      <c r="N67" s="1175">
        <v>19783.061077609862</v>
      </c>
      <c r="O67" s="1175">
        <v>18385.838492529547</v>
      </c>
      <c r="P67" s="1175">
        <v>18836.357505490778</v>
      </c>
      <c r="Q67" s="1175">
        <v>19710.125906708228</v>
      </c>
      <c r="R67" s="707"/>
    </row>
    <row r="68" spans="1:18" ht="14.4">
      <c r="A68" s="734" t="s">
        <v>758</v>
      </c>
      <c r="B68" s="1172" t="s">
        <v>426</v>
      </c>
      <c r="C68" s="708" t="s">
        <v>740</v>
      </c>
      <c r="D68" s="1190">
        <f>D67</f>
        <v>22786.401472967598</v>
      </c>
      <c r="E68" s="1190">
        <f>E67</f>
        <v>23490.454828072863</v>
      </c>
      <c r="F68" s="713">
        <v>20544.043481513134</v>
      </c>
      <c r="G68" s="1173">
        <v>20505.707662460882</v>
      </c>
      <c r="H68" s="1174">
        <v>20574.311570881928</v>
      </c>
      <c r="I68" s="713">
        <v>19322.045682321877</v>
      </c>
      <c r="J68" s="1173">
        <v>19463.170603374507</v>
      </c>
      <c r="K68" s="1174">
        <v>19697.876836170915</v>
      </c>
      <c r="L68" s="1175">
        <v>18438.617615581428</v>
      </c>
      <c r="M68" s="1173">
        <v>18707.659416015962</v>
      </c>
      <c r="N68" s="1176">
        <v>19060.09122548965</v>
      </c>
      <c r="O68" s="713">
        <v>17681.308732140875</v>
      </c>
      <c r="P68" s="1173">
        <v>18207.504845128329</v>
      </c>
      <c r="Q68" s="1176">
        <v>19135.837637937842</v>
      </c>
      <c r="R68" s="707"/>
    </row>
    <row r="69" spans="1:18" ht="15" hidden="1" customHeight="1">
      <c r="A69" s="734" t="s">
        <v>762</v>
      </c>
      <c r="B69" s="738" t="s">
        <v>784</v>
      </c>
      <c r="C69" s="700" t="s">
        <v>738</v>
      </c>
      <c r="D69" s="701">
        <v>30710.190260747375</v>
      </c>
      <c r="E69" s="703">
        <v>29737.578340736844</v>
      </c>
      <c r="F69" s="705">
        <v>28645.948841879323</v>
      </c>
      <c r="G69" s="703">
        <v>28097.411438717219</v>
      </c>
      <c r="H69" s="706">
        <v>27356.852523875114</v>
      </c>
      <c r="I69" s="705">
        <v>24400.330069412692</v>
      </c>
      <c r="J69" s="703">
        <v>24097.333096339553</v>
      </c>
      <c r="K69" s="706">
        <v>24105.955969971132</v>
      </c>
      <c r="L69" s="702">
        <v>22685.213275317197</v>
      </c>
      <c r="M69" s="703">
        <v>22666.865387717196</v>
      </c>
      <c r="N69" s="704">
        <v>22724.04406771719</v>
      </c>
      <c r="O69" s="705">
        <v>21501.966225902212</v>
      </c>
      <c r="P69" s="703">
        <v>21721.638896428525</v>
      </c>
      <c r="Q69" s="704">
        <v>22248.272494954839</v>
      </c>
      <c r="R69" s="707"/>
    </row>
    <row r="70" spans="1:18" ht="15" hidden="1" customHeight="1">
      <c r="A70" s="734" t="s">
        <v>762</v>
      </c>
      <c r="B70" s="738" t="s">
        <v>784</v>
      </c>
      <c r="C70" s="708" t="s">
        <v>739</v>
      </c>
      <c r="D70" s="1190">
        <f>D69</f>
        <v>30710.190260747375</v>
      </c>
      <c r="E70" s="1190">
        <f>E69</f>
        <v>29737.578340736844</v>
      </c>
      <c r="F70" s="713">
        <v>25239.356630170052</v>
      </c>
      <c r="G70" s="1173">
        <v>24865.694757664791</v>
      </c>
      <c r="H70" s="1174">
        <v>24348.412585559523</v>
      </c>
      <c r="I70" s="713">
        <v>22397.678699642245</v>
      </c>
      <c r="J70" s="1173">
        <v>22219.352748947505</v>
      </c>
      <c r="K70" s="1174">
        <v>22305.365377052771</v>
      </c>
      <c r="L70" s="1175">
        <v>21075.121843087294</v>
      </c>
      <c r="M70" s="1173">
        <v>21146.65223866624</v>
      </c>
      <c r="N70" s="1176">
        <v>21305.925870245192</v>
      </c>
      <c r="O70" s="713">
        <v>19866.509431079463</v>
      </c>
      <c r="P70" s="1173">
        <v>20246.443959289987</v>
      </c>
      <c r="Q70" s="1176">
        <v>20917.174332700521</v>
      </c>
      <c r="R70" s="707"/>
    </row>
    <row r="71" spans="1:18" ht="15" hidden="1" customHeight="1">
      <c r="A71" s="734" t="s">
        <v>762</v>
      </c>
      <c r="B71" s="1172" t="s">
        <v>784</v>
      </c>
      <c r="C71" s="708" t="s">
        <v>740</v>
      </c>
      <c r="D71" s="1190">
        <f>D70</f>
        <v>30710.190260747375</v>
      </c>
      <c r="E71" s="1190">
        <f>E70</f>
        <v>29737.578340736844</v>
      </c>
      <c r="F71" s="713">
        <v>23558.281447580786</v>
      </c>
      <c r="G71" s="1173">
        <v>23273.087745412366</v>
      </c>
      <c r="H71" s="1174">
        <v>22875.619553043944</v>
      </c>
      <c r="I71" s="713">
        <v>21313.810092471795</v>
      </c>
      <c r="J71" s="1173">
        <v>21165.145238450736</v>
      </c>
      <c r="K71" s="1174">
        <v>21298.896264029689</v>
      </c>
      <c r="L71" s="1175">
        <v>20071.680897392929</v>
      </c>
      <c r="M71" s="1173">
        <v>20210.060977203455</v>
      </c>
      <c r="N71" s="1176">
        <v>20440.601801413977</v>
      </c>
      <c r="O71" s="713">
        <v>19202.065879256064</v>
      </c>
      <c r="P71" s="1173">
        <v>19643.458972203432</v>
      </c>
      <c r="Q71" s="1176">
        <v>20370.241970350802</v>
      </c>
      <c r="R71" s="707"/>
    </row>
    <row r="72" spans="1:18" ht="15" hidden="1" customHeight="1">
      <c r="A72" s="736" t="s">
        <v>763</v>
      </c>
      <c r="B72" s="739" t="s">
        <v>783</v>
      </c>
      <c r="C72" s="715" t="s">
        <v>738</v>
      </c>
      <c r="D72" s="716">
        <v>21071.072250787369</v>
      </c>
      <c r="E72" s="718">
        <v>20550.039228976842</v>
      </c>
      <c r="F72" s="720">
        <v>18639.279879639322</v>
      </c>
      <c r="G72" s="718">
        <v>18521.978343117218</v>
      </c>
      <c r="H72" s="721">
        <v>18478.348220035114</v>
      </c>
      <c r="I72" s="720">
        <v>17256.501704348691</v>
      </c>
      <c r="J72" s="718">
        <v>17260.985761939552</v>
      </c>
      <c r="K72" s="721">
        <v>17487.999552459132</v>
      </c>
      <c r="L72" s="717">
        <v>16771.952538810288</v>
      </c>
      <c r="M72" s="718">
        <v>16983.07233529029</v>
      </c>
      <c r="N72" s="719">
        <v>17344.76763695429</v>
      </c>
      <c r="O72" s="720">
        <v>16153.271774690649</v>
      </c>
      <c r="P72" s="718">
        <v>16831.331436416964</v>
      </c>
      <c r="Q72" s="719">
        <v>17730.326482783279</v>
      </c>
      <c r="R72" s="707"/>
    </row>
    <row r="73" spans="1:18" ht="15" hidden="1" customHeight="1">
      <c r="A73" s="736" t="s">
        <v>763</v>
      </c>
      <c r="B73" s="739" t="s">
        <v>783</v>
      </c>
      <c r="C73" s="722" t="s">
        <v>739</v>
      </c>
      <c r="D73" s="1190">
        <f>D72</f>
        <v>21071.072250787369</v>
      </c>
      <c r="E73" s="1190">
        <f>E72</f>
        <v>20550.039228976842</v>
      </c>
      <c r="F73" s="720">
        <v>17921.701376410056</v>
      </c>
      <c r="G73" s="718">
        <v>17847.993051264792</v>
      </c>
      <c r="H73" s="721">
        <v>17845.53493843953</v>
      </c>
      <c r="I73" s="720">
        <v>16729.217962250241</v>
      </c>
      <c r="J73" s="718">
        <v>16840.805019747506</v>
      </c>
      <c r="K73" s="721">
        <v>17098.483829916768</v>
      </c>
      <c r="L73" s="717">
        <v>16150.019901295296</v>
      </c>
      <c r="M73" s="718">
        <v>16418.089272714242</v>
      </c>
      <c r="N73" s="719">
        <v>16833.583120005191</v>
      </c>
      <c r="O73" s="720">
        <v>15869.781410823462</v>
      </c>
      <c r="P73" s="718">
        <v>16570.843327433988</v>
      </c>
      <c r="Q73" s="719">
        <v>17493.257029324515</v>
      </c>
      <c r="R73" s="707"/>
    </row>
    <row r="74" spans="1:18" ht="15.75" hidden="1" customHeight="1" thickBot="1">
      <c r="A74" s="736" t="s">
        <v>763</v>
      </c>
      <c r="B74" s="1177" t="s">
        <v>783</v>
      </c>
      <c r="C74" s="722" t="s">
        <v>740</v>
      </c>
      <c r="D74" s="1190">
        <f>D73</f>
        <v>21071.072250787369</v>
      </c>
      <c r="E74" s="1190">
        <f>E73</f>
        <v>20550.039228976842</v>
      </c>
      <c r="F74" s="720">
        <v>17301.458273180782</v>
      </c>
      <c r="G74" s="718">
        <v>17266.536159412364</v>
      </c>
      <c r="H74" s="721">
        <v>17300.790056843944</v>
      </c>
      <c r="I74" s="720">
        <v>16217.540820151791</v>
      </c>
      <c r="J74" s="718">
        <v>16364.462438450739</v>
      </c>
      <c r="K74" s="721">
        <v>16651.812468269687</v>
      </c>
      <c r="L74" s="717">
        <v>15852.473291608931</v>
      </c>
      <c r="M74" s="718">
        <v>16139.958751499453</v>
      </c>
      <c r="N74" s="719">
        <v>16574.030529933978</v>
      </c>
      <c r="O74" s="720">
        <v>15427.397221816063</v>
      </c>
      <c r="P74" s="718">
        <v>16172.81717676343</v>
      </c>
      <c r="Q74" s="719">
        <v>17139.939118910799</v>
      </c>
      <c r="R74" s="707"/>
    </row>
    <row r="75" spans="1:18" ht="15" hidden="1" customHeight="1">
      <c r="A75" s="734" t="s">
        <v>764</v>
      </c>
      <c r="B75" s="738" t="s">
        <v>783</v>
      </c>
      <c r="C75" s="700" t="s">
        <v>738</v>
      </c>
      <c r="D75" s="701">
        <v>20896.478505347368</v>
      </c>
      <c r="E75" s="703">
        <v>20285.065787856845</v>
      </c>
      <c r="F75" s="705">
        <v>18280.63084905142</v>
      </c>
      <c r="G75" s="703">
        <v>18164.79793700932</v>
      </c>
      <c r="H75" s="706">
        <v>18107.314775847211</v>
      </c>
      <c r="I75" s="705">
        <v>16862.746809912223</v>
      </c>
      <c r="J75" s="703">
        <v>16881.379258747314</v>
      </c>
      <c r="K75" s="706">
        <v>17103.404702002892</v>
      </c>
      <c r="L75" s="702">
        <v>16374.192984130053</v>
      </c>
      <c r="M75" s="703">
        <v>16535.526966242051</v>
      </c>
      <c r="N75" s="704">
        <v>16885.233491362051</v>
      </c>
      <c r="O75" s="705">
        <v>15803.662210432527</v>
      </c>
      <c r="P75" s="703">
        <v>16470.781840510841</v>
      </c>
      <c r="Q75" s="704">
        <v>17329.183902333159</v>
      </c>
      <c r="R75" s="707"/>
    </row>
    <row r="76" spans="1:18" ht="15" hidden="1" customHeight="1">
      <c r="A76" s="734" t="s">
        <v>764</v>
      </c>
      <c r="B76" s="738" t="s">
        <v>783</v>
      </c>
      <c r="C76" s="708" t="s">
        <v>739</v>
      </c>
      <c r="D76" s="1190">
        <f>D75</f>
        <v>20896.478505347368</v>
      </c>
      <c r="E76" s="1190">
        <f>E75</f>
        <v>20285.065787856845</v>
      </c>
      <c r="F76" s="713">
        <v>17588.310890664055</v>
      </c>
      <c r="G76" s="1173">
        <v>17517.683387958794</v>
      </c>
      <c r="H76" s="1174">
        <v>17505.947906893529</v>
      </c>
      <c r="I76" s="713">
        <v>16376.03565137749</v>
      </c>
      <c r="J76" s="1173">
        <v>16475.757456362753</v>
      </c>
      <c r="K76" s="1174">
        <v>16730.786281540015</v>
      </c>
      <c r="L76" s="1175">
        <v>15794.847461404999</v>
      </c>
      <c r="M76" s="1173">
        <v>16021.022849079947</v>
      </c>
      <c r="N76" s="1176">
        <v>16427.176573618897</v>
      </c>
      <c r="O76" s="713">
        <v>15560.164044825789</v>
      </c>
      <c r="P76" s="1173">
        <v>16252.678776940318</v>
      </c>
      <c r="Q76" s="1176">
        <v>17138.584381142842</v>
      </c>
      <c r="R76" s="707"/>
    </row>
    <row r="77" spans="1:18" ht="15" hidden="1" customHeight="1">
      <c r="A77" s="734" t="s">
        <v>764</v>
      </c>
      <c r="B77" s="1172" t="s">
        <v>783</v>
      </c>
      <c r="C77" s="708" t="s">
        <v>740</v>
      </c>
      <c r="D77" s="1190">
        <f>D76</f>
        <v>20896.478505347368</v>
      </c>
      <c r="E77" s="1190">
        <f>E76</f>
        <v>20285.065787856845</v>
      </c>
      <c r="F77" s="713">
        <v>17010.254332276683</v>
      </c>
      <c r="G77" s="1173">
        <v>16979.120238908265</v>
      </c>
      <c r="H77" s="1174">
        <v>17006.887437939844</v>
      </c>
      <c r="I77" s="713">
        <v>15908.13569284275</v>
      </c>
      <c r="J77" s="1173">
        <v>16044.635445221698</v>
      </c>
      <c r="K77" s="1174">
        <v>16331.344252320645</v>
      </c>
      <c r="L77" s="1175">
        <v>15547.676975460578</v>
      </c>
      <c r="M77" s="1173">
        <v>15796.525409263104</v>
      </c>
      <c r="N77" s="1176">
        <v>16223.46082839363</v>
      </c>
      <c r="O77" s="713">
        <v>15160.833390110842</v>
      </c>
      <c r="P77" s="1173">
        <v>15899.470402018211</v>
      </c>
      <c r="Q77" s="1176">
        <v>16835.648607045579</v>
      </c>
      <c r="R77" s="707"/>
    </row>
    <row r="78" spans="1:18" ht="15" hidden="1" customHeight="1">
      <c r="A78" s="736" t="s">
        <v>765</v>
      </c>
      <c r="B78" s="739" t="s">
        <v>783</v>
      </c>
      <c r="C78" s="715" t="s">
        <v>738</v>
      </c>
      <c r="D78" s="716">
        <v>27812.910674307372</v>
      </c>
      <c r="E78" s="718">
        <v>26849.426271856846</v>
      </c>
      <c r="F78" s="720">
        <v>22930.492482359321</v>
      </c>
      <c r="G78" s="718">
        <v>22356.731673997219</v>
      </c>
      <c r="H78" s="721">
        <v>21887.35433507511</v>
      </c>
      <c r="I78" s="720">
        <v>20400.761587484689</v>
      </c>
      <c r="J78" s="718">
        <v>20032.274005651554</v>
      </c>
      <c r="K78" s="721">
        <v>19992.902968267135</v>
      </c>
      <c r="L78" s="717">
        <v>19658.693123514291</v>
      </c>
      <c r="M78" s="718">
        <v>19498.124397466294</v>
      </c>
      <c r="N78" s="719">
        <v>19503.195705498292</v>
      </c>
      <c r="O78" s="720">
        <v>18460.129934786648</v>
      </c>
      <c r="P78" s="718">
        <v>18842.439185888961</v>
      </c>
      <c r="Q78" s="719">
        <v>19419.538856767278</v>
      </c>
      <c r="R78" s="707"/>
    </row>
    <row r="79" spans="1:18" ht="15" hidden="1" customHeight="1">
      <c r="A79" s="736" t="s">
        <v>765</v>
      </c>
      <c r="B79" s="739" t="s">
        <v>783</v>
      </c>
      <c r="C79" s="722" t="s">
        <v>739</v>
      </c>
      <c r="D79" s="1190">
        <f>D78</f>
        <v>27812.910674307372</v>
      </c>
      <c r="E79" s="1190">
        <f>E78</f>
        <v>26849.426271856846</v>
      </c>
      <c r="F79" s="720">
        <v>21833.499345570053</v>
      </c>
      <c r="G79" s="718">
        <v>21346.644687904791</v>
      </c>
      <c r="H79" s="721">
        <v>20957.853210559526</v>
      </c>
      <c r="I79" s="720">
        <v>19602.548688458246</v>
      </c>
      <c r="J79" s="718">
        <v>19374.48507648351</v>
      </c>
      <c r="K79" s="721">
        <v>19389.411627740774</v>
      </c>
      <c r="L79" s="717">
        <v>18620.976745327294</v>
      </c>
      <c r="M79" s="718">
        <v>18571.321011722241</v>
      </c>
      <c r="N79" s="719">
        <v>18681.782178757192</v>
      </c>
      <c r="O79" s="720">
        <v>18074.626443415462</v>
      </c>
      <c r="P79" s="718">
        <v>18493.356483177988</v>
      </c>
      <c r="Q79" s="719">
        <v>19108.308016892519</v>
      </c>
      <c r="R79" s="707"/>
    </row>
    <row r="80" spans="1:18" ht="15.75" hidden="1" customHeight="1" thickBot="1">
      <c r="A80" s="736" t="s">
        <v>765</v>
      </c>
      <c r="B80" s="1177" t="s">
        <v>783</v>
      </c>
      <c r="C80" s="722" t="s">
        <v>740</v>
      </c>
      <c r="D80" s="1190">
        <f>D79</f>
        <v>27812.910674307372</v>
      </c>
      <c r="E80" s="1190">
        <f>E79</f>
        <v>26849.426271856846</v>
      </c>
      <c r="F80" s="720">
        <v>20845.222608780783</v>
      </c>
      <c r="G80" s="718">
        <v>20437.715101812366</v>
      </c>
      <c r="H80" s="721">
        <v>20122.996486043947</v>
      </c>
      <c r="I80" s="720">
        <v>18821.46938943179</v>
      </c>
      <c r="J80" s="718">
        <v>18661.677308210739</v>
      </c>
      <c r="K80" s="721">
        <v>18729.661848109685</v>
      </c>
      <c r="L80" s="717">
        <v>18213.897000472927</v>
      </c>
      <c r="M80" s="718">
        <v>18198.573009715448</v>
      </c>
      <c r="N80" s="719">
        <v>18341.572336237979</v>
      </c>
      <c r="O80" s="720">
        <v>17342.677771896062</v>
      </c>
      <c r="P80" s="718">
        <v>17842.959051323436</v>
      </c>
      <c r="Q80" s="719">
        <v>18543.064847230802</v>
      </c>
      <c r="R80" s="707"/>
    </row>
    <row r="81" spans="1:18" ht="15" hidden="1" customHeight="1">
      <c r="A81" s="734" t="s">
        <v>766</v>
      </c>
      <c r="B81" s="738" t="s">
        <v>783</v>
      </c>
      <c r="C81" s="700" t="s">
        <v>738</v>
      </c>
      <c r="D81" s="701">
        <v>27762.209334947369</v>
      </c>
      <c r="E81" s="703">
        <v>26650.130561456845</v>
      </c>
      <c r="F81" s="705">
        <v>22655.542394011423</v>
      </c>
      <c r="G81" s="703">
        <v>22065.406800689318</v>
      </c>
      <c r="H81" s="706">
        <v>21552.309325767208</v>
      </c>
      <c r="I81" s="705">
        <v>20057.500130360222</v>
      </c>
      <c r="J81" s="703">
        <v>19716.271667835314</v>
      </c>
      <c r="K81" s="706">
        <v>19652.753186738897</v>
      </c>
      <c r="L81" s="702">
        <v>19270.631539138049</v>
      </c>
      <c r="M81" s="703">
        <v>19094.925145346053</v>
      </c>
      <c r="N81" s="704">
        <v>19095.919813282049</v>
      </c>
      <c r="O81" s="705">
        <v>18119.131345312529</v>
      </c>
      <c r="P81" s="703">
        <v>18477.218749534844</v>
      </c>
      <c r="Q81" s="704">
        <v>19059.118735005159</v>
      </c>
      <c r="R81" s="707"/>
    </row>
    <row r="82" spans="1:18" ht="15" hidden="1" customHeight="1">
      <c r="A82" s="734" t="s">
        <v>766</v>
      </c>
      <c r="B82" s="738" t="s">
        <v>783</v>
      </c>
      <c r="C82" s="708" t="s">
        <v>739</v>
      </c>
      <c r="D82" s="1190">
        <f>D81</f>
        <v>27762.209334947369</v>
      </c>
      <c r="E82" s="1190">
        <f>E81</f>
        <v>26650.130561456845</v>
      </c>
      <c r="F82" s="713">
        <v>21572.558723544054</v>
      </c>
      <c r="G82" s="1173">
        <v>21073.743262998792</v>
      </c>
      <c r="H82" s="1174">
        <v>20648.829077653529</v>
      </c>
      <c r="I82" s="713">
        <v>19294.008195121489</v>
      </c>
      <c r="J82" s="1173">
        <v>19066.604998026753</v>
      </c>
      <c r="K82" s="1174">
        <v>19061.541892548015</v>
      </c>
      <c r="L82" s="1175">
        <v>18273.493194269002</v>
      </c>
      <c r="M82" s="1173">
        <v>18211.614688311944</v>
      </c>
      <c r="N82" s="1176">
        <v>18319.651620978893</v>
      </c>
      <c r="O82" s="713">
        <v>17772.433336585789</v>
      </c>
      <c r="P82" s="1173">
        <v>18169.740460588317</v>
      </c>
      <c r="Q82" s="1176">
        <v>18791.837283286844</v>
      </c>
      <c r="R82" s="707"/>
    </row>
    <row r="83" spans="1:18" ht="15" hidden="1" customHeight="1">
      <c r="A83" s="734" t="s">
        <v>766</v>
      </c>
      <c r="B83" s="1172" t="s">
        <v>783</v>
      </c>
      <c r="C83" s="708" t="s">
        <v>740</v>
      </c>
      <c r="D83" s="1190">
        <f>D82</f>
        <v>27762.209334947369</v>
      </c>
      <c r="E83" s="1190">
        <f>E82</f>
        <v>26650.130561456845</v>
      </c>
      <c r="F83" s="713">
        <v>20617.449453076686</v>
      </c>
      <c r="G83" s="1173">
        <v>20200.804125308263</v>
      </c>
      <c r="H83" s="1174">
        <v>19855.497229539844</v>
      </c>
      <c r="I83" s="713">
        <v>18551.136259882747</v>
      </c>
      <c r="J83" s="1173">
        <v>18392.775919461696</v>
      </c>
      <c r="K83" s="1174">
        <v>18444.560789600648</v>
      </c>
      <c r="L83" s="1175">
        <v>17915.260102788576</v>
      </c>
      <c r="M83" s="1173">
        <v>17889.681263527102</v>
      </c>
      <c r="N83" s="1176">
        <v>18032.431857113628</v>
      </c>
      <c r="O83" s="713">
        <v>17082.292252510844</v>
      </c>
      <c r="P83" s="1173">
        <v>17564.544909538214</v>
      </c>
      <c r="Q83" s="1176">
        <v>18271.717217605579</v>
      </c>
      <c r="R83" s="707"/>
    </row>
    <row r="84" spans="1:18" ht="14.4">
      <c r="A84" s="736" t="s">
        <v>767</v>
      </c>
      <c r="B84" s="739" t="s">
        <v>783</v>
      </c>
      <c r="C84" s="715" t="s">
        <v>738</v>
      </c>
      <c r="D84" s="716">
        <v>35169.830941507367</v>
      </c>
      <c r="E84" s="718">
        <v>33590.96511977684</v>
      </c>
      <c r="F84" s="720">
        <v>27571.067436759324</v>
      </c>
      <c r="G84" s="718">
        <v>26408.438985037221</v>
      </c>
      <c r="H84" s="721">
        <v>25453.426339395111</v>
      </c>
      <c r="I84" s="720">
        <v>23719.805911068692</v>
      </c>
      <c r="J84" s="718">
        <v>22953.958175123556</v>
      </c>
      <c r="K84" s="721">
        <v>22588.815156811132</v>
      </c>
      <c r="L84" s="717">
        <v>22661.71571471429</v>
      </c>
      <c r="M84" s="718">
        <v>22082.86733545029</v>
      </c>
      <c r="N84" s="719">
        <v>21709.703915514292</v>
      </c>
      <c r="O84" s="720">
        <v>20839.409085506646</v>
      </c>
      <c r="P84" s="718">
        <v>20897.848265792964</v>
      </c>
      <c r="Q84" s="719">
        <v>21143.048934751278</v>
      </c>
      <c r="R84" s="707"/>
    </row>
    <row r="85" spans="1:18" ht="14.4">
      <c r="A85" s="736" t="s">
        <v>767</v>
      </c>
      <c r="B85" s="739" t="s">
        <v>783</v>
      </c>
      <c r="C85" s="722" t="s">
        <v>739</v>
      </c>
      <c r="D85" s="1190">
        <f>D84</f>
        <v>35169.830941507367</v>
      </c>
      <c r="E85" s="1190">
        <f>E84</f>
        <v>33590.96511977684</v>
      </c>
      <c r="F85" s="720">
        <v>26064.047303770058</v>
      </c>
      <c r="G85" s="718">
        <v>25043.344723024791</v>
      </c>
      <c r="H85" s="721">
        <v>24213.89171451953</v>
      </c>
      <c r="I85" s="720">
        <v>22635.404318410245</v>
      </c>
      <c r="J85" s="718">
        <v>22045.767898499507</v>
      </c>
      <c r="K85" s="721">
        <v>21763.611300572771</v>
      </c>
      <c r="L85" s="717">
        <v>21191.412994927294</v>
      </c>
      <c r="M85" s="718">
        <v>20784.197929994243</v>
      </c>
      <c r="N85" s="719">
        <v>20571.146644485194</v>
      </c>
      <c r="O85" s="720">
        <v>20348.846912855461</v>
      </c>
      <c r="P85" s="718">
        <v>20458.275280585985</v>
      </c>
      <c r="Q85" s="719">
        <v>20756.26706246052</v>
      </c>
      <c r="R85" s="707"/>
    </row>
    <row r="86" spans="1:18" ht="15" thickBot="1">
      <c r="A86" s="736" t="s">
        <v>767</v>
      </c>
      <c r="B86" s="1177" t="s">
        <v>783</v>
      </c>
      <c r="C86" s="722" t="s">
        <v>740</v>
      </c>
      <c r="D86" s="1190">
        <f>D85</f>
        <v>35169.830941507367</v>
      </c>
      <c r="E86" s="1190">
        <f>E85</f>
        <v>33590.96511977684</v>
      </c>
      <c r="F86" s="720">
        <v>24677.906570780789</v>
      </c>
      <c r="G86" s="718">
        <v>23788.467861012366</v>
      </c>
      <c r="H86" s="721">
        <v>23075.711489643945</v>
      </c>
      <c r="I86" s="720">
        <v>21569.782325751788</v>
      </c>
      <c r="J86" s="718">
        <v>21083.746382770736</v>
      </c>
      <c r="K86" s="721">
        <v>20883.072405229686</v>
      </c>
      <c r="L86" s="717">
        <v>20670.285064672928</v>
      </c>
      <c r="M86" s="718">
        <v>20314.173023059451</v>
      </c>
      <c r="N86" s="719">
        <v>20148.474865893979</v>
      </c>
      <c r="O86" s="720">
        <v>19318.275397496065</v>
      </c>
      <c r="P86" s="718">
        <v>19549.958701243435</v>
      </c>
      <c r="Q86" s="719">
        <v>19974.819495550804</v>
      </c>
      <c r="R86" s="707"/>
    </row>
    <row r="87" spans="1:18" ht="14.4">
      <c r="A87" s="734" t="s">
        <v>768</v>
      </c>
      <c r="B87" s="738" t="s">
        <v>783</v>
      </c>
      <c r="C87" s="700" t="s">
        <v>738</v>
      </c>
      <c r="D87" s="701">
        <v>35277.313854147367</v>
      </c>
      <c r="E87" s="703">
        <v>33477.635120736843</v>
      </c>
      <c r="F87" s="705">
        <v>27378.631952731419</v>
      </c>
      <c r="G87" s="703">
        <v>26184.310323889316</v>
      </c>
      <c r="H87" s="706">
        <v>25210.647770887212</v>
      </c>
      <c r="I87" s="705">
        <v>23428.89305349622</v>
      </c>
      <c r="J87" s="703">
        <v>22640.930031227315</v>
      </c>
      <c r="K87" s="706">
        <v>22279.090937522895</v>
      </c>
      <c r="L87" s="702">
        <v>22321.965881410048</v>
      </c>
      <c r="M87" s="703">
        <v>21630.12398534605</v>
      </c>
      <c r="N87" s="704">
        <v>21248.266182754051</v>
      </c>
      <c r="O87" s="705">
        <v>20536.157433760527</v>
      </c>
      <c r="P87" s="703">
        <v>20471.960584798842</v>
      </c>
      <c r="Q87" s="704">
        <v>20759.036761341162</v>
      </c>
      <c r="R87" s="707"/>
    </row>
    <row r="88" spans="1:18" ht="14.4">
      <c r="A88" s="734" t="s">
        <v>768</v>
      </c>
      <c r="B88" s="738" t="s">
        <v>783</v>
      </c>
      <c r="C88" s="708" t="s">
        <v>739</v>
      </c>
      <c r="D88" s="1190">
        <f>D87</f>
        <v>35277.313854147367</v>
      </c>
      <c r="E88" s="1190">
        <f>E87</f>
        <v>33477.635120736843</v>
      </c>
      <c r="F88" s="713">
        <v>25873.186735704054</v>
      </c>
      <c r="G88" s="1173">
        <v>24828.315742598796</v>
      </c>
      <c r="H88" s="1174">
        <v>23986.359319013533</v>
      </c>
      <c r="I88" s="713">
        <v>22373.009041329489</v>
      </c>
      <c r="J88" s="1173">
        <v>21738.943497802753</v>
      </c>
      <c r="K88" s="1174">
        <v>21462.448664100019</v>
      </c>
      <c r="L88" s="1175">
        <v>20884.643487645</v>
      </c>
      <c r="M88" s="1173">
        <v>20381.478808311942</v>
      </c>
      <c r="N88" s="1176">
        <v>20162.166651954896</v>
      </c>
      <c r="O88" s="713">
        <v>20081.450154681792</v>
      </c>
      <c r="P88" s="1173">
        <v>20075.479202716317</v>
      </c>
      <c r="Q88" s="1176">
        <v>20416.342754358844</v>
      </c>
      <c r="R88" s="707"/>
    </row>
    <row r="89" spans="1:18" ht="14.4">
      <c r="A89" s="734" t="s">
        <v>768</v>
      </c>
      <c r="B89" s="1172" t="s">
        <v>783</v>
      </c>
      <c r="C89" s="708" t="s">
        <v>740</v>
      </c>
      <c r="D89" s="1190">
        <f>D88</f>
        <v>35277.313854147367</v>
      </c>
      <c r="E89" s="1190">
        <f>E88</f>
        <v>33477.635120736843</v>
      </c>
      <c r="F89" s="713">
        <v>24510.678918676684</v>
      </c>
      <c r="G89" s="1173">
        <v>23602.048561308264</v>
      </c>
      <c r="H89" s="1174">
        <v>22880.539267139848</v>
      </c>
      <c r="I89" s="713">
        <v>21339.706629162749</v>
      </c>
      <c r="J89" s="1173">
        <v>20814.268555621697</v>
      </c>
      <c r="K89" s="1174">
        <v>20621.162781920648</v>
      </c>
      <c r="L89" s="1175">
        <v>20409.316383940575</v>
      </c>
      <c r="M89" s="1173">
        <v>19963.0013035271</v>
      </c>
      <c r="N89" s="1176">
        <v>19793.613053465629</v>
      </c>
      <c r="O89" s="713">
        <v>19087.685659550843</v>
      </c>
      <c r="P89" s="1173">
        <v>19219.734772258209</v>
      </c>
      <c r="Q89" s="1176">
        <v>19682.79432288558</v>
      </c>
      <c r="R89" s="707"/>
    </row>
    <row r="90" spans="1:18" ht="14.4">
      <c r="A90" s="736" t="s">
        <v>755</v>
      </c>
      <c r="B90" s="739" t="s">
        <v>782</v>
      </c>
      <c r="C90" s="715" t="s">
        <v>738</v>
      </c>
      <c r="D90" s="716">
        <v>21572.004159852626</v>
      </c>
      <c r="E90" s="717">
        <v>19446.923701291529</v>
      </c>
      <c r="F90" s="718">
        <v>19367.893948138593</v>
      </c>
      <c r="G90" s="719">
        <v>18901.687534622761</v>
      </c>
      <c r="H90" s="720">
        <v>17559.510685449641</v>
      </c>
      <c r="I90" s="718">
        <v>17812.454381178333</v>
      </c>
      <c r="J90" s="721">
        <v>18678.990697983169</v>
      </c>
      <c r="K90" s="720">
        <v>17417.800641045869</v>
      </c>
      <c r="L90" s="718">
        <v>17964.652012685172</v>
      </c>
      <c r="M90" s="721">
        <v>18410.890352919236</v>
      </c>
      <c r="N90" s="717">
        <v>17548.853797411146</v>
      </c>
      <c r="O90" s="718">
        <v>17966.542377405203</v>
      </c>
      <c r="P90" s="719">
        <v>18102.184960617084</v>
      </c>
      <c r="Q90" s="720">
        <v>16818.81313029012</v>
      </c>
      <c r="R90" s="707"/>
    </row>
    <row r="91" spans="1:18" ht="14.4">
      <c r="A91" s="736" t="s">
        <v>755</v>
      </c>
      <c r="B91" s="739" t="s">
        <v>782</v>
      </c>
      <c r="C91" s="722" t="s">
        <v>739</v>
      </c>
      <c r="D91" s="716">
        <v>21049.46964385263</v>
      </c>
      <c r="E91" s="717">
        <v>18848.679916863268</v>
      </c>
      <c r="F91" s="718">
        <v>18786.462026309091</v>
      </c>
      <c r="G91" s="719">
        <v>18325.152596532655</v>
      </c>
      <c r="H91" s="720">
        <v>16740.500971672049</v>
      </c>
      <c r="I91" s="718">
        <v>17043.856471887011</v>
      </c>
      <c r="J91" s="721">
        <v>17804.930690357942</v>
      </c>
      <c r="K91" s="720">
        <v>16662.296898202363</v>
      </c>
      <c r="L91" s="718">
        <v>17231.634034118615</v>
      </c>
      <c r="M91" s="721">
        <v>17635.178468068651</v>
      </c>
      <c r="N91" s="717">
        <v>16869.076365689132</v>
      </c>
      <c r="O91" s="718">
        <v>17301.225045998137</v>
      </c>
      <c r="P91" s="719">
        <v>17448.722355494006</v>
      </c>
      <c r="Q91" s="720">
        <v>16225.869470775131</v>
      </c>
      <c r="R91" s="707"/>
    </row>
    <row r="92" spans="1:18" ht="15" thickBot="1">
      <c r="A92" s="736" t="s">
        <v>755</v>
      </c>
      <c r="B92" s="740" t="s">
        <v>782</v>
      </c>
      <c r="C92" s="722" t="s">
        <v>740</v>
      </c>
      <c r="D92" s="716">
        <v>20688.133785852628</v>
      </c>
      <c r="E92" s="717">
        <v>18400.574359706225</v>
      </c>
      <c r="F92" s="718">
        <v>18351.077532030373</v>
      </c>
      <c r="G92" s="719">
        <v>17893.680725702587</v>
      </c>
      <c r="H92" s="720">
        <v>16315.221146662503</v>
      </c>
      <c r="I92" s="718">
        <v>16631.970251099548</v>
      </c>
      <c r="J92" s="721">
        <v>17318.050403182475</v>
      </c>
      <c r="K92" s="720">
        <v>16212.263828350351</v>
      </c>
      <c r="L92" s="718">
        <v>16784.583332720867</v>
      </c>
      <c r="M92" s="721">
        <v>17157.445171844673</v>
      </c>
      <c r="N92" s="717">
        <v>16334.960328349696</v>
      </c>
      <c r="O92" s="718">
        <v>16794.527387279337</v>
      </c>
      <c r="P92" s="719">
        <v>16960.409333180363</v>
      </c>
      <c r="Q92" s="720">
        <v>15640.561784262383</v>
      </c>
      <c r="R92" s="707"/>
    </row>
    <row r="93" spans="1:18" ht="14.4">
      <c r="A93" s="734" t="s">
        <v>756</v>
      </c>
      <c r="B93" s="738" t="s">
        <v>782</v>
      </c>
      <c r="C93" s="700" t="s">
        <v>738</v>
      </c>
      <c r="D93" s="701">
        <v>23927.155106547369</v>
      </c>
      <c r="E93" s="702">
        <v>21134.856436616581</v>
      </c>
      <c r="F93" s="703">
        <v>20837.969733191872</v>
      </c>
      <c r="G93" s="704">
        <v>20056.145085495307</v>
      </c>
      <c r="H93" s="705">
        <v>19164.785780843107</v>
      </c>
      <c r="I93" s="703">
        <v>19255.093849720386</v>
      </c>
      <c r="J93" s="706">
        <v>20228.896396781995</v>
      </c>
      <c r="K93" s="705">
        <v>19130.208736845863</v>
      </c>
      <c r="L93" s="703">
        <v>19570.202364835724</v>
      </c>
      <c r="M93" s="706">
        <v>19988.082840400824</v>
      </c>
      <c r="N93" s="702">
        <v>19162.35202405903</v>
      </c>
      <c r="O93" s="703">
        <v>19493.959402213441</v>
      </c>
      <c r="P93" s="704">
        <v>19547.809356438884</v>
      </c>
      <c r="Q93" s="705">
        <v>18205.983050374965</v>
      </c>
      <c r="R93" s="707"/>
    </row>
    <row r="94" spans="1:18" ht="14.4">
      <c r="A94" s="734" t="s">
        <v>756</v>
      </c>
      <c r="B94" s="738" t="s">
        <v>782</v>
      </c>
      <c r="C94" s="708" t="s">
        <v>739</v>
      </c>
      <c r="D94" s="709">
        <v>23356.167062547371</v>
      </c>
      <c r="E94" s="710">
        <v>20431.887618331159</v>
      </c>
      <c r="F94" s="711">
        <v>20158.979401204375</v>
      </c>
      <c r="G94" s="712">
        <v>19393.642889837945</v>
      </c>
      <c r="H94" s="713">
        <v>18174.26628996593</v>
      </c>
      <c r="I94" s="711">
        <v>18331.167560194412</v>
      </c>
      <c r="J94" s="714">
        <v>19183.035952286875</v>
      </c>
      <c r="K94" s="713">
        <v>18147.272495111702</v>
      </c>
      <c r="L94" s="711">
        <v>18629.422381448079</v>
      </c>
      <c r="M94" s="714">
        <v>19013.385381761756</v>
      </c>
      <c r="N94" s="710">
        <v>18200.103306751043</v>
      </c>
      <c r="O94" s="711">
        <v>18586.980612830594</v>
      </c>
      <c r="P94" s="712">
        <v>18677.185363258333</v>
      </c>
      <c r="Q94" s="713">
        <v>17350.718167609481</v>
      </c>
      <c r="R94" s="707"/>
    </row>
    <row r="95" spans="1:18" ht="14.4">
      <c r="A95" s="734" t="s">
        <v>756</v>
      </c>
      <c r="B95" s="709" t="s">
        <v>782</v>
      </c>
      <c r="C95" s="708" t="s">
        <v>740</v>
      </c>
      <c r="D95" s="709">
        <v>22943.229440547369</v>
      </c>
      <c r="E95" s="710">
        <v>19876.816612682156</v>
      </c>
      <c r="F95" s="711">
        <v>19623.84808607275</v>
      </c>
      <c r="G95" s="712">
        <v>18872.193090239813</v>
      </c>
      <c r="H95" s="713">
        <v>17430.526003155857</v>
      </c>
      <c r="I95" s="711">
        <v>17636.303864428359</v>
      </c>
      <c r="J95" s="714">
        <v>18436.451173404676</v>
      </c>
      <c r="K95" s="713">
        <v>17391.808456566581</v>
      </c>
      <c r="L95" s="711">
        <v>17915.206598049899</v>
      </c>
      <c r="M95" s="714">
        <v>18294.371230211545</v>
      </c>
      <c r="N95" s="710">
        <v>17445.814104180841</v>
      </c>
      <c r="O95" s="711">
        <v>17883.791828117704</v>
      </c>
      <c r="P95" s="712">
        <v>18007.755504541332</v>
      </c>
      <c r="Q95" s="713">
        <v>16852.703761136654</v>
      </c>
      <c r="R95" s="707"/>
    </row>
    <row r="96" spans="1:18" ht="14.4">
      <c r="A96" s="736" t="s">
        <v>757</v>
      </c>
      <c r="B96" s="739" t="s">
        <v>782</v>
      </c>
      <c r="C96" s="715" t="s">
        <v>738</v>
      </c>
      <c r="D96" s="716">
        <v>24793.660027987375</v>
      </c>
      <c r="E96" s="717">
        <v>21452.360800678343</v>
      </c>
      <c r="F96" s="718">
        <v>21082.939116376856</v>
      </c>
      <c r="G96" s="719">
        <v>20240.95806018664</v>
      </c>
      <c r="H96" s="720">
        <v>19880.746384764268</v>
      </c>
      <c r="I96" s="718">
        <v>19821.279903187384</v>
      </c>
      <c r="J96" s="721">
        <v>20326.823739958825</v>
      </c>
      <c r="K96" s="720">
        <v>19447.601622996401</v>
      </c>
      <c r="L96" s="718">
        <v>19628.628249914615</v>
      </c>
      <c r="M96" s="721">
        <v>20046.589108120566</v>
      </c>
      <c r="N96" s="717">
        <v>19245.604812220645</v>
      </c>
      <c r="O96" s="718">
        <v>19552.34305465714</v>
      </c>
      <c r="P96" s="719">
        <v>19590.346755897644</v>
      </c>
      <c r="Q96" s="720">
        <v>18252.010666105132</v>
      </c>
      <c r="R96" s="707"/>
    </row>
    <row r="97" spans="1:18" ht="14.4">
      <c r="A97" s="736" t="s">
        <v>757</v>
      </c>
      <c r="B97" s="739" t="s">
        <v>782</v>
      </c>
      <c r="C97" s="722" t="s">
        <v>739</v>
      </c>
      <c r="D97" s="716">
        <v>24219.594055987371</v>
      </c>
      <c r="E97" s="717">
        <v>20743.773203868637</v>
      </c>
      <c r="F97" s="718">
        <v>20399.315114448636</v>
      </c>
      <c r="G97" s="719">
        <v>19574.819727788723</v>
      </c>
      <c r="H97" s="720">
        <v>18647.233485805402</v>
      </c>
      <c r="I97" s="718">
        <v>18694.506394522174</v>
      </c>
      <c r="J97" s="721">
        <v>19269.495523660124</v>
      </c>
      <c r="K97" s="720">
        <v>18245.215979861474</v>
      </c>
      <c r="L97" s="718">
        <v>18681.336429615072</v>
      </c>
      <c r="M97" s="721">
        <v>19065.45939675203</v>
      </c>
      <c r="N97" s="717">
        <v>18274.861486461883</v>
      </c>
      <c r="O97" s="718">
        <v>18639.436934806356</v>
      </c>
      <c r="P97" s="719">
        <v>18715.392805553358</v>
      </c>
      <c r="Q97" s="720">
        <v>17391.44468552314</v>
      </c>
      <c r="R97" s="707"/>
    </row>
    <row r="98" spans="1:18" ht="15" thickBot="1">
      <c r="A98" s="736" t="s">
        <v>757</v>
      </c>
      <c r="B98" s="740" t="s">
        <v>782</v>
      </c>
      <c r="C98" s="722" t="s">
        <v>740</v>
      </c>
      <c r="D98" s="716">
        <v>23805.117469987374</v>
      </c>
      <c r="E98" s="717">
        <v>20184.180808957488</v>
      </c>
      <c r="F98" s="718">
        <v>19860.33496434665</v>
      </c>
      <c r="G98" s="719">
        <v>19050.366859820311</v>
      </c>
      <c r="H98" s="720">
        <v>17840.700981434482</v>
      </c>
      <c r="I98" s="718">
        <v>17949.659209306505</v>
      </c>
      <c r="J98" s="721">
        <v>18514.714368876132</v>
      </c>
      <c r="K98" s="720">
        <v>17479.884780615968</v>
      </c>
      <c r="L98" s="718">
        <v>17961.803681260943</v>
      </c>
      <c r="M98" s="721">
        <v>18341.233705337083</v>
      </c>
      <c r="N98" s="717">
        <v>17512.548215666298</v>
      </c>
      <c r="O98" s="718">
        <v>17930.641206859502</v>
      </c>
      <c r="P98" s="719">
        <v>18041.875790254489</v>
      </c>
      <c r="Q98" s="720">
        <v>16891.414372142059</v>
      </c>
      <c r="R98" s="707"/>
    </row>
    <row r="99" spans="1:18" ht="14.4">
      <c r="A99" s="734" t="s">
        <v>758</v>
      </c>
      <c r="B99" s="738" t="s">
        <v>426</v>
      </c>
      <c r="C99" s="700" t="s">
        <v>738</v>
      </c>
      <c r="D99" s="701">
        <v>24103.506307699983</v>
      </c>
      <c r="E99" s="702">
        <v>22274.01991770112</v>
      </c>
      <c r="F99" s="703">
        <v>22193.9207889686</v>
      </c>
      <c r="G99" s="704">
        <v>21917.962110343724</v>
      </c>
      <c r="H99" s="705">
        <v>20178.078135861964</v>
      </c>
      <c r="I99" s="703">
        <v>20331.02996662381</v>
      </c>
      <c r="J99" s="706">
        <v>20081.661486760779</v>
      </c>
      <c r="K99" s="705">
        <v>19251.997718959024</v>
      </c>
      <c r="L99" s="703">
        <v>19473.873676832416</v>
      </c>
      <c r="M99" s="706">
        <v>19274.951063043594</v>
      </c>
      <c r="N99" s="702">
        <v>18298.474967797436</v>
      </c>
      <c r="O99" s="703">
        <v>18570.893985009967</v>
      </c>
      <c r="P99" s="704">
        <v>18519.053711719567</v>
      </c>
      <c r="Q99" s="705">
        <v>17628.749430712836</v>
      </c>
      <c r="R99" s="707"/>
    </row>
    <row r="100" spans="1:18" ht="14.4">
      <c r="A100" s="734" t="s">
        <v>758</v>
      </c>
      <c r="B100" s="738" t="s">
        <v>426</v>
      </c>
      <c r="C100" s="708" t="s">
        <v>739</v>
      </c>
      <c r="D100" s="709">
        <f>SUM(D159:D169)</f>
        <v>45082.220965657871</v>
      </c>
      <c r="E100" s="710">
        <f>SUM(E159:E169)</f>
        <v>49989.468951998009</v>
      </c>
      <c r="F100" s="710">
        <f t="shared" ref="F100:Q100" si="4">SUM(F159:F169)</f>
        <v>44211.757189555981</v>
      </c>
      <c r="G100" s="710">
        <f t="shared" si="4"/>
        <v>38185.623347727415</v>
      </c>
      <c r="H100" s="710" t="e">
        <f t="shared" si="4"/>
        <v>#REF!</v>
      </c>
      <c r="I100" s="710" t="e">
        <f t="shared" si="4"/>
        <v>#REF!</v>
      </c>
      <c r="J100" s="710" t="e">
        <f t="shared" si="4"/>
        <v>#REF!</v>
      </c>
      <c r="K100" s="710" t="e">
        <f t="shared" si="4"/>
        <v>#REF!</v>
      </c>
      <c r="L100" s="710" t="e">
        <f t="shared" si="4"/>
        <v>#REF!</v>
      </c>
      <c r="M100" s="710" t="e">
        <f t="shared" si="4"/>
        <v>#REF!</v>
      </c>
      <c r="N100" s="710" t="e">
        <f t="shared" si="4"/>
        <v>#REF!</v>
      </c>
      <c r="O100" s="710" t="e">
        <f t="shared" si="4"/>
        <v>#REF!</v>
      </c>
      <c r="P100" s="710" t="e">
        <f t="shared" si="4"/>
        <v>#REF!</v>
      </c>
      <c r="Q100" s="710" t="e">
        <f t="shared" si="4"/>
        <v>#REF!</v>
      </c>
      <c r="R100" s="707"/>
    </row>
    <row r="101" spans="1:18" ht="14.4">
      <c r="A101" s="734" t="s">
        <v>758</v>
      </c>
      <c r="B101" s="709" t="s">
        <v>426</v>
      </c>
      <c r="C101" s="708" t="s">
        <v>740</v>
      </c>
      <c r="D101" s="709">
        <v>23889.992707699985</v>
      </c>
      <c r="E101" s="710">
        <v>19892.185079052288</v>
      </c>
      <c r="F101" s="711">
        <v>19917.365598402324</v>
      </c>
      <c r="G101" s="712">
        <v>19724.488645352227</v>
      </c>
      <c r="H101" s="713">
        <v>17548.433125062293</v>
      </c>
      <c r="I101" s="711">
        <v>17832.618284774977</v>
      </c>
      <c r="J101" s="714">
        <v>17739.897777840128</v>
      </c>
      <c r="K101" s="713">
        <v>16616.276471576391</v>
      </c>
      <c r="L101" s="711">
        <v>17040.899331192581</v>
      </c>
      <c r="M101" s="714">
        <v>16998.254299687927</v>
      </c>
      <c r="N101" s="710">
        <v>15985.178778341979</v>
      </c>
      <c r="O101" s="711">
        <v>16441.972035633156</v>
      </c>
      <c r="P101" s="712">
        <v>16533.532768998371</v>
      </c>
      <c r="Q101" s="713">
        <v>15575.793461825037</v>
      </c>
      <c r="R101" s="707"/>
    </row>
    <row r="102" spans="1:18" ht="14.4">
      <c r="A102" s="736" t="s">
        <v>759</v>
      </c>
      <c r="B102" s="739" t="s">
        <v>784</v>
      </c>
      <c r="C102" s="715" t="s">
        <v>738</v>
      </c>
      <c r="D102" s="716">
        <v>25732.776357781251</v>
      </c>
      <c r="E102" s="717">
        <v>23022.451562044324</v>
      </c>
      <c r="F102" s="718">
        <v>22740.00218254064</v>
      </c>
      <c r="G102" s="719">
        <v>22095.062508118324</v>
      </c>
      <c r="H102" s="720">
        <v>20251.473468366399</v>
      </c>
      <c r="I102" s="718">
        <v>20279.366951713109</v>
      </c>
      <c r="J102" s="721">
        <v>20085.768003997611</v>
      </c>
      <c r="K102" s="720">
        <v>19375.239785030393</v>
      </c>
      <c r="L102" s="718">
        <v>19570.816120192547</v>
      </c>
      <c r="M102" s="721">
        <v>19418.289654997778</v>
      </c>
      <c r="N102" s="717">
        <v>18469.641128438157</v>
      </c>
      <c r="O102" s="718">
        <v>18718.320806466607</v>
      </c>
      <c r="P102" s="719">
        <v>18681.227348571465</v>
      </c>
      <c r="Q102" s="720">
        <v>17844.078418144625</v>
      </c>
      <c r="R102" s="707"/>
    </row>
    <row r="103" spans="1:18" ht="14.4">
      <c r="A103" s="736" t="s">
        <v>759</v>
      </c>
      <c r="B103" s="739" t="s">
        <v>784</v>
      </c>
      <c r="C103" s="722" t="s">
        <v>739</v>
      </c>
      <c r="D103" s="716">
        <v>25627.920357781251</v>
      </c>
      <c r="E103" s="717">
        <v>21950.160751762443</v>
      </c>
      <c r="F103" s="718">
        <v>21725.553454277866</v>
      </c>
      <c r="G103" s="719">
        <v>21129.123591850217</v>
      </c>
      <c r="H103" s="720">
        <v>18949.814256569374</v>
      </c>
      <c r="I103" s="718">
        <v>19031.997268560557</v>
      </c>
      <c r="J103" s="721">
        <v>18872.316192129751</v>
      </c>
      <c r="K103" s="720">
        <v>17965.593960355913</v>
      </c>
      <c r="L103" s="718">
        <v>18262.256644817156</v>
      </c>
      <c r="M103" s="721">
        <v>18177.285043015509</v>
      </c>
      <c r="N103" s="717">
        <v>16997.824328256651</v>
      </c>
      <c r="O103" s="718">
        <v>17359.534632857463</v>
      </c>
      <c r="P103" s="719">
        <v>17406.47964692055</v>
      </c>
      <c r="Q103" s="720">
        <v>16493.136119427942</v>
      </c>
      <c r="R103" s="707"/>
    </row>
    <row r="104" spans="1:18" ht="15" thickBot="1">
      <c r="A104" s="736" t="s">
        <v>759</v>
      </c>
      <c r="B104" s="740" t="s">
        <v>784</v>
      </c>
      <c r="C104" s="722" t="s">
        <v>740</v>
      </c>
      <c r="D104" s="716">
        <v>25519.262757781253</v>
      </c>
      <c r="E104" s="717">
        <v>21255.479305190049</v>
      </c>
      <c r="F104" s="718">
        <v>21070.966448456362</v>
      </c>
      <c r="G104" s="719">
        <v>20508.343039283103</v>
      </c>
      <c r="H104" s="720">
        <v>18094.971977884212</v>
      </c>
      <c r="I104" s="718">
        <v>18236.177393340458</v>
      </c>
      <c r="J104" s="721">
        <v>18040.843852045415</v>
      </c>
      <c r="K104" s="720">
        <v>16956.175955117065</v>
      </c>
      <c r="L104" s="718">
        <v>17315.53661859639</v>
      </c>
      <c r="M104" s="721">
        <v>17288.373787359134</v>
      </c>
      <c r="N104" s="717">
        <v>16232.472504636044</v>
      </c>
      <c r="O104" s="718">
        <v>16658.545247981609</v>
      </c>
      <c r="P104" s="719">
        <v>16752.366369238247</v>
      </c>
      <c r="Q104" s="720">
        <v>15900.249674080429</v>
      </c>
      <c r="R104" s="707"/>
    </row>
    <row r="105" spans="1:18" ht="14.4">
      <c r="A105" s="734" t="s">
        <v>760</v>
      </c>
      <c r="B105" s="738" t="s">
        <v>784</v>
      </c>
      <c r="C105" s="700" t="s">
        <v>738</v>
      </c>
      <c r="D105" s="701">
        <v>27865.025013063507</v>
      </c>
      <c r="E105" s="702">
        <v>24411.145918298444</v>
      </c>
      <c r="F105" s="703">
        <v>23942.103867758557</v>
      </c>
      <c r="G105" s="704">
        <v>23022.27984485</v>
      </c>
      <c r="H105" s="705">
        <v>21135.546681852407</v>
      </c>
      <c r="I105" s="703">
        <v>21001.645002761306</v>
      </c>
      <c r="J105" s="706">
        <v>20494.698259355428</v>
      </c>
      <c r="K105" s="705">
        <v>19883.803507578064</v>
      </c>
      <c r="L105" s="703">
        <v>19897.559895522336</v>
      </c>
      <c r="M105" s="706">
        <v>19557.453020933244</v>
      </c>
      <c r="N105" s="702">
        <v>18754.746283155739</v>
      </c>
      <c r="O105" s="703">
        <v>18815.385724135831</v>
      </c>
      <c r="P105" s="704">
        <v>18703.755137372409</v>
      </c>
      <c r="Q105" s="705">
        <v>18054.3610606166</v>
      </c>
      <c r="R105" s="707"/>
    </row>
    <row r="106" spans="1:18" ht="14.4">
      <c r="A106" s="734" t="s">
        <v>760</v>
      </c>
      <c r="B106" s="738" t="s">
        <v>784</v>
      </c>
      <c r="C106" s="708" t="s">
        <v>739</v>
      </c>
      <c r="D106" s="709">
        <v>27760.169013063507</v>
      </c>
      <c r="E106" s="710">
        <v>23327.204300493613</v>
      </c>
      <c r="F106" s="711">
        <v>22919.38856604174</v>
      </c>
      <c r="G106" s="712">
        <v>22049.754401648413</v>
      </c>
      <c r="H106" s="713">
        <v>19648.135592450202</v>
      </c>
      <c r="I106" s="711">
        <v>19624.894632169962</v>
      </c>
      <c r="J106" s="714">
        <v>19221.609558660199</v>
      </c>
      <c r="K106" s="713">
        <v>18451.568164223423</v>
      </c>
      <c r="L106" s="711">
        <v>18579.115209761825</v>
      </c>
      <c r="M106" s="714">
        <v>18321.496390009695</v>
      </c>
      <c r="N106" s="710">
        <v>17360.88745047191</v>
      </c>
      <c r="O106" s="711">
        <v>17524.40158457954</v>
      </c>
      <c r="P106" s="712">
        <v>17458.821922501626</v>
      </c>
      <c r="Q106" s="713">
        <v>16779.10098160987</v>
      </c>
      <c r="R106" s="707"/>
    </row>
    <row r="107" spans="1:18" ht="14.4">
      <c r="A107" s="734" t="s">
        <v>760</v>
      </c>
      <c r="B107" s="709" t="s">
        <v>784</v>
      </c>
      <c r="C107" s="708" t="s">
        <v>740</v>
      </c>
      <c r="D107" s="709">
        <v>27651.511413063508</v>
      </c>
      <c r="E107" s="710">
        <v>22625.994309944348</v>
      </c>
      <c r="F107" s="711">
        <v>22260.229944026905</v>
      </c>
      <c r="G107" s="712">
        <v>21425.332484522958</v>
      </c>
      <c r="H107" s="713">
        <v>18787.615354232366</v>
      </c>
      <c r="I107" s="711">
        <v>18824.881232960885</v>
      </c>
      <c r="J107" s="714">
        <v>18463.479599004768</v>
      </c>
      <c r="K107" s="713">
        <v>17505.060413502677</v>
      </c>
      <c r="L107" s="711">
        <v>17706.540552363884</v>
      </c>
      <c r="M107" s="714">
        <v>17501.656090474287</v>
      </c>
      <c r="N107" s="710">
        <v>16615.23875700586</v>
      </c>
      <c r="O107" s="711">
        <v>16848.312393988148</v>
      </c>
      <c r="P107" s="712">
        <v>16832.43534006126</v>
      </c>
      <c r="Q107" s="713">
        <v>16016.821707286994</v>
      </c>
      <c r="R107" s="707"/>
    </row>
    <row r="108" spans="1:18" ht="14.4">
      <c r="A108" s="736" t="s">
        <v>761</v>
      </c>
      <c r="B108" s="739" t="s">
        <v>784</v>
      </c>
      <c r="C108" s="715" t="s">
        <v>738</v>
      </c>
      <c r="D108" s="716">
        <v>29755.836979660875</v>
      </c>
      <c r="E108" s="717">
        <v>25631.576032452394</v>
      </c>
      <c r="F108" s="718">
        <v>25039.831978672766</v>
      </c>
      <c r="G108" s="719">
        <v>23868.595744879378</v>
      </c>
      <c r="H108" s="720">
        <v>22135.586975355276</v>
      </c>
      <c r="I108" s="718">
        <v>21871.180732879377</v>
      </c>
      <c r="J108" s="721">
        <v>21258.904953336034</v>
      </c>
      <c r="K108" s="720">
        <v>20759.572333593002</v>
      </c>
      <c r="L108" s="718">
        <v>20721.800732260443</v>
      </c>
      <c r="M108" s="721">
        <v>20427.346337882929</v>
      </c>
      <c r="N108" s="717">
        <v>19571.56418919818</v>
      </c>
      <c r="O108" s="718">
        <v>19664.555556236435</v>
      </c>
      <c r="P108" s="719">
        <v>19499.638916053325</v>
      </c>
      <c r="Q108" s="720">
        <v>18768.235911976604</v>
      </c>
      <c r="R108" s="707"/>
    </row>
    <row r="109" spans="1:18" ht="14.4">
      <c r="A109" s="736" t="s">
        <v>761</v>
      </c>
      <c r="B109" s="739" t="s">
        <v>784</v>
      </c>
      <c r="C109" s="722" t="s">
        <v>739</v>
      </c>
      <c r="D109" s="716">
        <v>29650.980979660875</v>
      </c>
      <c r="E109" s="717">
        <v>24519.375931534185</v>
      </c>
      <c r="F109" s="718">
        <v>23990.870331816448</v>
      </c>
      <c r="G109" s="719">
        <v>22873.422569680275</v>
      </c>
      <c r="H109" s="720">
        <v>20407.42264433263</v>
      </c>
      <c r="I109" s="718">
        <v>20284.825570682289</v>
      </c>
      <c r="J109" s="721">
        <v>19900.504122149679</v>
      </c>
      <c r="K109" s="720">
        <v>19141.797748199544</v>
      </c>
      <c r="L109" s="718">
        <v>19282.71871704383</v>
      </c>
      <c r="M109" s="721">
        <v>19072.722266764453</v>
      </c>
      <c r="N109" s="717">
        <v>17978.607961083675</v>
      </c>
      <c r="O109" s="718">
        <v>18203.821894106652</v>
      </c>
      <c r="P109" s="719">
        <v>18138.053682369649</v>
      </c>
      <c r="Q109" s="720">
        <v>17309.725248589973</v>
      </c>
      <c r="R109" s="707"/>
    </row>
    <row r="110" spans="1:18" ht="15" thickBot="1">
      <c r="A110" s="736" t="s">
        <v>761</v>
      </c>
      <c r="B110" s="740" t="s">
        <v>784</v>
      </c>
      <c r="C110" s="722" t="s">
        <v>740</v>
      </c>
      <c r="D110" s="716">
        <v>29542.323379660877</v>
      </c>
      <c r="E110" s="717">
        <v>23797.663206117366</v>
      </c>
      <c r="F110" s="718">
        <v>23312.882644978425</v>
      </c>
      <c r="G110" s="719">
        <v>22232.708681939446</v>
      </c>
      <c r="H110" s="720">
        <v>19296.14153146384</v>
      </c>
      <c r="I110" s="718">
        <v>19267.358493985113</v>
      </c>
      <c r="J110" s="721">
        <v>18969.265418133295</v>
      </c>
      <c r="K110" s="720">
        <v>17985.612667972367</v>
      </c>
      <c r="L110" s="718">
        <v>18229.080342996574</v>
      </c>
      <c r="M110" s="721">
        <v>18090.880654006294</v>
      </c>
      <c r="N110" s="717">
        <v>17110.248904154327</v>
      </c>
      <c r="O110" s="718">
        <v>17414.740778143176</v>
      </c>
      <c r="P110" s="719">
        <v>17407.969366146575</v>
      </c>
      <c r="Q110" s="720">
        <v>16701.142467360231</v>
      </c>
      <c r="R110" s="707"/>
    </row>
    <row r="111" spans="1:18" ht="14.4">
      <c r="A111" s="734" t="s">
        <v>762</v>
      </c>
      <c r="B111" s="738" t="s">
        <v>784</v>
      </c>
      <c r="C111" s="700" t="s">
        <v>738</v>
      </c>
      <c r="D111" s="701">
        <v>30585.660047677076</v>
      </c>
      <c r="E111" s="702">
        <v>26005.782500583704</v>
      </c>
      <c r="F111" s="703">
        <v>25349.849459546636</v>
      </c>
      <c r="G111" s="704">
        <v>24121.548924490136</v>
      </c>
      <c r="H111" s="705">
        <v>23156.178370071328</v>
      </c>
      <c r="I111" s="703">
        <v>22793.288160499444</v>
      </c>
      <c r="J111" s="706">
        <v>21835.383641923287</v>
      </c>
      <c r="K111" s="705">
        <v>21572.734901406897</v>
      </c>
      <c r="L111" s="703">
        <v>21254.674870823048</v>
      </c>
      <c r="M111" s="706">
        <v>20631.633135310389</v>
      </c>
      <c r="N111" s="702">
        <v>19941.931777366604</v>
      </c>
      <c r="O111" s="703">
        <v>19723.735017861673</v>
      </c>
      <c r="P111" s="704">
        <v>19540.231786997345</v>
      </c>
      <c r="Q111" s="705">
        <v>18983.158851184482</v>
      </c>
      <c r="R111" s="707"/>
    </row>
    <row r="112" spans="1:18" ht="14.4">
      <c r="A112" s="734" t="s">
        <v>762</v>
      </c>
      <c r="B112" s="738" t="s">
        <v>784</v>
      </c>
      <c r="C112" s="708" t="s">
        <v>739</v>
      </c>
      <c r="D112" s="709">
        <v>30480.804047677077</v>
      </c>
      <c r="E112" s="710">
        <v>24879.193118361651</v>
      </c>
      <c r="F112" s="711">
        <v>24289.869988633727</v>
      </c>
      <c r="G112" s="712">
        <v>23117.307117697241</v>
      </c>
      <c r="H112" s="713">
        <v>21258.745228139069</v>
      </c>
      <c r="I112" s="711">
        <v>21053.628659223672</v>
      </c>
      <c r="J112" s="714">
        <v>20289.735930370814</v>
      </c>
      <c r="K112" s="713">
        <v>19618.235848204033</v>
      </c>
      <c r="L112" s="711">
        <v>19518.258642382891</v>
      </c>
      <c r="M112" s="714">
        <v>19127.553775432374</v>
      </c>
      <c r="N112" s="710">
        <v>18447.733840621564</v>
      </c>
      <c r="O112" s="711">
        <v>18319.026513769022</v>
      </c>
      <c r="P112" s="712">
        <v>18172.046903710052</v>
      </c>
      <c r="Q112" s="713">
        <v>17653.803559622014</v>
      </c>
      <c r="R112" s="707"/>
    </row>
    <row r="113" spans="1:18" ht="14.4">
      <c r="A113" s="734" t="s">
        <v>762</v>
      </c>
      <c r="B113" s="709" t="s">
        <v>784</v>
      </c>
      <c r="C113" s="708" t="s">
        <v>740</v>
      </c>
      <c r="D113" s="709">
        <v>30372.146447677078</v>
      </c>
      <c r="E113" s="710">
        <v>24148.370756090819</v>
      </c>
      <c r="F113" s="711">
        <v>23604.997438855011</v>
      </c>
      <c r="G113" s="712">
        <v>22470.925261087352</v>
      </c>
      <c r="H113" s="713">
        <v>20061.813840053252</v>
      </c>
      <c r="I113" s="711">
        <v>19959.323879908232</v>
      </c>
      <c r="J113" s="714">
        <v>19307.281666871579</v>
      </c>
      <c r="K113" s="713">
        <v>18190.476592114599</v>
      </c>
      <c r="L113" s="711">
        <v>18295.317106567676</v>
      </c>
      <c r="M113" s="714">
        <v>18138.440241241598</v>
      </c>
      <c r="N113" s="710">
        <v>17348.203669619241</v>
      </c>
      <c r="O113" s="711">
        <v>17458.500121409219</v>
      </c>
      <c r="P113" s="712">
        <v>17437.92115468442</v>
      </c>
      <c r="Q113" s="713">
        <v>16783.037379852711</v>
      </c>
      <c r="R113" s="707"/>
    </row>
    <row r="114" spans="1:18" ht="14.4">
      <c r="A114" s="736" t="s">
        <v>763</v>
      </c>
      <c r="B114" s="739" t="s">
        <v>783</v>
      </c>
      <c r="C114" s="715" t="s">
        <v>738</v>
      </c>
      <c r="D114" s="716">
        <v>20941.01207334737</v>
      </c>
      <c r="E114" s="717">
        <v>20209.819714024656</v>
      </c>
      <c r="F114" s="718">
        <v>19842.520081508868</v>
      </c>
      <c r="G114" s="719">
        <v>19321.617415993078</v>
      </c>
      <c r="H114" s="720">
        <v>19036.830754384799</v>
      </c>
      <c r="I114" s="718">
        <v>18842.471204342695</v>
      </c>
      <c r="J114" s="721">
        <v>18425.597829900584</v>
      </c>
      <c r="K114" s="720">
        <v>17275.560092585863</v>
      </c>
      <c r="L114" s="718">
        <v>17445.096726217445</v>
      </c>
      <c r="M114" s="721">
        <v>17248.851510849025</v>
      </c>
      <c r="N114" s="717">
        <v>16149.555337243315</v>
      </c>
      <c r="O114" s="718">
        <v>16466.716411811736</v>
      </c>
      <c r="P114" s="719">
        <v>16430.774130380156</v>
      </c>
      <c r="Q114" s="720">
        <v>15540.735156752087</v>
      </c>
      <c r="R114" s="707"/>
    </row>
    <row r="115" spans="1:18" ht="14.4">
      <c r="A115" s="736" t="s">
        <v>763</v>
      </c>
      <c r="B115" s="739" t="s">
        <v>783</v>
      </c>
      <c r="C115" s="722" t="s">
        <v>739</v>
      </c>
      <c r="D115" s="716">
        <v>20836.156073347374</v>
      </c>
      <c r="E115" s="717">
        <v>19329.546181619226</v>
      </c>
      <c r="F115" s="718">
        <v>19045.363354460278</v>
      </c>
      <c r="G115" s="719">
        <v>18593.760037601329</v>
      </c>
      <c r="H115" s="720">
        <v>17426.875622621192</v>
      </c>
      <c r="I115" s="718">
        <v>17418.828016515927</v>
      </c>
      <c r="J115" s="721">
        <v>17150.300622410665</v>
      </c>
      <c r="K115" s="720">
        <v>15828.662787385687</v>
      </c>
      <c r="L115" s="718">
        <v>16177.855235179373</v>
      </c>
      <c r="M115" s="721">
        <v>16110.562687693056</v>
      </c>
      <c r="N115" s="717">
        <v>15319.331969624282</v>
      </c>
      <c r="O115" s="718">
        <v>15736.989456647438</v>
      </c>
      <c r="P115" s="719">
        <v>15784.251418870597</v>
      </c>
      <c r="Q115" s="720">
        <v>14762.141659026911</v>
      </c>
      <c r="R115" s="707"/>
    </row>
    <row r="116" spans="1:18" ht="15" thickBot="1">
      <c r="A116" s="736" t="s">
        <v>763</v>
      </c>
      <c r="B116" s="740" t="s">
        <v>783</v>
      </c>
      <c r="C116" s="722" t="s">
        <v>740</v>
      </c>
      <c r="D116" s="716">
        <v>20727.498473347372</v>
      </c>
      <c r="E116" s="717">
        <v>18346.322027753788</v>
      </c>
      <c r="F116" s="718">
        <v>18156.107564611684</v>
      </c>
      <c r="G116" s="719">
        <v>17783.045946969578</v>
      </c>
      <c r="H116" s="720">
        <v>15717.717429977583</v>
      </c>
      <c r="I116" s="718">
        <v>15907.805571089162</v>
      </c>
      <c r="J116" s="721">
        <v>15797.170696360739</v>
      </c>
      <c r="K116" s="720">
        <v>14560.890922774983</v>
      </c>
      <c r="L116" s="718">
        <v>15065.464309023406</v>
      </c>
      <c r="M116" s="721">
        <v>15109.330431751825</v>
      </c>
      <c r="N116" s="717">
        <v>14401.192273052615</v>
      </c>
      <c r="O116" s="718">
        <v>14930.737533297877</v>
      </c>
      <c r="P116" s="719">
        <v>15070.91382884314</v>
      </c>
      <c r="Q116" s="720">
        <v>14058.074322545941</v>
      </c>
      <c r="R116" s="707"/>
    </row>
    <row r="117" spans="1:18" ht="14.4">
      <c r="A117" s="734" t="s">
        <v>764</v>
      </c>
      <c r="B117" s="738" t="s">
        <v>783</v>
      </c>
      <c r="C117" s="700" t="s">
        <v>738</v>
      </c>
      <c r="D117" s="701">
        <v>20515.584406947368</v>
      </c>
      <c r="E117" s="702">
        <v>19759.967578866159</v>
      </c>
      <c r="F117" s="703">
        <v>19359.40643135037</v>
      </c>
      <c r="G117" s="704">
        <v>18870.009738234581</v>
      </c>
      <c r="H117" s="705">
        <v>18556.373219426958</v>
      </c>
      <c r="I117" s="703">
        <v>18320.869061384856</v>
      </c>
      <c r="J117" s="706">
        <v>17923.39968554275</v>
      </c>
      <c r="K117" s="705">
        <v>16782.984739475734</v>
      </c>
      <c r="L117" s="703">
        <v>16914.128318107312</v>
      </c>
      <c r="M117" s="706">
        <v>16731.053018738894</v>
      </c>
      <c r="N117" s="702">
        <v>15656.550502437736</v>
      </c>
      <c r="O117" s="703">
        <v>15945.943857806156</v>
      </c>
      <c r="P117" s="704">
        <v>15916.537917174579</v>
      </c>
      <c r="Q117" s="705">
        <v>15111.03967008116</v>
      </c>
      <c r="R117" s="707"/>
    </row>
    <row r="118" spans="1:18" ht="14.4">
      <c r="A118" s="734" t="s">
        <v>764</v>
      </c>
      <c r="B118" s="738" t="s">
        <v>783</v>
      </c>
      <c r="C118" s="708" t="s">
        <v>739</v>
      </c>
      <c r="D118" s="709">
        <v>20506.080406947367</v>
      </c>
      <c r="E118" s="710">
        <v>18949.876047398793</v>
      </c>
      <c r="F118" s="711">
        <v>18635.326656739846</v>
      </c>
      <c r="G118" s="712">
        <v>18211.844715040894</v>
      </c>
      <c r="H118" s="713">
        <v>17003.398642179593</v>
      </c>
      <c r="I118" s="711">
        <v>16961.616876074331</v>
      </c>
      <c r="J118" s="714">
        <v>16706.514403969071</v>
      </c>
      <c r="K118" s="713">
        <v>15393.307327227314</v>
      </c>
      <c r="L118" s="711">
        <v>15711.911015420999</v>
      </c>
      <c r="M118" s="714">
        <v>15652.516967454681</v>
      </c>
      <c r="N118" s="710">
        <v>14887.989935212474</v>
      </c>
      <c r="O118" s="711">
        <v>15282.436046875629</v>
      </c>
      <c r="P118" s="712">
        <v>15334.42548173879</v>
      </c>
      <c r="Q118" s="713">
        <v>14384.422022409584</v>
      </c>
      <c r="R118" s="707"/>
    </row>
    <row r="119" spans="1:18" ht="14.4">
      <c r="A119" s="734" t="s">
        <v>764</v>
      </c>
      <c r="B119" s="709" t="s">
        <v>783</v>
      </c>
      <c r="C119" s="708" t="s">
        <v>740</v>
      </c>
      <c r="D119" s="709">
        <v>20492.774806947367</v>
      </c>
      <c r="E119" s="710">
        <v>18035.348065571419</v>
      </c>
      <c r="F119" s="711">
        <v>17817.921554929319</v>
      </c>
      <c r="G119" s="712">
        <v>17469.029629887209</v>
      </c>
      <c r="H119" s="713">
        <v>15349.904931712224</v>
      </c>
      <c r="I119" s="711">
        <v>15514.057124023802</v>
      </c>
      <c r="J119" s="714">
        <v>15410.392956255382</v>
      </c>
      <c r="K119" s="713">
        <v>14185.043268608364</v>
      </c>
      <c r="L119" s="711">
        <v>14665.994148456786</v>
      </c>
      <c r="M119" s="714">
        <v>14713.389270865209</v>
      </c>
      <c r="N119" s="710">
        <v>14030.442256294577</v>
      </c>
      <c r="O119" s="711">
        <v>14541.694277999839</v>
      </c>
      <c r="P119" s="712">
        <v>14684.458569505105</v>
      </c>
      <c r="Q119" s="713">
        <v>13733.337572802213</v>
      </c>
      <c r="R119" s="707"/>
    </row>
    <row r="120" spans="1:18" ht="14.4">
      <c r="A120" s="736" t="s">
        <v>765</v>
      </c>
      <c r="B120" s="739" t="s">
        <v>783</v>
      </c>
      <c r="C120" s="715" t="s">
        <v>738</v>
      </c>
      <c r="D120" s="716">
        <v>29758.979920147372</v>
      </c>
      <c r="E120" s="717">
        <v>28316.880293824655</v>
      </c>
      <c r="F120" s="718">
        <v>26983.777705708864</v>
      </c>
      <c r="G120" s="719">
        <v>25661.955649593077</v>
      </c>
      <c r="H120" s="720">
        <v>26132.799132384796</v>
      </c>
      <c r="I120" s="718">
        <v>24981.493544242698</v>
      </c>
      <c r="J120" s="721">
        <v>23796.409831300585</v>
      </c>
      <c r="K120" s="720">
        <v>22377.499784585867</v>
      </c>
      <c r="L120" s="718">
        <v>21825.441726217447</v>
      </c>
      <c r="M120" s="721">
        <v>21105.11264184902</v>
      </c>
      <c r="N120" s="717">
        <v>19874.432417243312</v>
      </c>
      <c r="O120" s="718">
        <v>19668.21092701174</v>
      </c>
      <c r="P120" s="719">
        <v>19171.708235980153</v>
      </c>
      <c r="Q120" s="720">
        <v>18590.977070352084</v>
      </c>
      <c r="R120" s="707"/>
    </row>
    <row r="121" spans="1:18" ht="14.4">
      <c r="A121" s="736" t="s">
        <v>765</v>
      </c>
      <c r="B121" s="739" t="s">
        <v>783</v>
      </c>
      <c r="C121" s="722" t="s">
        <v>739</v>
      </c>
      <c r="D121" s="716">
        <v>29654.123920147376</v>
      </c>
      <c r="E121" s="717">
        <v>26632.306303439225</v>
      </c>
      <c r="F121" s="718">
        <v>25478.09001624028</v>
      </c>
      <c r="G121" s="719">
        <v>24305.036447841328</v>
      </c>
      <c r="H121" s="720">
        <v>22904.377682621191</v>
      </c>
      <c r="I121" s="718">
        <v>22157.055739515927</v>
      </c>
      <c r="J121" s="721">
        <v>21295.163700410663</v>
      </c>
      <c r="K121" s="720">
        <v>19520.661125625691</v>
      </c>
      <c r="L121" s="718">
        <v>19347.61803517937</v>
      </c>
      <c r="M121" s="721">
        <v>18900.232382013055</v>
      </c>
      <c r="N121" s="717">
        <v>18305.767033624281</v>
      </c>
      <c r="O121" s="718">
        <v>18303.914468807438</v>
      </c>
      <c r="P121" s="719">
        <v>17981.747703350597</v>
      </c>
      <c r="Q121" s="720">
        <v>17121.320420946911</v>
      </c>
      <c r="R121" s="707"/>
    </row>
    <row r="122" spans="1:18" ht="15" thickBot="1">
      <c r="A122" s="736" t="s">
        <v>765</v>
      </c>
      <c r="B122" s="740" t="s">
        <v>783</v>
      </c>
      <c r="C122" s="722" t="s">
        <v>740</v>
      </c>
      <c r="D122" s="716">
        <v>29545.466320147374</v>
      </c>
      <c r="E122" s="717">
        <v>24732.169340453791</v>
      </c>
      <c r="F122" s="718">
        <v>23781.082697911686</v>
      </c>
      <c r="G122" s="719">
        <v>22777.170273369578</v>
      </c>
      <c r="H122" s="720">
        <v>19469.827350777578</v>
      </c>
      <c r="I122" s="718">
        <v>19152.663102729159</v>
      </c>
      <c r="J122" s="721">
        <v>18635.041589400738</v>
      </c>
      <c r="K122" s="720">
        <v>17042.619814934988</v>
      </c>
      <c r="L122" s="718">
        <v>17196.089509023404</v>
      </c>
      <c r="M122" s="721">
        <v>16983.541894631824</v>
      </c>
      <c r="N122" s="717">
        <v>16558.241194052618</v>
      </c>
      <c r="O122" s="718">
        <v>16784.965479537877</v>
      </c>
      <c r="P122" s="719">
        <v>16658.031939563141</v>
      </c>
      <c r="Q122" s="720">
        <v>15811.294701745941</v>
      </c>
      <c r="R122" s="707"/>
    </row>
    <row r="123" spans="1:18" ht="14.4">
      <c r="A123" s="734" t="s">
        <v>766</v>
      </c>
      <c r="B123" s="738" t="s">
        <v>783</v>
      </c>
      <c r="C123" s="700" t="s">
        <v>738</v>
      </c>
      <c r="D123" s="701">
        <v>29430.50827314737</v>
      </c>
      <c r="E123" s="702">
        <v>27880.618889666155</v>
      </c>
      <c r="F123" s="703">
        <v>26476.890231350371</v>
      </c>
      <c r="G123" s="704">
        <v>25228.989515034584</v>
      </c>
      <c r="H123" s="705">
        <v>25644.97076612696</v>
      </c>
      <c r="I123" s="703">
        <v>24398.687291284859</v>
      </c>
      <c r="J123" s="706">
        <v>23259.320715642752</v>
      </c>
      <c r="K123" s="705">
        <v>21830.566411475735</v>
      </c>
      <c r="L123" s="703">
        <v>21242.946266107316</v>
      </c>
      <c r="M123" s="706">
        <v>20544.581330738893</v>
      </c>
      <c r="N123" s="702">
        <v>19328.552713637735</v>
      </c>
      <c r="O123" s="703">
        <v>19075.218198606159</v>
      </c>
      <c r="P123" s="704">
        <v>18615.219753174581</v>
      </c>
      <c r="Q123" s="705">
        <v>18098.905720481165</v>
      </c>
      <c r="R123" s="707"/>
    </row>
    <row r="124" spans="1:18" ht="14.4">
      <c r="A124" s="734" t="s">
        <v>766</v>
      </c>
      <c r="B124" s="738" t="s">
        <v>783</v>
      </c>
      <c r="C124" s="708" t="s">
        <v>739</v>
      </c>
      <c r="D124" s="709">
        <v>29421.00427314737</v>
      </c>
      <c r="E124" s="710">
        <v>26263.991027118795</v>
      </c>
      <c r="F124" s="711">
        <v>25045.719276739845</v>
      </c>
      <c r="G124" s="712">
        <v>23939.086914160896</v>
      </c>
      <c r="H124" s="713">
        <v>22472.046601179598</v>
      </c>
      <c r="I124" s="711">
        <v>21648.919899074332</v>
      </c>
      <c r="J124" s="714">
        <v>20821.020580969071</v>
      </c>
      <c r="K124" s="713">
        <v>19040.923891067316</v>
      </c>
      <c r="L124" s="711">
        <v>18840.792577980999</v>
      </c>
      <c r="M124" s="714">
        <v>18407.734552094684</v>
      </c>
      <c r="N124" s="710">
        <v>17830.419904172471</v>
      </c>
      <c r="O124" s="711">
        <v>17789.717719515626</v>
      </c>
      <c r="P124" s="712">
        <v>17496.62535053879</v>
      </c>
      <c r="Q124" s="713">
        <v>16693.486061289586</v>
      </c>
      <c r="R124" s="707"/>
    </row>
    <row r="125" spans="1:18" ht="14.4">
      <c r="A125" s="734" t="s">
        <v>766</v>
      </c>
      <c r="B125" s="709" t="s">
        <v>783</v>
      </c>
      <c r="C125" s="708" t="s">
        <v>740</v>
      </c>
      <c r="D125" s="709">
        <v>29407.69867314737</v>
      </c>
      <c r="E125" s="710">
        <v>24429.681809771424</v>
      </c>
      <c r="F125" s="711">
        <v>23421.873254929316</v>
      </c>
      <c r="G125" s="712">
        <v>22475.771883087211</v>
      </c>
      <c r="H125" s="713">
        <v>19091.416263832223</v>
      </c>
      <c r="I125" s="711">
        <v>18718.758659663803</v>
      </c>
      <c r="J125" s="714">
        <v>18222.563956615384</v>
      </c>
      <c r="K125" s="713">
        <v>16631.434311168367</v>
      </c>
      <c r="L125" s="711">
        <v>16765.218523496784</v>
      </c>
      <c r="M125" s="714">
        <v>16560.592660625203</v>
      </c>
      <c r="N125" s="710">
        <v>16153.109327734577</v>
      </c>
      <c r="O125" s="711">
        <v>16350.038823959841</v>
      </c>
      <c r="P125" s="712">
        <v>16243.794225205103</v>
      </c>
      <c r="Q125" s="713">
        <v>15447.587601602214</v>
      </c>
      <c r="R125" s="707"/>
    </row>
    <row r="126" spans="1:18" ht="14.4">
      <c r="A126" s="736" t="s">
        <v>767</v>
      </c>
      <c r="B126" s="739" t="s">
        <v>783</v>
      </c>
      <c r="C126" s="715" t="s">
        <v>738</v>
      </c>
      <c r="D126" s="716">
        <v>40101.854218947359</v>
      </c>
      <c r="E126" s="717">
        <v>37570.567911824663</v>
      </c>
      <c r="F126" s="718">
        <v>34912.205418508864</v>
      </c>
      <c r="G126" s="719">
        <v>32520.978772993079</v>
      </c>
      <c r="H126" s="720">
        <v>34077.330753384791</v>
      </c>
      <c r="I126" s="718">
        <v>31612.961133242698</v>
      </c>
      <c r="J126" s="721">
        <v>29438.905974000587</v>
      </c>
      <c r="K126" s="720">
        <v>27822.073112585866</v>
      </c>
      <c r="L126" s="718">
        <v>26406.036150217446</v>
      </c>
      <c r="M126" s="721">
        <v>25078.905177849028</v>
      </c>
      <c r="N126" s="717">
        <v>23818.164586043313</v>
      </c>
      <c r="O126" s="718">
        <v>22972.152376611743</v>
      </c>
      <c r="P126" s="719">
        <v>21959.725163980158</v>
      </c>
      <c r="Q126" s="720">
        <v>21754.173940052086</v>
      </c>
      <c r="R126" s="707"/>
    </row>
    <row r="127" spans="1:18" ht="14.4">
      <c r="A127" s="736" t="s">
        <v>767</v>
      </c>
      <c r="B127" s="739" t="s">
        <v>783</v>
      </c>
      <c r="C127" s="722" t="s">
        <v>739</v>
      </c>
      <c r="D127" s="716">
        <v>39996.998218947367</v>
      </c>
      <c r="E127" s="717">
        <v>34965.561559639224</v>
      </c>
      <c r="F127" s="718">
        <v>32617.226957760275</v>
      </c>
      <c r="G127" s="719">
        <v>30480.927658901332</v>
      </c>
      <c r="H127" s="720">
        <v>29028.509852621195</v>
      </c>
      <c r="I127" s="718">
        <v>27266.636269515926</v>
      </c>
      <c r="J127" s="721">
        <v>25641.789579410663</v>
      </c>
      <c r="K127" s="720">
        <v>23449.846561785689</v>
      </c>
      <c r="L127" s="718">
        <v>22652.177460459374</v>
      </c>
      <c r="M127" s="721">
        <v>21766.467167933057</v>
      </c>
      <c r="N127" s="717">
        <v>21463.976568664286</v>
      </c>
      <c r="O127" s="718">
        <v>20949.038028487441</v>
      </c>
      <c r="P127" s="719">
        <v>20213.826245750595</v>
      </c>
      <c r="Q127" s="720">
        <v>19563.948263286908</v>
      </c>
      <c r="R127" s="707"/>
    </row>
    <row r="128" spans="1:18" ht="15" thickBot="1">
      <c r="A128" s="736" t="s">
        <v>767</v>
      </c>
      <c r="B128" s="740" t="s">
        <v>783</v>
      </c>
      <c r="C128" s="722" t="s">
        <v>740</v>
      </c>
      <c r="D128" s="716">
        <v>39888.340618947368</v>
      </c>
      <c r="E128" s="717">
        <v>32015.264897453791</v>
      </c>
      <c r="F128" s="718">
        <v>30019.441615111686</v>
      </c>
      <c r="G128" s="719">
        <v>28173.328727469579</v>
      </c>
      <c r="H128" s="720">
        <v>23652.860506377579</v>
      </c>
      <c r="I128" s="718">
        <v>22639.328303129158</v>
      </c>
      <c r="J128" s="721">
        <v>21599.724187120741</v>
      </c>
      <c r="K128" s="720">
        <v>19672.046772374983</v>
      </c>
      <c r="L128" s="718">
        <v>19406.290792543401</v>
      </c>
      <c r="M128" s="721">
        <v>18899.961751911826</v>
      </c>
      <c r="N128" s="717">
        <v>18833.409391112615</v>
      </c>
      <c r="O128" s="718">
        <v>18689.32941305788</v>
      </c>
      <c r="P128" s="719">
        <v>18265.026673163138</v>
      </c>
      <c r="Q128" s="720">
        <v>17622.914770145941</v>
      </c>
      <c r="R128" s="707"/>
    </row>
    <row r="129" spans="1:18" ht="14.4">
      <c r="A129" s="734" t="s">
        <v>768</v>
      </c>
      <c r="B129" s="738" t="s">
        <v>783</v>
      </c>
      <c r="C129" s="700" t="s">
        <v>738</v>
      </c>
      <c r="D129" s="701">
        <v>40124.474166947366</v>
      </c>
      <c r="E129" s="702">
        <v>37418.333733666164</v>
      </c>
      <c r="F129" s="703">
        <v>34598.174232950361</v>
      </c>
      <c r="G129" s="704">
        <v>32362.46079143458</v>
      </c>
      <c r="H129" s="705">
        <v>33802.014298426955</v>
      </c>
      <c r="I129" s="703">
        <v>31186.249191284856</v>
      </c>
      <c r="J129" s="706">
        <v>29041.920984442753</v>
      </c>
      <c r="K129" s="705">
        <v>27386.459209475735</v>
      </c>
      <c r="L129" s="703">
        <v>25848.165806107314</v>
      </c>
      <c r="M129" s="706">
        <v>24585.232544738894</v>
      </c>
      <c r="N129" s="702">
        <v>23337.83494083774</v>
      </c>
      <c r="O129" s="703">
        <v>22421.678014606154</v>
      </c>
      <c r="P129" s="704">
        <v>21454.236511574574</v>
      </c>
      <c r="Q129" s="705">
        <v>21307.504370381161</v>
      </c>
      <c r="R129" s="707"/>
    </row>
    <row r="130" spans="1:18" ht="14.4">
      <c r="A130" s="734" t="s">
        <v>768</v>
      </c>
      <c r="B130" s="738" t="s">
        <v>783</v>
      </c>
      <c r="C130" s="708" t="s">
        <v>739</v>
      </c>
      <c r="D130" s="709">
        <v>40114.970166947365</v>
      </c>
      <c r="E130" s="710">
        <v>34853.138386718791</v>
      </c>
      <c r="F130" s="711">
        <v>32358.850478179847</v>
      </c>
      <c r="G130" s="712">
        <v>30362.519462920893</v>
      </c>
      <c r="H130" s="713">
        <v>28761.060472179597</v>
      </c>
      <c r="I130" s="711">
        <v>26881.177899074333</v>
      </c>
      <c r="J130" s="714">
        <v>25276.998556969065</v>
      </c>
      <c r="K130" s="713">
        <v>23052.928465627319</v>
      </c>
      <c r="L130" s="711">
        <v>22164.041206780999</v>
      </c>
      <c r="M130" s="714">
        <v>21323.937666174679</v>
      </c>
      <c r="N130" s="710">
        <v>21041.872885932476</v>
      </c>
      <c r="O130" s="711">
        <v>20470.020572315632</v>
      </c>
      <c r="P130" s="712">
        <v>19770.19915725879</v>
      </c>
      <c r="Q130" s="713">
        <v>19172.049534069582</v>
      </c>
      <c r="R130" s="707"/>
    </row>
    <row r="131" spans="1:18" ht="14.4">
      <c r="A131" s="734" t="s">
        <v>768</v>
      </c>
      <c r="B131" s="709" t="s">
        <v>783</v>
      </c>
      <c r="C131" s="708" t="s">
        <v>740</v>
      </c>
      <c r="D131" s="709">
        <v>40101.664566947366</v>
      </c>
      <c r="E131" s="710">
        <v>31936.610615771424</v>
      </c>
      <c r="F131" s="711">
        <v>29812.821113329315</v>
      </c>
      <c r="G131" s="712">
        <v>28088.913171687214</v>
      </c>
      <c r="H131" s="713">
        <v>23388.597496112223</v>
      </c>
      <c r="I131" s="711">
        <v>22292.589499663802</v>
      </c>
      <c r="J131" s="714">
        <v>21263.877020295382</v>
      </c>
      <c r="K131" s="713">
        <v>19319.000694208367</v>
      </c>
      <c r="L131" s="711">
        <v>18988.930942696788</v>
      </c>
      <c r="M131" s="714">
        <v>18512.331403345204</v>
      </c>
      <c r="N131" s="710">
        <v>18467.843408374578</v>
      </c>
      <c r="O131" s="711">
        <v>18281.568218159839</v>
      </c>
      <c r="P131" s="712">
        <v>17881.736461285105</v>
      </c>
      <c r="Q131" s="713">
        <v>17286.670544402212</v>
      </c>
      <c r="R131" s="707"/>
    </row>
    <row r="132" spans="1:18" ht="14.4">
      <c r="A132" s="737" t="s">
        <v>769</v>
      </c>
      <c r="B132" s="741" t="s">
        <v>785</v>
      </c>
      <c r="C132" s="715" t="s">
        <v>738</v>
      </c>
      <c r="D132" s="724">
        <v>20455.257309923367</v>
      </c>
      <c r="E132" s="725">
        <v>19388.906640569479</v>
      </c>
      <c r="F132" s="726">
        <v>19355.592945257089</v>
      </c>
      <c r="G132" s="727">
        <v>19214.574879824348</v>
      </c>
      <c r="H132" s="728">
        <v>18399.678452984139</v>
      </c>
      <c r="I132" s="726">
        <v>18411.957297773588</v>
      </c>
      <c r="J132" s="729">
        <v>19428.603392240344</v>
      </c>
      <c r="K132" s="728">
        <v>18312.888442435244</v>
      </c>
      <c r="L132" s="726">
        <v>18730.345465615777</v>
      </c>
      <c r="M132" s="729">
        <v>19212.590371087404</v>
      </c>
      <c r="N132" s="725">
        <v>17777.844164721148</v>
      </c>
      <c r="O132" s="726">
        <v>18273.586881340965</v>
      </c>
      <c r="P132" s="727">
        <v>18370.224625366442</v>
      </c>
      <c r="Q132" s="728">
        <v>16989.191867062953</v>
      </c>
      <c r="R132" s="723"/>
    </row>
    <row r="133" spans="1:18" ht="14.4">
      <c r="A133" s="737" t="s">
        <v>769</v>
      </c>
      <c r="B133" s="741" t="s">
        <v>785</v>
      </c>
      <c r="C133" s="722" t="s">
        <v>739</v>
      </c>
      <c r="D133" s="724">
        <v>19983.219633923371</v>
      </c>
      <c r="E133" s="725">
        <v>18399.779796015453</v>
      </c>
      <c r="F133" s="726">
        <v>18392.292471404151</v>
      </c>
      <c r="G133" s="727">
        <v>18261.678349869049</v>
      </c>
      <c r="H133" s="728">
        <v>17227.625556241685</v>
      </c>
      <c r="I133" s="726">
        <v>17352.232060166672</v>
      </c>
      <c r="J133" s="729">
        <v>18246.035002573382</v>
      </c>
      <c r="K133" s="728">
        <v>17223.035424451326</v>
      </c>
      <c r="L133" s="726">
        <v>17713.440613819268</v>
      </c>
      <c r="M133" s="729">
        <v>18163.619396533079</v>
      </c>
      <c r="N133" s="725">
        <v>16800.03420551094</v>
      </c>
      <c r="O133" s="726">
        <v>17359.805305010719</v>
      </c>
      <c r="P133" s="727">
        <v>17509.033977076942</v>
      </c>
      <c r="Q133" s="728">
        <v>16143.37565698228</v>
      </c>
      <c r="R133" s="723"/>
    </row>
    <row r="134" spans="1:18" ht="15" thickBot="1">
      <c r="A134" s="737" t="s">
        <v>769</v>
      </c>
      <c r="B134" s="724" t="s">
        <v>785</v>
      </c>
      <c r="C134" s="722" t="s">
        <v>740</v>
      </c>
      <c r="D134" s="724">
        <v>19647.132195923368</v>
      </c>
      <c r="E134" s="725">
        <v>17604.500885668916</v>
      </c>
      <c r="F134" s="726">
        <v>17642.694322955351</v>
      </c>
      <c r="G134" s="727">
        <v>17542.402217448023</v>
      </c>
      <c r="H134" s="728">
        <v>16408.048790354696</v>
      </c>
      <c r="I134" s="726">
        <v>16610.684474600774</v>
      </c>
      <c r="J134" s="729">
        <v>17458.228576556405</v>
      </c>
      <c r="K134" s="728">
        <v>16414.734517792451</v>
      </c>
      <c r="L134" s="726">
        <v>16966.529018286965</v>
      </c>
      <c r="M134" s="729">
        <v>17413.768904937649</v>
      </c>
      <c r="N134" s="725">
        <v>15964.625034008903</v>
      </c>
      <c r="O134" s="726">
        <v>16583.881263211824</v>
      </c>
      <c r="P134" s="727">
        <v>16789.947909821363</v>
      </c>
      <c r="Q134" s="728">
        <v>15433.869374387754</v>
      </c>
      <c r="R134" s="723"/>
    </row>
    <row r="135" spans="1:18" ht="14.4">
      <c r="A135" s="734" t="s">
        <v>770</v>
      </c>
      <c r="B135" s="738" t="s">
        <v>786</v>
      </c>
      <c r="C135" s="700" t="s">
        <v>738</v>
      </c>
      <c r="D135" s="701">
        <v>22343.914834652631</v>
      </c>
      <c r="E135" s="702">
        <v>20400.054249563207</v>
      </c>
      <c r="F135" s="703">
        <v>20198.255715308042</v>
      </c>
      <c r="G135" s="704">
        <v>19637.046434560074</v>
      </c>
      <c r="H135" s="705">
        <v>18623.201604728045</v>
      </c>
      <c r="I135" s="703">
        <v>18616.251671484184</v>
      </c>
      <c r="J135" s="706">
        <v>19583.656832579356</v>
      </c>
      <c r="K135" s="705">
        <v>18584.90290313568</v>
      </c>
      <c r="L135" s="703">
        <v>18978.756770140997</v>
      </c>
      <c r="M135" s="706">
        <v>19403.391909639588</v>
      </c>
      <c r="N135" s="702">
        <v>18099.234599203002</v>
      </c>
      <c r="O135" s="703">
        <v>18543.908534939259</v>
      </c>
      <c r="P135" s="704">
        <v>18647.532209434572</v>
      </c>
      <c r="Q135" s="705">
        <v>17266.154449064925</v>
      </c>
      <c r="R135" s="707"/>
    </row>
    <row r="136" spans="1:18" ht="14.4">
      <c r="A136" s="734" t="s">
        <v>770</v>
      </c>
      <c r="B136" s="738" t="s">
        <v>786</v>
      </c>
      <c r="C136" s="708" t="s">
        <v>739</v>
      </c>
      <c r="D136" s="709">
        <v>21868.179850652636</v>
      </c>
      <c r="E136" s="710">
        <v>19821.607483002055</v>
      </c>
      <c r="F136" s="711">
        <v>19639.229850933138</v>
      </c>
      <c r="G136" s="712">
        <v>19088.906523427981</v>
      </c>
      <c r="H136" s="713">
        <v>17798.303206701843</v>
      </c>
      <c r="I136" s="711">
        <v>17839.922371948913</v>
      </c>
      <c r="J136" s="714">
        <v>18592.72960145395</v>
      </c>
      <c r="K136" s="713">
        <v>17599.052235014529</v>
      </c>
      <c r="L136" s="711">
        <v>18049.24084786206</v>
      </c>
      <c r="M136" s="714">
        <v>18447.979434301826</v>
      </c>
      <c r="N136" s="710">
        <v>17111.282247713039</v>
      </c>
      <c r="O136" s="711">
        <v>17621.748389965884</v>
      </c>
      <c r="P136" s="712">
        <v>17776.269997110569</v>
      </c>
      <c r="Q136" s="713">
        <v>16411.843251861246</v>
      </c>
      <c r="R136" s="707"/>
    </row>
    <row r="137" spans="1:18" ht="14.4">
      <c r="A137" s="734" t="s">
        <v>770</v>
      </c>
      <c r="B137" s="709" t="s">
        <v>786</v>
      </c>
      <c r="C137" s="708" t="s">
        <v>740</v>
      </c>
      <c r="D137" s="709">
        <v>21530.243758652628</v>
      </c>
      <c r="E137" s="710">
        <v>19157.826984778567</v>
      </c>
      <c r="F137" s="711">
        <v>19015.815972881715</v>
      </c>
      <c r="G137" s="712">
        <v>18498.801878576916</v>
      </c>
      <c r="H137" s="713">
        <v>17108.785310568001</v>
      </c>
      <c r="I137" s="711">
        <v>17215.178733639477</v>
      </c>
      <c r="J137" s="714">
        <v>17857.272039928393</v>
      </c>
      <c r="K137" s="713">
        <v>16919.631480523691</v>
      </c>
      <c r="L137" s="711">
        <v>17348.239570108115</v>
      </c>
      <c r="M137" s="714">
        <v>17739.400661834254</v>
      </c>
      <c r="N137" s="710">
        <v>16325.262278389631</v>
      </c>
      <c r="O137" s="711">
        <v>16886.44806216393</v>
      </c>
      <c r="P137" s="712">
        <v>17089.299284396457</v>
      </c>
      <c r="Q137" s="713">
        <v>15795.819317004147</v>
      </c>
      <c r="R137" s="707"/>
    </row>
    <row r="138" spans="1:18" ht="14.4">
      <c r="A138" s="737" t="s">
        <v>771</v>
      </c>
      <c r="B138" s="741" t="s">
        <v>786</v>
      </c>
      <c r="C138" s="715" t="s">
        <v>738</v>
      </c>
      <c r="D138" s="724">
        <v>24561.065405052625</v>
      </c>
      <c r="E138" s="725">
        <v>21816.465690443394</v>
      </c>
      <c r="F138" s="726">
        <v>21400.16618234936</v>
      </c>
      <c r="G138" s="727">
        <v>20518.681309865584</v>
      </c>
      <c r="H138" s="728">
        <v>19594.844128075154</v>
      </c>
      <c r="I138" s="726">
        <v>19412.640710151187</v>
      </c>
      <c r="J138" s="729">
        <v>20024.455152579354</v>
      </c>
      <c r="K138" s="728">
        <v>19176.374988019161</v>
      </c>
      <c r="L138" s="726">
        <v>19380.053458157468</v>
      </c>
      <c r="M138" s="729">
        <v>19573.258349639586</v>
      </c>
      <c r="N138" s="725">
        <v>18460.528680647381</v>
      </c>
      <c r="O138" s="726">
        <v>18673.710029939259</v>
      </c>
      <c r="P138" s="727">
        <v>18669.072473434571</v>
      </c>
      <c r="Q138" s="728">
        <v>17543.122140693598</v>
      </c>
      <c r="R138" s="723"/>
    </row>
    <row r="139" spans="1:18" ht="14.4">
      <c r="A139" s="737" t="s">
        <v>771</v>
      </c>
      <c r="B139" s="741" t="s">
        <v>786</v>
      </c>
      <c r="C139" s="722" t="s">
        <v>739</v>
      </c>
      <c r="D139" s="724">
        <v>24080.607509052632</v>
      </c>
      <c r="E139" s="725">
        <v>21233.058679342048</v>
      </c>
      <c r="F139" s="726">
        <v>20837.785145767662</v>
      </c>
      <c r="G139" s="727">
        <v>19969.74728160314</v>
      </c>
      <c r="H139" s="728">
        <v>18502.84553355135</v>
      </c>
      <c r="I139" s="726">
        <v>18430.675136276677</v>
      </c>
      <c r="J139" s="729">
        <v>18971.398999053949</v>
      </c>
      <c r="K139" s="728">
        <v>18159.175668830532</v>
      </c>
      <c r="L139" s="726">
        <v>18436.749346241351</v>
      </c>
      <c r="M139" s="729">
        <v>18622.978290301824</v>
      </c>
      <c r="N139" s="725">
        <v>17553.922554380752</v>
      </c>
      <c r="O139" s="726">
        <v>17823.62422796588</v>
      </c>
      <c r="P139" s="727">
        <v>17863.308325110567</v>
      </c>
      <c r="Q139" s="728">
        <v>16766.633490965291</v>
      </c>
      <c r="R139" s="723"/>
    </row>
    <row r="140" spans="1:18" ht="15" thickBot="1">
      <c r="A140" s="737" t="s">
        <v>771</v>
      </c>
      <c r="B140" s="724" t="s">
        <v>786</v>
      </c>
      <c r="C140" s="722" t="s">
        <v>740</v>
      </c>
      <c r="D140" s="724">
        <v>23740.309961052626</v>
      </c>
      <c r="E140" s="725">
        <v>20564.655946348463</v>
      </c>
      <c r="F140" s="726">
        <v>20211.946369112844</v>
      </c>
      <c r="G140" s="727">
        <v>19378.909878186903</v>
      </c>
      <c r="H140" s="728">
        <v>17810.658041768704</v>
      </c>
      <c r="I140" s="726">
        <v>17805.311440797621</v>
      </c>
      <c r="J140" s="729">
        <v>18298.918488528394</v>
      </c>
      <c r="K140" s="728">
        <v>17477.780666305956</v>
      </c>
      <c r="L140" s="726">
        <v>17800.671108668819</v>
      </c>
      <c r="M140" s="729">
        <v>17985.605949834255</v>
      </c>
      <c r="N140" s="725">
        <v>16772.594872669008</v>
      </c>
      <c r="O140" s="726">
        <v>17112.20528976393</v>
      </c>
      <c r="P140" s="727">
        <v>17203.100893196457</v>
      </c>
      <c r="Q140" s="728">
        <v>15975.708916145877</v>
      </c>
      <c r="R140" s="723"/>
    </row>
    <row r="141" spans="1:18" ht="14.4">
      <c r="A141" s="734" t="s">
        <v>772</v>
      </c>
      <c r="B141" s="738" t="s">
        <v>786</v>
      </c>
      <c r="C141" s="700" t="s">
        <v>738</v>
      </c>
      <c r="D141" s="701">
        <v>26909.513359747372</v>
      </c>
      <c r="E141" s="702">
        <v>23484.010932057467</v>
      </c>
      <c r="F141" s="703">
        <v>22774.954423952997</v>
      </c>
      <c r="G141" s="704">
        <v>21599.182550966609</v>
      </c>
      <c r="H141" s="705">
        <v>21290.929141267912</v>
      </c>
      <c r="I141" s="703">
        <v>20767.544458748504</v>
      </c>
      <c r="J141" s="706">
        <v>21490.639472149294</v>
      </c>
      <c r="K141" s="705">
        <v>21017.089000132524</v>
      </c>
      <c r="L141" s="703">
        <v>20896.969584619943</v>
      </c>
      <c r="M141" s="706">
        <v>21095.562725993434</v>
      </c>
      <c r="N141" s="702">
        <v>20186.252223946194</v>
      </c>
      <c r="O141" s="703">
        <v>20210.491534815821</v>
      </c>
      <c r="P141" s="704">
        <v>20075.320816694897</v>
      </c>
      <c r="Q141" s="705">
        <v>19035.300980215023</v>
      </c>
      <c r="R141" s="707"/>
    </row>
    <row r="142" spans="1:18" ht="14.4">
      <c r="A142" s="734" t="s">
        <v>772</v>
      </c>
      <c r="B142" s="738" t="s">
        <v>786</v>
      </c>
      <c r="C142" s="708" t="s">
        <v>739</v>
      </c>
      <c r="D142" s="709">
        <v>26384.340535747371</v>
      </c>
      <c r="E142" s="710">
        <v>22799.19367229212</v>
      </c>
      <c r="F142" s="711">
        <v>22119.685455453971</v>
      </c>
      <c r="G142" s="712">
        <v>20965.171015943564</v>
      </c>
      <c r="H142" s="713">
        <v>20016.018790756931</v>
      </c>
      <c r="I142" s="711">
        <v>19642.488333724537</v>
      </c>
      <c r="J142" s="714">
        <v>20277.693268709976</v>
      </c>
      <c r="K142" s="713">
        <v>19753.294622911697</v>
      </c>
      <c r="L142" s="711">
        <v>19757.595338105795</v>
      </c>
      <c r="M142" s="714">
        <v>19955.937139604968</v>
      </c>
      <c r="N142" s="710">
        <v>18971.362166981235</v>
      </c>
      <c r="O142" s="711">
        <v>19119.443010028077</v>
      </c>
      <c r="P142" s="712">
        <v>19062.561544762182</v>
      </c>
      <c r="Q142" s="713">
        <v>17970.304509625519</v>
      </c>
      <c r="R142" s="707"/>
    </row>
    <row r="143" spans="1:18" ht="14.4">
      <c r="A143" s="734" t="s">
        <v>772</v>
      </c>
      <c r="B143" s="709" t="s">
        <v>786</v>
      </c>
      <c r="C143" s="708" t="s">
        <v>740</v>
      </c>
      <c r="D143" s="709">
        <v>25994.310523747368</v>
      </c>
      <c r="E143" s="710">
        <v>22022.996908403144</v>
      </c>
      <c r="F143" s="711">
        <v>21400.570459566585</v>
      </c>
      <c r="G143" s="712">
        <v>20294.078834162588</v>
      </c>
      <c r="H143" s="713">
        <v>18988.40060112995</v>
      </c>
      <c r="I143" s="711">
        <v>18740.39559320949</v>
      </c>
      <c r="J143" s="714">
        <v>19355.381020355675</v>
      </c>
      <c r="K143" s="713">
        <v>18746.261765123232</v>
      </c>
      <c r="L143" s="711">
        <v>18860.786641644358</v>
      </c>
      <c r="M143" s="714">
        <v>19082.782790180063</v>
      </c>
      <c r="N143" s="710">
        <v>17945.625921582552</v>
      </c>
      <c r="O143" s="711">
        <v>18212.725798112744</v>
      </c>
      <c r="P143" s="712">
        <v>18231.090174169094</v>
      </c>
      <c r="Q143" s="713">
        <v>17250.826138240682</v>
      </c>
      <c r="R143" s="707"/>
    </row>
    <row r="144" spans="1:18" ht="14.4">
      <c r="A144" s="737" t="s">
        <v>773</v>
      </c>
      <c r="B144" s="741" t="s">
        <v>786</v>
      </c>
      <c r="C144" s="715" t="s">
        <v>738</v>
      </c>
      <c r="D144" s="724">
        <v>27846.490531987372</v>
      </c>
      <c r="E144" s="725">
        <v>23874.00294397998</v>
      </c>
      <c r="F144" s="726">
        <v>23045.023120047903</v>
      </c>
      <c r="G144" s="727">
        <v>21784.881326348015</v>
      </c>
      <c r="H144" s="728">
        <v>22004.542574691219</v>
      </c>
      <c r="I144" s="726">
        <v>21326.947088761441</v>
      </c>
      <c r="J144" s="729">
        <v>21551.889198679284</v>
      </c>
      <c r="K144" s="728">
        <v>21310.267912742438</v>
      </c>
      <c r="L144" s="726">
        <v>20952.42471036085</v>
      </c>
      <c r="M144" s="729">
        <v>21158.165976680244</v>
      </c>
      <c r="N144" s="725">
        <v>20291.70331604137</v>
      </c>
      <c r="O144" s="726">
        <v>20266.526531867967</v>
      </c>
      <c r="P144" s="727">
        <v>20124.661421669047</v>
      </c>
      <c r="Q144" s="728">
        <v>19098.655062354355</v>
      </c>
      <c r="R144" s="723"/>
    </row>
    <row r="145" spans="1:18" ht="14.4">
      <c r="A145" s="737" t="s">
        <v>773</v>
      </c>
      <c r="B145" s="741" t="s">
        <v>786</v>
      </c>
      <c r="C145" s="722" t="s">
        <v>739</v>
      </c>
      <c r="D145" s="724">
        <v>27318.144919987371</v>
      </c>
      <c r="E145" s="725">
        <v>23181.136639053904</v>
      </c>
      <c r="F145" s="726">
        <v>22384.863293107435</v>
      </c>
      <c r="G145" s="727">
        <v>21147.135682085136</v>
      </c>
      <c r="H145" s="728">
        <v>20480.996464399079</v>
      </c>
      <c r="I145" s="726">
        <v>19996.181781438921</v>
      </c>
      <c r="J145" s="729">
        <v>20331.885340338071</v>
      </c>
      <c r="K145" s="728">
        <v>19880.986585928149</v>
      </c>
      <c r="L145" s="726">
        <v>19806.686209274656</v>
      </c>
      <c r="M145" s="729">
        <v>20011.681305377537</v>
      </c>
      <c r="N145" s="725">
        <v>19064.698825589392</v>
      </c>
      <c r="O145" s="726">
        <v>19170.075255352418</v>
      </c>
      <c r="P145" s="727">
        <v>19106.029503722439</v>
      </c>
      <c r="Q145" s="728">
        <v>18026.230565851998</v>
      </c>
      <c r="R145" s="723"/>
    </row>
    <row r="146" spans="1:18" ht="15" thickBot="1">
      <c r="A146" s="743" t="s">
        <v>773</v>
      </c>
      <c r="B146" s="724" t="s">
        <v>786</v>
      </c>
      <c r="C146" s="722" t="s">
        <v>740</v>
      </c>
      <c r="D146" s="724">
        <v>26926.52851398737</v>
      </c>
      <c r="E146" s="725">
        <v>22396.205640084572</v>
      </c>
      <c r="F146" s="726">
        <v>21660.443930499325</v>
      </c>
      <c r="G146" s="727">
        <v>20471.882870684247</v>
      </c>
      <c r="H146" s="728">
        <v>19389.85987592152</v>
      </c>
      <c r="I146" s="726">
        <v>19044.0948940946</v>
      </c>
      <c r="J146" s="729">
        <v>19404.581781532823</v>
      </c>
      <c r="K146" s="728">
        <v>18860.719166342955</v>
      </c>
      <c r="L146" s="726">
        <v>18904.643503027197</v>
      </c>
      <c r="M146" s="729">
        <v>19132.970278995508</v>
      </c>
      <c r="N146" s="725">
        <v>18027.366108647198</v>
      </c>
      <c r="O146" s="726">
        <v>18258.260067573185</v>
      </c>
      <c r="P146" s="727">
        <v>18268.917540622402</v>
      </c>
      <c r="Q146" s="728">
        <v>17303.922386510741</v>
      </c>
      <c r="R146" s="723"/>
    </row>
    <row r="147" spans="1:18" ht="13.8">
      <c r="A147" s="730"/>
      <c r="B147" s="730"/>
      <c r="C147" s="730"/>
      <c r="D147" s="730"/>
      <c r="E147" s="730"/>
      <c r="F147" s="730"/>
      <c r="G147" s="730"/>
      <c r="H147" s="730"/>
      <c r="I147" s="730"/>
      <c r="J147" s="730"/>
      <c r="K147" s="730"/>
      <c r="L147" s="730"/>
      <c r="M147" s="730"/>
      <c r="N147" s="730"/>
      <c r="O147" s="730"/>
      <c r="P147" s="730"/>
      <c r="Q147" s="730"/>
      <c r="R147" s="730"/>
    </row>
    <row r="148" spans="1:18" ht="13.8">
      <c r="A148" s="730"/>
      <c r="B148" s="730"/>
      <c r="C148" s="730"/>
      <c r="D148" s="1070"/>
      <c r="E148" s="1070"/>
      <c r="F148" s="1070"/>
      <c r="G148" s="1070"/>
      <c r="H148" s="1070"/>
      <c r="I148" s="1070"/>
      <c r="J148" s="1070"/>
      <c r="K148" s="1070"/>
      <c r="L148" s="1070"/>
      <c r="M148" s="1070"/>
      <c r="N148" s="1070"/>
      <c r="O148" s="1070"/>
      <c r="P148" s="1070"/>
      <c r="Q148" s="1070"/>
      <c r="R148" s="730"/>
    </row>
    <row r="149" spans="1:18" ht="13.8">
      <c r="A149" s="730"/>
      <c r="B149" s="730"/>
      <c r="C149" s="730"/>
      <c r="D149" s="1069"/>
      <c r="E149" s="1069"/>
      <c r="G149" s="1069"/>
      <c r="H149" s="1069"/>
      <c r="J149" s="1069"/>
      <c r="K149" s="1069"/>
      <c r="M149" s="1069"/>
      <c r="N149" s="1069"/>
      <c r="P149" s="1069"/>
      <c r="Q149" s="1069"/>
      <c r="R149" s="730"/>
    </row>
    <row r="150" spans="1:18" ht="13.8">
      <c r="A150" s="730"/>
      <c r="B150" s="730"/>
      <c r="C150" s="730"/>
      <c r="D150" s="730"/>
      <c r="E150" s="730"/>
      <c r="F150" s="730"/>
      <c r="G150" s="730"/>
      <c r="H150" s="730"/>
      <c r="I150" s="730"/>
      <c r="J150" s="730"/>
      <c r="K150" s="730"/>
      <c r="L150" s="730"/>
      <c r="M150" s="730"/>
      <c r="N150" s="730"/>
      <c r="O150" s="730"/>
      <c r="P150" s="730"/>
      <c r="Q150" s="730"/>
      <c r="R150" s="730"/>
    </row>
    <row r="151" spans="1:18" ht="13.8">
      <c r="A151" s="1506" t="s">
        <v>927</v>
      </c>
      <c r="B151" s="1506"/>
      <c r="C151" s="1506"/>
      <c r="D151" s="1506"/>
      <c r="E151" s="1506"/>
      <c r="F151" s="1506"/>
      <c r="G151" s="1506"/>
      <c r="H151" s="1506"/>
      <c r="I151" s="1506"/>
      <c r="J151" s="1506"/>
      <c r="K151" s="1506"/>
      <c r="L151" s="1506"/>
      <c r="M151" s="1506"/>
      <c r="N151" s="1506"/>
      <c r="O151" s="1506"/>
      <c r="P151" s="1506"/>
      <c r="Q151" s="1506"/>
      <c r="R151" s="730"/>
    </row>
    <row r="152" spans="1:18" ht="13.8">
      <c r="A152" s="1506"/>
      <c r="B152" s="1506"/>
      <c r="C152" s="1506"/>
      <c r="D152" s="1506"/>
      <c r="E152" s="1506"/>
      <c r="F152" s="1506"/>
      <c r="G152" s="1506"/>
      <c r="H152" s="1506"/>
      <c r="I152" s="1506"/>
      <c r="J152" s="1506"/>
      <c r="K152" s="1506"/>
      <c r="L152" s="1506"/>
      <c r="M152" s="1506"/>
      <c r="N152" s="1506"/>
      <c r="O152" s="1506"/>
      <c r="P152" s="1506"/>
      <c r="Q152" s="1506"/>
      <c r="R152" s="730"/>
    </row>
    <row r="153" spans="1:18" ht="14.25" customHeight="1">
      <c r="A153" s="1506"/>
      <c r="B153" s="1506"/>
      <c r="C153" s="1506"/>
      <c r="D153" s="1506"/>
      <c r="E153" s="1506"/>
      <c r="F153" s="1506"/>
      <c r="G153" s="1506"/>
      <c r="H153" s="1506"/>
      <c r="I153" s="1506"/>
      <c r="J153" s="1506"/>
      <c r="K153" s="1506"/>
      <c r="L153" s="1506"/>
      <c r="M153" s="1506"/>
      <c r="N153" s="1506"/>
      <c r="O153" s="1506"/>
      <c r="P153" s="1506"/>
      <c r="Q153" s="1506"/>
      <c r="R153" s="730"/>
    </row>
    <row r="154" spans="1:18" ht="13.8">
      <c r="A154" s="1506"/>
      <c r="B154" s="1506"/>
      <c r="C154" s="1506"/>
      <c r="D154" s="1506"/>
      <c r="E154" s="1506"/>
      <c r="F154" s="1506"/>
      <c r="G154" s="1506"/>
      <c r="H154" s="1506"/>
      <c r="I154" s="1506"/>
      <c r="J154" s="1506"/>
      <c r="K154" s="1506"/>
      <c r="L154" s="1506"/>
      <c r="M154" s="1506"/>
      <c r="N154" s="1506"/>
      <c r="O154" s="1506"/>
      <c r="P154" s="1506"/>
      <c r="Q154" s="1506"/>
      <c r="R154" s="730"/>
    </row>
    <row r="155" spans="1:18" ht="21.6" thickBot="1">
      <c r="A155" s="730"/>
      <c r="B155" s="730"/>
      <c r="C155" s="730"/>
      <c r="D155" s="1508" t="s">
        <v>909</v>
      </c>
      <c r="E155" s="1508"/>
      <c r="F155" s="1508"/>
      <c r="G155" s="1508"/>
      <c r="H155" s="1508"/>
      <c r="I155" s="1508"/>
      <c r="J155" s="1508"/>
      <c r="K155" s="1508"/>
      <c r="L155" s="1508"/>
      <c r="M155" s="1508"/>
      <c r="N155" s="1508"/>
      <c r="O155" s="1508"/>
      <c r="P155" s="1508"/>
      <c r="Q155" s="1508"/>
      <c r="R155"/>
    </row>
    <row r="156" spans="1:18" ht="15" thickBot="1">
      <c r="A156" s="1038"/>
      <c r="B156" s="1038"/>
      <c r="C156" s="688"/>
      <c r="D156" s="1498" t="s">
        <v>727</v>
      </c>
      <c r="E156" s="1499"/>
      <c r="F156" s="1499"/>
      <c r="G156" s="1499"/>
      <c r="H156" s="1499"/>
      <c r="I156" s="1499"/>
      <c r="J156" s="1499"/>
      <c r="K156" s="1499"/>
      <c r="L156" s="1499"/>
      <c r="M156" s="1499"/>
      <c r="N156" s="1499"/>
      <c r="O156" s="1499"/>
      <c r="P156" s="1499"/>
      <c r="Q156" s="1499"/>
      <c r="R156"/>
    </row>
    <row r="157" spans="1:18" ht="15" thickBot="1">
      <c r="A157" s="690"/>
      <c r="B157" s="755" t="s">
        <v>807</v>
      </c>
      <c r="C157" s="756">
        <v>0.55000000000000004</v>
      </c>
      <c r="D157" s="691" t="s">
        <v>728</v>
      </c>
      <c r="E157" s="1500" t="s">
        <v>729</v>
      </c>
      <c r="F157" s="1501"/>
      <c r="G157" s="1501"/>
      <c r="H157" s="1500" t="s">
        <v>730</v>
      </c>
      <c r="I157" s="1501"/>
      <c r="J157" s="1502"/>
      <c r="K157" s="1500" t="s">
        <v>731</v>
      </c>
      <c r="L157" s="1501"/>
      <c r="M157" s="1502"/>
      <c r="N157" s="1500" t="s">
        <v>732</v>
      </c>
      <c r="O157" s="1501"/>
      <c r="P157" s="1502"/>
      <c r="Q157" s="1166" t="s">
        <v>733</v>
      </c>
      <c r="R157"/>
    </row>
    <row r="158" spans="1:18" ht="15" thickBot="1">
      <c r="A158" s="688"/>
      <c r="B158" s="757" t="s">
        <v>808</v>
      </c>
      <c r="C158" s="756">
        <v>0.7</v>
      </c>
      <c r="D158" s="695" t="s">
        <v>96</v>
      </c>
      <c r="E158" s="696" t="s">
        <v>734</v>
      </c>
      <c r="F158" s="697" t="s">
        <v>735</v>
      </c>
      <c r="G158" s="698" t="s">
        <v>736</v>
      </c>
      <c r="H158" s="696" t="s">
        <v>734</v>
      </c>
      <c r="I158" s="697" t="s">
        <v>735</v>
      </c>
      <c r="J158" s="698" t="s">
        <v>736</v>
      </c>
      <c r="K158" s="696" t="s">
        <v>734</v>
      </c>
      <c r="L158" s="697" t="s">
        <v>735</v>
      </c>
      <c r="M158" s="698" t="s">
        <v>736</v>
      </c>
      <c r="N158" s="696" t="s">
        <v>734</v>
      </c>
      <c r="O158" s="697" t="s">
        <v>735</v>
      </c>
      <c r="P158" s="698" t="s">
        <v>736</v>
      </c>
      <c r="Q158" s="696" t="s">
        <v>734</v>
      </c>
      <c r="R158"/>
    </row>
    <row r="159" spans="1:18" ht="14.4">
      <c r="A159" s="1503" t="s">
        <v>758</v>
      </c>
      <c r="B159" s="1039" t="s">
        <v>910</v>
      </c>
      <c r="C159" s="1503"/>
      <c r="D159" s="1040">
        <v>9533</v>
      </c>
      <c r="E159" s="1041">
        <v>9894.5216</v>
      </c>
      <c r="F159" s="1041">
        <v>10387.0136</v>
      </c>
      <c r="G159" s="1042">
        <v>10577.516</v>
      </c>
      <c r="H159" s="1043">
        <v>9987.6080000000002</v>
      </c>
      <c r="I159" s="1041">
        <v>10651.660400000001</v>
      </c>
      <c r="J159" s="1044">
        <v>10907.1068</v>
      </c>
      <c r="K159" s="1043">
        <v>10080.6944</v>
      </c>
      <c r="L159" s="1041">
        <v>10946.6144</v>
      </c>
      <c r="M159" s="1044">
        <v>11236.6976</v>
      </c>
      <c r="N159" s="1045">
        <v>10357.5182</v>
      </c>
      <c r="O159" s="1041">
        <v>11206.9316</v>
      </c>
      <c r="P159" s="1042">
        <v>11605.254800000001</v>
      </c>
      <c r="Q159" s="1043">
        <v>10634.342000000001</v>
      </c>
      <c r="R159"/>
    </row>
    <row r="160" spans="1:18" ht="14.4">
      <c r="A160" s="1504"/>
      <c r="B160" s="1046" t="s">
        <v>911</v>
      </c>
      <c r="C160" s="1504"/>
      <c r="D160" s="1047"/>
      <c r="E160" s="1048"/>
      <c r="F160" s="1048"/>
      <c r="G160" s="1049"/>
      <c r="H160" s="1050"/>
      <c r="I160" s="1048"/>
      <c r="J160" s="1051"/>
      <c r="K160" s="1050"/>
      <c r="L160" s="1048"/>
      <c r="M160" s="1051"/>
      <c r="N160" s="1052"/>
      <c r="O160" s="1048"/>
      <c r="P160" s="1049"/>
      <c r="Q160" s="1050"/>
      <c r="R160"/>
    </row>
    <row r="161" spans="1:18" ht="14.4">
      <c r="A161" s="1504"/>
      <c r="B161" s="1046" t="s">
        <v>912</v>
      </c>
      <c r="C161" s="1504"/>
      <c r="D161" s="1047"/>
      <c r="E161" s="1048"/>
      <c r="F161" s="1048"/>
      <c r="G161" s="1049"/>
      <c r="H161" s="1050"/>
      <c r="I161" s="1048"/>
      <c r="J161" s="1051"/>
      <c r="K161" s="1050"/>
      <c r="L161" s="1048"/>
      <c r="M161" s="1051"/>
      <c r="N161" s="1052"/>
      <c r="O161" s="1048"/>
      <c r="P161" s="1049"/>
      <c r="Q161" s="1050"/>
      <c r="R161"/>
    </row>
    <row r="162" spans="1:18" ht="14.4">
      <c r="A162" s="1504"/>
      <c r="B162" s="1046" t="s">
        <v>913</v>
      </c>
      <c r="C162" s="1504"/>
      <c r="D162" s="1048">
        <f t="shared" ref="D162:Q162" si="5">D176*D187*1.5</f>
        <v>26452.950290510009</v>
      </c>
      <c r="E162" s="1048">
        <f>E176*E187*1.5</f>
        <v>32399.213114754097</v>
      </c>
      <c r="F162" s="1048">
        <f t="shared" si="5"/>
        <v>27474.610244988864</v>
      </c>
      <c r="G162" s="1049">
        <f t="shared" si="5"/>
        <v>22111.82608695652</v>
      </c>
      <c r="H162" s="1050" t="e">
        <f t="shared" si="5"/>
        <v>#REF!</v>
      </c>
      <c r="I162" s="1048" t="e">
        <f t="shared" si="5"/>
        <v>#REF!</v>
      </c>
      <c r="J162" s="1051" t="e">
        <f t="shared" si="5"/>
        <v>#REF!</v>
      </c>
      <c r="K162" s="1050" t="e">
        <f t="shared" si="5"/>
        <v>#REF!</v>
      </c>
      <c r="L162" s="1048" t="e">
        <f t="shared" si="5"/>
        <v>#REF!</v>
      </c>
      <c r="M162" s="1051" t="e">
        <f t="shared" si="5"/>
        <v>#REF!</v>
      </c>
      <c r="N162" s="1052" t="e">
        <f t="shared" si="5"/>
        <v>#REF!</v>
      </c>
      <c r="O162" s="1048" t="e">
        <f t="shared" si="5"/>
        <v>#REF!</v>
      </c>
      <c r="P162" s="1049" t="e">
        <f t="shared" si="5"/>
        <v>#REF!</v>
      </c>
      <c r="Q162" s="1050" t="e">
        <f t="shared" si="5"/>
        <v>#REF!</v>
      </c>
      <c r="R162"/>
    </row>
    <row r="163" spans="1:18" ht="14.4">
      <c r="A163" s="1504"/>
      <c r="B163" s="1046" t="s">
        <v>914</v>
      </c>
      <c r="C163" s="1504"/>
      <c r="D163" s="1047">
        <v>3653.1749999999997</v>
      </c>
      <c r="E163" s="1048">
        <v>2988.0576000000001</v>
      </c>
      <c r="F163" s="1048">
        <v>2396.2524000000003</v>
      </c>
      <c r="G163" s="1049">
        <v>1930.9198999999999</v>
      </c>
      <c r="H163" s="1050">
        <v>2116.17</v>
      </c>
      <c r="I163" s="1048">
        <v>1594.4588999999999</v>
      </c>
      <c r="J163" s="1051">
        <v>1207.3399999999999</v>
      </c>
      <c r="K163" s="1050">
        <v>1949.4909999999998</v>
      </c>
      <c r="L163" s="1048">
        <v>1456.8375000000001</v>
      </c>
      <c r="M163" s="1051">
        <v>1047.4589999999998</v>
      </c>
      <c r="N163" s="1052">
        <v>1565.9549999999999</v>
      </c>
      <c r="O163" s="1048">
        <v>1068.4785279999999</v>
      </c>
      <c r="P163" s="1049">
        <v>790.65433199999995</v>
      </c>
      <c r="Q163" s="1050">
        <v>1373.396</v>
      </c>
      <c r="R163"/>
    </row>
    <row r="164" spans="1:18" ht="14.4">
      <c r="A164" s="1504"/>
      <c r="B164" s="1046" t="s">
        <v>915</v>
      </c>
      <c r="C164" s="1504"/>
      <c r="D164" s="1047">
        <v>1508.5002540952298</v>
      </c>
      <c r="E164" s="1048">
        <v>1400.7502359455707</v>
      </c>
      <c r="F164" s="1048">
        <v>921.94718861209947</v>
      </c>
      <c r="G164" s="1049">
        <v>768.28932384341624</v>
      </c>
      <c r="H164" s="1050">
        <v>1229.262918149466</v>
      </c>
      <c r="I164" s="1048">
        <v>829.75246975088953</v>
      </c>
      <c r="J164" s="1051">
        <v>600.97298220640562</v>
      </c>
      <c r="K164" s="1050">
        <v>1044.8734804270462</v>
      </c>
      <c r="L164" s="1048">
        <v>710.24079715302491</v>
      </c>
      <c r="M164" s="1051">
        <v>501.94902491103204</v>
      </c>
      <c r="N164" s="1052">
        <v>860.48404270462618</v>
      </c>
      <c r="O164" s="1048">
        <v>682.92384341637012</v>
      </c>
      <c r="P164" s="1049">
        <v>478.04669039145904</v>
      </c>
      <c r="Q164" s="1050">
        <v>682.92384341637012</v>
      </c>
      <c r="R164"/>
    </row>
    <row r="165" spans="1:18" ht="14.4">
      <c r="A165" s="1504"/>
      <c r="B165" s="1046" t="s">
        <v>916</v>
      </c>
      <c r="C165" s="1504"/>
      <c r="D165" s="1047">
        <v>1853.6590000000001</v>
      </c>
      <c r="E165" s="1048">
        <v>1317.568</v>
      </c>
      <c r="F165" s="1048">
        <v>1145.4949999999999</v>
      </c>
      <c r="G165" s="1049">
        <v>1017.144</v>
      </c>
      <c r="H165" s="1050">
        <v>923.6</v>
      </c>
      <c r="I165" s="1048">
        <v>764.04600000000005</v>
      </c>
      <c r="J165" s="1051">
        <v>645.45600000000002</v>
      </c>
      <c r="K165" s="1050">
        <v>819.41399999999999</v>
      </c>
      <c r="L165" s="1048">
        <v>655.56799999999998</v>
      </c>
      <c r="M165" s="1051">
        <v>539.245</v>
      </c>
      <c r="N165" s="1052">
        <v>689.10400000000004</v>
      </c>
      <c r="O165" s="1048">
        <v>538.50300000000004</v>
      </c>
      <c r="P165" s="1049">
        <v>425.202</v>
      </c>
      <c r="Q165" s="1050">
        <v>578.08799999999997</v>
      </c>
      <c r="R165"/>
    </row>
    <row r="166" spans="1:18" ht="14.4">
      <c r="A166" s="1504"/>
      <c r="B166" s="1046" t="s">
        <v>917</v>
      </c>
      <c r="C166" s="1504"/>
      <c r="D166" s="1047">
        <v>0</v>
      </c>
      <c r="E166" s="1048">
        <v>0</v>
      </c>
      <c r="F166" s="1048">
        <v>0</v>
      </c>
      <c r="G166" s="1049">
        <v>0</v>
      </c>
      <c r="H166" s="1050">
        <v>0</v>
      </c>
      <c r="I166" s="1048">
        <v>0</v>
      </c>
      <c r="J166" s="1051">
        <v>0</v>
      </c>
      <c r="K166" s="1050">
        <v>0</v>
      </c>
      <c r="L166" s="1048">
        <v>0</v>
      </c>
      <c r="M166" s="1051">
        <v>0</v>
      </c>
      <c r="N166" s="1052">
        <v>0</v>
      </c>
      <c r="O166" s="1048">
        <v>0</v>
      </c>
      <c r="P166" s="1049">
        <v>0</v>
      </c>
      <c r="Q166" s="1050">
        <v>0</v>
      </c>
      <c r="R166"/>
    </row>
    <row r="167" spans="1:18" ht="14.4">
      <c r="A167" s="1504"/>
      <c r="B167" s="1046" t="s">
        <v>918</v>
      </c>
      <c r="C167" s="1504"/>
      <c r="D167" s="1047"/>
      <c r="E167" s="1048"/>
      <c r="F167" s="1048"/>
      <c r="G167" s="1049"/>
      <c r="H167" s="1050"/>
      <c r="I167" s="1048"/>
      <c r="J167" s="1051"/>
      <c r="K167" s="1050"/>
      <c r="L167" s="1048"/>
      <c r="M167" s="1051"/>
      <c r="N167" s="1052"/>
      <c r="O167" s="1048"/>
      <c r="P167" s="1049"/>
      <c r="Q167" s="1050"/>
      <c r="R167" s="730"/>
    </row>
    <row r="168" spans="1:18" ht="14.4">
      <c r="A168" s="1504"/>
      <c r="B168" s="1046" t="s">
        <v>919</v>
      </c>
      <c r="C168" s="1504"/>
      <c r="D168" s="1047">
        <v>731.03200000000004</v>
      </c>
      <c r="E168" s="1048">
        <v>695.20415815849674</v>
      </c>
      <c r="F168" s="1048">
        <v>604.52535492043205</v>
      </c>
      <c r="G168" s="1049">
        <v>513.84655168236725</v>
      </c>
      <c r="H168" s="1050">
        <v>661.13223705783639</v>
      </c>
      <c r="I168" s="1048">
        <v>574.89759744159687</v>
      </c>
      <c r="J168" s="1051">
        <v>488.66295782535735</v>
      </c>
      <c r="K168" s="1050">
        <v>628.73017911013039</v>
      </c>
      <c r="L168" s="1048">
        <v>546.72189487837431</v>
      </c>
      <c r="M168" s="1051">
        <v>464.71361064661818</v>
      </c>
      <c r="N168" s="1052">
        <v>597.91614440557885</v>
      </c>
      <c r="O168" s="1048">
        <v>519.92708209180773</v>
      </c>
      <c r="P168" s="1049">
        <v>441.93801977803656</v>
      </c>
      <c r="Q168" s="1050">
        <v>514.24277537092507</v>
      </c>
      <c r="R168" s="730"/>
    </row>
    <row r="169" spans="1:18" ht="14.4">
      <c r="A169" s="1505"/>
      <c r="B169" s="1053" t="s">
        <v>920</v>
      </c>
      <c r="C169" s="1505"/>
      <c r="D169" s="1047">
        <v>1349.9044210526317</v>
      </c>
      <c r="E169" s="1048">
        <v>1294.154243139842</v>
      </c>
      <c r="F169" s="1048">
        <v>1281.9134010345788</v>
      </c>
      <c r="G169" s="1049">
        <v>1266.0814852451051</v>
      </c>
      <c r="H169" s="1050">
        <v>1246.2076653901192</v>
      </c>
      <c r="I169" s="1048">
        <v>1234.1773496006454</v>
      </c>
      <c r="J169" s="1051">
        <v>1218.5559601269613</v>
      </c>
      <c r="K169" s="1050">
        <v>1200.4768145283656</v>
      </c>
      <c r="L169" s="1048">
        <v>1189.162288212576</v>
      </c>
      <c r="M169" s="1051">
        <v>1174.4040566336287</v>
      </c>
      <c r="N169" s="1052">
        <v>1159.1688873640508</v>
      </c>
      <c r="O169" s="1048">
        <v>1148.1701505219453</v>
      </c>
      <c r="P169" s="1049">
        <v>1133.2013926272086</v>
      </c>
      <c r="Q169" s="1050">
        <v>1047.5118430969505</v>
      </c>
      <c r="R169" s="730"/>
    </row>
    <row r="170" spans="1:18" ht="13.8">
      <c r="A170" s="730"/>
      <c r="B170" s="730"/>
      <c r="C170" s="730"/>
      <c r="D170" s="730"/>
      <c r="E170" s="730"/>
      <c r="F170" s="730"/>
      <c r="G170" s="730"/>
      <c r="H170" s="730"/>
      <c r="I170" s="730"/>
      <c r="J170" s="730"/>
      <c r="K170" s="730"/>
      <c r="L170" s="730"/>
      <c r="M170" s="730"/>
      <c r="N170" s="730"/>
      <c r="O170" s="730"/>
      <c r="P170" s="730"/>
      <c r="Q170" s="730"/>
      <c r="R170"/>
    </row>
    <row r="171" spans="1:18" ht="13.8">
      <c r="A171" s="730"/>
      <c r="B171" s="730"/>
      <c r="C171" s="730"/>
      <c r="D171" s="730"/>
      <c r="E171" s="730"/>
      <c r="F171" s="730"/>
      <c r="G171" s="730"/>
      <c r="H171" s="730"/>
      <c r="I171" s="730"/>
      <c r="J171" s="730"/>
      <c r="K171" s="730"/>
      <c r="L171" s="730"/>
      <c r="M171" s="730"/>
      <c r="N171" s="730"/>
      <c r="O171" s="730"/>
      <c r="P171" s="730"/>
      <c r="Q171" s="730"/>
      <c r="R171"/>
    </row>
    <row r="172" spans="1:18" ht="21.6" thickBot="1">
      <c r="A172" s="730"/>
      <c r="B172" s="730"/>
      <c r="D172" s="1507" t="s">
        <v>925</v>
      </c>
      <c r="E172" s="1507"/>
      <c r="F172" s="1507"/>
      <c r="G172" s="1507"/>
      <c r="H172" s="1507"/>
      <c r="I172" s="1507"/>
      <c r="J172" s="1507"/>
      <c r="K172" s="1507"/>
      <c r="L172" s="1507"/>
      <c r="M172" s="1507"/>
      <c r="N172" s="1507"/>
      <c r="O172" s="1507"/>
      <c r="P172" s="1507"/>
      <c r="Q172" s="1507"/>
      <c r="R172"/>
    </row>
    <row r="173" spans="1:18" ht="15" thickBot="1">
      <c r="D173" s="1498" t="s">
        <v>727</v>
      </c>
      <c r="E173" s="1499"/>
      <c r="F173" s="1499"/>
      <c r="G173" s="1499"/>
      <c r="H173" s="1499"/>
      <c r="I173" s="1499"/>
      <c r="J173" s="1499"/>
      <c r="K173" s="1499"/>
      <c r="L173" s="1499"/>
      <c r="M173" s="1499"/>
      <c r="N173" s="1499"/>
      <c r="O173" s="1499"/>
      <c r="P173" s="1499"/>
      <c r="Q173" s="1499"/>
      <c r="R173"/>
    </row>
    <row r="174" spans="1:18" ht="15" thickBot="1">
      <c r="C174" s="570" t="s">
        <v>926</v>
      </c>
      <c r="D174" s="691" t="s">
        <v>728</v>
      </c>
      <c r="E174" s="1500" t="s">
        <v>729</v>
      </c>
      <c r="F174" s="1501"/>
      <c r="G174" s="1501"/>
      <c r="H174" s="1500" t="s">
        <v>730</v>
      </c>
      <c r="I174" s="1501"/>
      <c r="J174" s="1502"/>
      <c r="K174" s="1500" t="s">
        <v>731</v>
      </c>
      <c r="L174" s="1501"/>
      <c r="M174" s="1502"/>
      <c r="N174" s="1500" t="s">
        <v>732</v>
      </c>
      <c r="O174" s="1501"/>
      <c r="P174" s="1502"/>
      <c r="Q174" s="1166" t="s">
        <v>733</v>
      </c>
      <c r="R174"/>
    </row>
    <row r="175" spans="1:18" ht="15" thickBot="1">
      <c r="D175" s="695" t="s">
        <v>96</v>
      </c>
      <c r="E175" s="696" t="s">
        <v>734</v>
      </c>
      <c r="F175" s="697" t="s">
        <v>735</v>
      </c>
      <c r="G175" s="698" t="s">
        <v>736</v>
      </c>
      <c r="H175" s="696" t="s">
        <v>734</v>
      </c>
      <c r="I175" s="697" t="s">
        <v>735</v>
      </c>
      <c r="J175" s="698" t="s">
        <v>736</v>
      </c>
      <c r="K175" s="696" t="s">
        <v>734</v>
      </c>
      <c r="L175" s="697" t="s">
        <v>735</v>
      </c>
      <c r="M175" s="698" t="s">
        <v>736</v>
      </c>
      <c r="N175" s="696" t="s">
        <v>734</v>
      </c>
      <c r="O175" s="697" t="s">
        <v>735</v>
      </c>
      <c r="P175" s="698" t="s">
        <v>736</v>
      </c>
      <c r="Q175" s="696" t="s">
        <v>734</v>
      </c>
      <c r="R175"/>
    </row>
    <row r="176" spans="1:18">
      <c r="D176" s="570">
        <f>F176</f>
        <v>280</v>
      </c>
      <c r="E176" s="570">
        <f>F176*1.2</f>
        <v>336</v>
      </c>
      <c r="F176" s="570">
        <v>280</v>
      </c>
      <c r="G176" s="570">
        <f>F176*0.8</f>
        <v>224</v>
      </c>
      <c r="H176" s="570" t="e">
        <f>I176*1.2</f>
        <v>#REF!</v>
      </c>
      <c r="I176" s="570" t="e">
        <f>($F$176-#REF!)/4*3+#REF!</f>
        <v>#REF!</v>
      </c>
      <c r="J176" s="570" t="e">
        <f>I176*0.8</f>
        <v>#REF!</v>
      </c>
      <c r="K176" s="570" t="e">
        <f>L176*1.2</f>
        <v>#REF!</v>
      </c>
      <c r="L176" s="570" t="e">
        <f>($F$176-#REF!)/4*2+#REF!</f>
        <v>#REF!</v>
      </c>
      <c r="M176" s="570" t="e">
        <f>L176*0.8</f>
        <v>#REF!</v>
      </c>
      <c r="N176" s="570" t="e">
        <f>O176*1.2</f>
        <v>#REF!</v>
      </c>
      <c r="O176" s="570" t="e">
        <f>($F$176-#REF!)/4*1+#REF!</f>
        <v>#REF!</v>
      </c>
      <c r="P176" s="570" t="e">
        <f>O176*0.8</f>
        <v>#REF!</v>
      </c>
      <c r="Q176" s="570" t="e">
        <f>#REF!*1.2</f>
        <v>#REF!</v>
      </c>
      <c r="R176"/>
    </row>
    <row r="177" spans="1:19">
      <c r="D177" s="570" t="s">
        <v>928</v>
      </c>
      <c r="R177"/>
    </row>
    <row r="178" spans="1:19" ht="13.8">
      <c r="A178" s="730"/>
      <c r="B178" s="730"/>
      <c r="C178" s="730"/>
      <c r="D178" s="730"/>
      <c r="E178" s="730"/>
      <c r="F178" s="730"/>
      <c r="G178" s="730"/>
      <c r="H178" s="730"/>
      <c r="I178" s="730"/>
      <c r="J178" s="730"/>
      <c r="K178" s="730"/>
      <c r="L178" s="730"/>
      <c r="M178" s="730"/>
      <c r="N178" s="730"/>
      <c r="O178" s="730"/>
      <c r="P178" s="730"/>
      <c r="Q178" s="730"/>
      <c r="R178"/>
    </row>
    <row r="179" spans="1:19" ht="21.6" thickBot="1">
      <c r="A179" s="730"/>
      <c r="B179" s="730"/>
      <c r="C179" s="730"/>
      <c r="D179" s="1508" t="s">
        <v>924</v>
      </c>
      <c r="E179" s="1508"/>
      <c r="F179" s="1508"/>
      <c r="G179" s="1508"/>
      <c r="H179" s="1508"/>
      <c r="I179" s="1508"/>
      <c r="J179" s="1508"/>
      <c r="K179" s="1508"/>
      <c r="L179" s="1508"/>
      <c r="M179" s="1508"/>
      <c r="N179" s="1508"/>
      <c r="O179" s="1508"/>
      <c r="P179" s="1508"/>
      <c r="Q179" s="1508"/>
      <c r="R179"/>
    </row>
    <row r="180" spans="1:19" ht="15" thickBot="1">
      <c r="A180" s="688"/>
      <c r="B180" s="688"/>
      <c r="C180" s="688"/>
      <c r="D180" s="1498" t="s">
        <v>727</v>
      </c>
      <c r="E180" s="1499"/>
      <c r="F180" s="1499"/>
      <c r="G180" s="1499"/>
      <c r="H180" s="1499"/>
      <c r="I180" s="1499"/>
      <c r="J180" s="1499"/>
      <c r="K180" s="1499"/>
      <c r="L180" s="1499"/>
      <c r="M180" s="1499"/>
      <c r="N180" s="1499"/>
      <c r="O180" s="1499"/>
      <c r="P180" s="1499"/>
      <c r="Q180" s="1499"/>
      <c r="R180" s="730"/>
      <c r="S180" s="730"/>
    </row>
    <row r="181" spans="1:19" ht="15" thickBot="1">
      <c r="A181" s="690"/>
      <c r="B181" s="690"/>
      <c r="C181" s="690"/>
      <c r="D181" s="691" t="s">
        <v>728</v>
      </c>
      <c r="E181" s="1500" t="s">
        <v>729</v>
      </c>
      <c r="F181" s="1501"/>
      <c r="G181" s="1501"/>
      <c r="H181" s="1500" t="s">
        <v>730</v>
      </c>
      <c r="I181" s="1501"/>
      <c r="J181" s="1502"/>
      <c r="K181" s="1500" t="s">
        <v>731</v>
      </c>
      <c r="L181" s="1501"/>
      <c r="M181" s="1502"/>
      <c r="N181" s="1500" t="s">
        <v>732</v>
      </c>
      <c r="O181" s="1501"/>
      <c r="P181" s="1502"/>
      <c r="Q181" s="1166" t="s">
        <v>733</v>
      </c>
      <c r="R181" s="730"/>
      <c r="S181" s="730"/>
    </row>
    <row r="182" spans="1:19" ht="15" thickBot="1">
      <c r="A182" s="688"/>
      <c r="B182" s="688"/>
      <c r="C182" s="694"/>
      <c r="D182" s="695" t="s">
        <v>96</v>
      </c>
      <c r="E182" s="696" t="s">
        <v>734</v>
      </c>
      <c r="F182" s="697" t="s">
        <v>735</v>
      </c>
      <c r="G182" s="698" t="s">
        <v>736</v>
      </c>
      <c r="H182" s="696" t="s">
        <v>734</v>
      </c>
      <c r="I182" s="697" t="s">
        <v>735</v>
      </c>
      <c r="J182" s="698" t="s">
        <v>736</v>
      </c>
      <c r="K182" s="696" t="s">
        <v>734</v>
      </c>
      <c r="L182" s="697" t="s">
        <v>735</v>
      </c>
      <c r="M182" s="698" t="s">
        <v>736</v>
      </c>
      <c r="N182" s="696" t="s">
        <v>734</v>
      </c>
      <c r="O182" s="697" t="s">
        <v>735</v>
      </c>
      <c r="P182" s="698" t="s">
        <v>736</v>
      </c>
      <c r="Q182" s="696" t="s">
        <v>734</v>
      </c>
      <c r="R182" s="730"/>
      <c r="S182" s="730"/>
    </row>
    <row r="183" spans="1:19" ht="14.4">
      <c r="A183" s="1495" t="s">
        <v>758</v>
      </c>
      <c r="B183" s="1054" t="s">
        <v>921</v>
      </c>
      <c r="C183" s="1495"/>
      <c r="D183" s="1055">
        <v>79977</v>
      </c>
      <c r="E183" s="1056">
        <v>76244</v>
      </c>
      <c r="F183" s="1057">
        <v>70047</v>
      </c>
      <c r="G183" s="1058">
        <v>65698</v>
      </c>
      <c r="H183" s="1059">
        <v>73929</v>
      </c>
      <c r="I183" s="1057">
        <v>66694</v>
      </c>
      <c r="J183" s="1060">
        <v>61739</v>
      </c>
      <c r="K183" s="1059">
        <v>72402</v>
      </c>
      <c r="L183" s="1057">
        <v>63778</v>
      </c>
      <c r="M183" s="1060">
        <v>58429</v>
      </c>
      <c r="N183" s="1056">
        <v>67619</v>
      </c>
      <c r="O183" s="1057">
        <v>58886</v>
      </c>
      <c r="P183" s="1058">
        <v>52847</v>
      </c>
      <c r="Q183" s="1059">
        <v>64081</v>
      </c>
      <c r="R183" s="730"/>
      <c r="S183" s="730"/>
    </row>
    <row r="184" spans="1:19" ht="14.4">
      <c r="A184" s="1496"/>
      <c r="B184" s="1061" t="s">
        <v>916</v>
      </c>
      <c r="C184" s="1496"/>
      <c r="D184" s="1062">
        <v>97561</v>
      </c>
      <c r="E184" s="1063">
        <v>94112</v>
      </c>
      <c r="F184" s="1064">
        <v>88115</v>
      </c>
      <c r="G184" s="1065">
        <v>84762</v>
      </c>
      <c r="H184" s="1066">
        <v>92360</v>
      </c>
      <c r="I184" s="1064">
        <v>84894</v>
      </c>
      <c r="J184" s="1067">
        <v>80682</v>
      </c>
      <c r="K184" s="1066">
        <v>91046</v>
      </c>
      <c r="L184" s="1064">
        <v>81946</v>
      </c>
      <c r="M184" s="1067">
        <v>77035</v>
      </c>
      <c r="N184" s="1063">
        <v>86138</v>
      </c>
      <c r="O184" s="1064">
        <v>76929</v>
      </c>
      <c r="P184" s="1065">
        <v>70867</v>
      </c>
      <c r="Q184" s="1066">
        <v>82584</v>
      </c>
      <c r="R184" s="730"/>
      <c r="S184" s="730"/>
    </row>
    <row r="185" spans="1:19" ht="14.4">
      <c r="A185" s="1496"/>
      <c r="B185" s="1061" t="s">
        <v>922</v>
      </c>
      <c r="C185" s="1496"/>
      <c r="D185" s="1062"/>
      <c r="E185" s="1063"/>
      <c r="F185" s="1064"/>
      <c r="G185" s="1065"/>
      <c r="H185" s="1066"/>
      <c r="I185" s="1064"/>
      <c r="J185" s="1067"/>
      <c r="K185" s="1066"/>
      <c r="L185" s="1064"/>
      <c r="M185" s="1067"/>
      <c r="N185" s="1063"/>
      <c r="O185" s="1064"/>
      <c r="P185" s="1065"/>
      <c r="Q185" s="1066"/>
      <c r="R185" s="730"/>
      <c r="S185" s="730"/>
    </row>
    <row r="186" spans="1:19" ht="14.4">
      <c r="A186" s="1496"/>
      <c r="B186" s="1061" t="s">
        <v>537</v>
      </c>
      <c r="C186" s="1496"/>
      <c r="D186" s="1062">
        <v>33516</v>
      </c>
      <c r="E186" s="1063">
        <v>31122</v>
      </c>
      <c r="F186" s="1064">
        <v>30731.4</v>
      </c>
      <c r="G186" s="1065">
        <v>30731.4</v>
      </c>
      <c r="H186" s="1066">
        <v>30731.4</v>
      </c>
      <c r="I186" s="1064">
        <v>30731.4</v>
      </c>
      <c r="J186" s="1067">
        <v>27316.800000000003</v>
      </c>
      <c r="K186" s="1066">
        <v>30731.4</v>
      </c>
      <c r="L186" s="1064">
        <v>27316.800000000003</v>
      </c>
      <c r="M186" s="1067">
        <v>23902.2</v>
      </c>
      <c r="N186" s="1063">
        <v>30731.4</v>
      </c>
      <c r="O186" s="1064">
        <v>27316.800000000003</v>
      </c>
      <c r="P186" s="1065">
        <v>23902.2</v>
      </c>
      <c r="Q186" s="1066">
        <v>27316.800000000003</v>
      </c>
      <c r="R186" s="730"/>
      <c r="S186" s="730"/>
    </row>
    <row r="187" spans="1:19" ht="14.4">
      <c r="A187" s="1497"/>
      <c r="B187" s="1068" t="s">
        <v>923</v>
      </c>
      <c r="C187" s="1497"/>
      <c r="D187" s="1062">
        <v>62.983214977404778</v>
      </c>
      <c r="E187" s="1063">
        <v>64.284153005464475</v>
      </c>
      <c r="F187" s="1064">
        <v>65.415738678544912</v>
      </c>
      <c r="G187" s="1065">
        <v>65.809006211180119</v>
      </c>
      <c r="H187" s="1066">
        <v>65.457122608079374</v>
      </c>
      <c r="I187" s="1064">
        <v>66.845669291338581</v>
      </c>
      <c r="J187" s="1067">
        <v>67.45986622073579</v>
      </c>
      <c r="K187" s="1066">
        <v>66.167151162790702</v>
      </c>
      <c r="L187" s="1064">
        <v>68.118038237738986</v>
      </c>
      <c r="M187" s="1067">
        <v>68.842716711349425</v>
      </c>
      <c r="N187" s="1063">
        <v>65.955589586523743</v>
      </c>
      <c r="O187" s="1064">
        <v>68.078761061946906</v>
      </c>
      <c r="P187" s="1065">
        <v>68.936770428015564</v>
      </c>
      <c r="Q187" s="1066">
        <v>66.923824959481365</v>
      </c>
      <c r="R187" s="730"/>
      <c r="S187" s="730"/>
    </row>
    <row r="188" spans="1:19" ht="13.8">
      <c r="A188" s="730"/>
      <c r="B188" s="730"/>
      <c r="C188" s="730"/>
      <c r="D188" s="730"/>
      <c r="E188" s="730"/>
      <c r="F188" s="730"/>
      <c r="G188" s="730"/>
      <c r="H188" s="730"/>
      <c r="I188" s="730"/>
      <c r="J188" s="730"/>
      <c r="K188" s="730"/>
      <c r="L188" s="730"/>
      <c r="M188" s="730"/>
      <c r="N188" s="730"/>
      <c r="O188" s="730"/>
      <c r="P188" s="730"/>
      <c r="Q188" s="730"/>
      <c r="R188" s="730"/>
      <c r="S188" s="730"/>
    </row>
    <row r="189" spans="1:19" ht="13.8">
      <c r="A189" s="730"/>
      <c r="B189" s="730"/>
      <c r="C189" s="730"/>
      <c r="D189" s="730"/>
      <c r="E189" s="730"/>
      <c r="F189" s="730"/>
      <c r="G189" s="730"/>
      <c r="H189" s="730"/>
      <c r="I189" s="730"/>
      <c r="J189" s="730"/>
      <c r="K189" s="730"/>
      <c r="L189" s="730"/>
      <c r="M189" s="730"/>
      <c r="N189" s="730"/>
      <c r="O189" s="730"/>
      <c r="P189" s="730"/>
      <c r="Q189" s="730"/>
      <c r="R189" s="730"/>
      <c r="S189" s="730"/>
    </row>
    <row r="190" spans="1:19" ht="13.8">
      <c r="A190" s="730"/>
      <c r="B190" s="730"/>
      <c r="C190" s="730"/>
      <c r="D190" s="730"/>
      <c r="E190" s="730"/>
      <c r="F190" s="730"/>
      <c r="G190" s="730"/>
      <c r="H190" s="730"/>
      <c r="I190" s="730"/>
      <c r="J190" s="730"/>
      <c r="K190" s="730"/>
      <c r="L190" s="730"/>
      <c r="M190" s="730"/>
      <c r="N190" s="730"/>
      <c r="O190" s="730"/>
      <c r="P190" s="730"/>
      <c r="Q190" s="730"/>
      <c r="R190" s="730"/>
      <c r="S190" s="730"/>
    </row>
    <row r="191" spans="1:19" ht="13.8">
      <c r="A191" s="730"/>
      <c r="B191" s="730"/>
      <c r="C191" s="730"/>
      <c r="D191" s="730"/>
      <c r="E191" s="730"/>
      <c r="F191" s="730"/>
      <c r="G191" s="730"/>
      <c r="H191" s="730"/>
      <c r="I191" s="730"/>
      <c r="J191" s="730"/>
      <c r="K191" s="730"/>
      <c r="L191" s="730"/>
      <c r="M191" s="730"/>
      <c r="N191" s="730"/>
      <c r="O191" s="730"/>
      <c r="P191" s="730"/>
      <c r="Q191" s="730"/>
      <c r="R191" s="730"/>
    </row>
    <row r="192" spans="1:19" ht="13.8">
      <c r="A192" s="730"/>
      <c r="B192" s="730"/>
      <c r="C192" s="730"/>
      <c r="D192" s="730"/>
      <c r="E192" s="730"/>
      <c r="F192" s="730"/>
      <c r="G192" s="730"/>
      <c r="H192" s="730"/>
      <c r="I192" s="730"/>
      <c r="J192" s="730"/>
      <c r="K192" s="730"/>
      <c r="L192" s="730"/>
      <c r="M192" s="730"/>
      <c r="N192" s="730"/>
      <c r="O192" s="730"/>
      <c r="P192" s="730"/>
      <c r="Q192" s="730"/>
      <c r="R192" s="730"/>
    </row>
    <row r="193" spans="1:18" ht="13.8">
      <c r="A193" s="730"/>
      <c r="B193" s="730"/>
      <c r="C193" s="730"/>
      <c r="D193" s="730"/>
      <c r="E193" s="730"/>
      <c r="F193" s="730"/>
      <c r="G193" s="730"/>
      <c r="H193" s="730"/>
      <c r="I193" s="730"/>
      <c r="J193" s="730"/>
      <c r="K193" s="730"/>
      <c r="L193" s="730"/>
      <c r="M193" s="730"/>
      <c r="N193" s="730"/>
      <c r="O193" s="730"/>
      <c r="P193" s="730"/>
      <c r="Q193" s="730"/>
      <c r="R193" s="730"/>
    </row>
    <row r="194" spans="1:18" ht="13.8">
      <c r="A194" s="730"/>
      <c r="B194" s="730"/>
      <c r="C194" s="730"/>
      <c r="D194" s="730"/>
      <c r="E194" s="730"/>
      <c r="F194" s="730"/>
      <c r="G194" s="730"/>
      <c r="H194" s="730"/>
      <c r="I194" s="730"/>
      <c r="J194" s="730"/>
      <c r="K194" s="730"/>
      <c r="L194" s="730"/>
      <c r="M194" s="730"/>
      <c r="N194" s="730"/>
      <c r="O194" s="730"/>
      <c r="P194" s="730"/>
      <c r="Q194" s="730"/>
      <c r="R194" s="730"/>
    </row>
    <row r="195" spans="1:18" ht="13.8">
      <c r="A195" s="730"/>
      <c r="B195" s="730"/>
      <c r="C195" s="730"/>
      <c r="D195" s="730"/>
      <c r="E195" s="730"/>
      <c r="F195" s="730"/>
      <c r="G195" s="730"/>
      <c r="H195" s="730"/>
      <c r="I195" s="730"/>
      <c r="J195" s="730"/>
      <c r="K195" s="730"/>
      <c r="L195" s="730"/>
      <c r="M195" s="730"/>
      <c r="N195" s="730"/>
      <c r="O195" s="730"/>
      <c r="P195" s="730"/>
      <c r="Q195" s="730"/>
      <c r="R195" s="730"/>
    </row>
    <row r="196" spans="1:18" ht="13.8">
      <c r="A196" s="730"/>
      <c r="B196" s="730"/>
      <c r="C196" s="730"/>
      <c r="D196" s="730"/>
      <c r="E196" s="730"/>
      <c r="F196" s="730"/>
      <c r="G196" s="730"/>
      <c r="H196" s="730"/>
      <c r="I196" s="730"/>
      <c r="J196" s="730"/>
      <c r="K196" s="730"/>
      <c r="L196" s="730"/>
      <c r="M196" s="730"/>
      <c r="N196" s="730"/>
      <c r="O196" s="730"/>
      <c r="P196" s="730"/>
      <c r="Q196" s="730"/>
      <c r="R196" s="730"/>
    </row>
    <row r="197" spans="1:18" ht="13.8">
      <c r="A197" s="730"/>
      <c r="B197" s="730"/>
      <c r="C197" s="730"/>
      <c r="D197" s="730"/>
      <c r="E197" s="730"/>
      <c r="F197" s="730"/>
      <c r="G197" s="730"/>
      <c r="H197" s="730"/>
      <c r="I197" s="730"/>
      <c r="J197" s="730"/>
      <c r="K197" s="730"/>
      <c r="L197" s="730"/>
      <c r="M197" s="730"/>
      <c r="N197" s="730"/>
      <c r="O197" s="730"/>
      <c r="P197" s="730"/>
      <c r="Q197" s="730"/>
      <c r="R197" s="730"/>
    </row>
    <row r="198" spans="1:18" ht="13.8">
      <c r="A198" s="730"/>
      <c r="B198" s="730"/>
      <c r="C198" s="730"/>
      <c r="D198" s="730"/>
      <c r="E198" s="730"/>
      <c r="F198" s="730"/>
      <c r="G198" s="730"/>
      <c r="H198" s="730"/>
      <c r="I198" s="730"/>
      <c r="J198" s="730"/>
      <c r="K198" s="730"/>
      <c r="L198" s="730"/>
      <c r="M198" s="730"/>
      <c r="N198" s="730"/>
      <c r="O198" s="730"/>
      <c r="P198" s="730"/>
      <c r="Q198" s="730"/>
      <c r="R198" s="730"/>
    </row>
    <row r="199" spans="1:18" ht="13.8">
      <c r="A199" s="730"/>
      <c r="B199" s="730"/>
      <c r="C199" s="730"/>
      <c r="D199" s="730"/>
      <c r="E199" s="730"/>
      <c r="F199" s="730"/>
      <c r="G199" s="730"/>
      <c r="H199" s="730"/>
      <c r="I199" s="730"/>
      <c r="J199" s="730"/>
      <c r="K199" s="730"/>
      <c r="L199" s="730"/>
      <c r="M199" s="730"/>
      <c r="N199" s="730"/>
      <c r="O199" s="730"/>
      <c r="P199" s="730"/>
      <c r="Q199" s="730"/>
      <c r="R199" s="730"/>
    </row>
    <row r="200" spans="1:18" ht="13.8">
      <c r="A200" s="730"/>
      <c r="B200" s="730"/>
      <c r="C200" s="730"/>
      <c r="D200" s="730"/>
      <c r="E200" s="730"/>
      <c r="F200" s="730"/>
      <c r="G200" s="730"/>
      <c r="H200" s="730"/>
      <c r="I200" s="730"/>
      <c r="J200" s="730"/>
      <c r="K200" s="730"/>
      <c r="L200" s="730"/>
      <c r="M200" s="730"/>
      <c r="N200" s="730"/>
      <c r="O200" s="730"/>
      <c r="P200" s="730"/>
      <c r="Q200" s="730"/>
      <c r="R200" s="730"/>
    </row>
    <row r="201" spans="1:18" ht="13.8">
      <c r="A201" s="730"/>
      <c r="B201" s="730"/>
      <c r="C201" s="730"/>
      <c r="D201" s="730"/>
      <c r="E201" s="730"/>
      <c r="F201" s="730"/>
      <c r="G201" s="730"/>
      <c r="H201" s="730"/>
      <c r="I201" s="730"/>
      <c r="J201" s="730"/>
      <c r="K201" s="730"/>
      <c r="L201" s="730"/>
      <c r="M201" s="730"/>
      <c r="N201" s="730"/>
      <c r="O201" s="730"/>
      <c r="P201" s="730"/>
      <c r="Q201" s="730"/>
      <c r="R201" s="730"/>
    </row>
    <row r="202" spans="1:18" ht="13.8">
      <c r="A202" s="730"/>
      <c r="B202" s="730"/>
      <c r="C202" s="730"/>
      <c r="D202" s="730"/>
      <c r="E202" s="730"/>
      <c r="F202" s="730"/>
      <c r="G202" s="730"/>
      <c r="H202" s="730"/>
      <c r="I202" s="730"/>
      <c r="J202" s="730"/>
      <c r="K202" s="730"/>
      <c r="L202" s="730"/>
      <c r="M202" s="730"/>
      <c r="N202" s="730"/>
      <c r="O202" s="730"/>
      <c r="P202" s="730"/>
      <c r="Q202" s="730"/>
      <c r="R202" s="730"/>
    </row>
    <row r="203" spans="1:18" ht="13.8">
      <c r="A203" s="730"/>
      <c r="B203" s="730"/>
      <c r="C203" s="730"/>
      <c r="D203" s="730"/>
      <c r="E203" s="730"/>
      <c r="F203" s="730"/>
      <c r="G203" s="730"/>
      <c r="H203" s="730"/>
      <c r="I203" s="730"/>
      <c r="J203" s="730"/>
      <c r="K203" s="730"/>
      <c r="L203" s="730"/>
      <c r="M203" s="730"/>
      <c r="N203" s="730"/>
      <c r="O203" s="730"/>
      <c r="P203" s="730"/>
      <c r="Q203" s="730"/>
      <c r="R203" s="730"/>
    </row>
    <row r="204" spans="1:18" ht="13.8">
      <c r="A204" s="730"/>
      <c r="B204" s="730"/>
      <c r="C204" s="730"/>
      <c r="D204" s="730"/>
      <c r="E204" s="730"/>
      <c r="F204" s="730"/>
      <c r="G204" s="730"/>
      <c r="H204" s="730"/>
      <c r="I204" s="730"/>
      <c r="J204" s="730"/>
      <c r="K204" s="730"/>
      <c r="L204" s="730"/>
      <c r="M204" s="730"/>
      <c r="N204" s="730"/>
      <c r="O204" s="730"/>
      <c r="P204" s="730"/>
      <c r="Q204" s="730"/>
      <c r="R204" s="730"/>
    </row>
    <row r="205" spans="1:18" ht="13.8">
      <c r="A205" s="730"/>
      <c r="B205" s="730"/>
      <c r="C205" s="730"/>
      <c r="D205" s="730"/>
      <c r="E205" s="730"/>
      <c r="F205" s="730"/>
      <c r="G205" s="730"/>
      <c r="H205" s="730"/>
      <c r="I205" s="730"/>
      <c r="J205" s="730"/>
      <c r="K205" s="730"/>
      <c r="L205" s="730"/>
      <c r="M205" s="730"/>
      <c r="N205" s="730"/>
      <c r="O205" s="730"/>
      <c r="P205" s="730"/>
      <c r="Q205" s="730"/>
      <c r="R205" s="730"/>
    </row>
    <row r="206" spans="1:18" ht="13.8">
      <c r="A206" s="730"/>
      <c r="B206" s="730"/>
      <c r="C206" s="730"/>
      <c r="D206" s="730"/>
      <c r="E206" s="730"/>
      <c r="F206" s="730"/>
      <c r="G206" s="730"/>
      <c r="H206" s="730"/>
      <c r="I206" s="730"/>
      <c r="J206" s="730"/>
      <c r="K206" s="730"/>
      <c r="L206" s="730"/>
      <c r="M206" s="730"/>
      <c r="N206" s="730"/>
      <c r="O206" s="730"/>
      <c r="P206" s="730"/>
      <c r="Q206" s="730"/>
      <c r="R206" s="730"/>
    </row>
    <row r="207" spans="1:18" ht="13.8">
      <c r="A207" s="730"/>
      <c r="B207" s="730"/>
      <c r="C207" s="730"/>
      <c r="D207" s="730"/>
      <c r="E207" s="730"/>
      <c r="F207" s="730"/>
      <c r="G207" s="730"/>
      <c r="H207" s="730"/>
      <c r="I207" s="730"/>
      <c r="J207" s="730"/>
      <c r="K207" s="730"/>
      <c r="L207" s="730"/>
      <c r="M207" s="730"/>
      <c r="N207" s="730"/>
      <c r="O207" s="730"/>
      <c r="P207" s="730"/>
      <c r="Q207" s="730"/>
      <c r="R207" s="730"/>
    </row>
    <row r="208" spans="1:18" ht="13.8">
      <c r="A208" s="730"/>
      <c r="B208" s="730"/>
      <c r="C208" s="730"/>
      <c r="D208" s="730"/>
      <c r="E208" s="730"/>
      <c r="F208" s="730"/>
      <c r="G208" s="730"/>
      <c r="H208" s="730"/>
      <c r="I208" s="730"/>
      <c r="J208" s="730"/>
      <c r="K208" s="730"/>
      <c r="L208" s="730"/>
      <c r="M208" s="730"/>
      <c r="N208" s="730"/>
      <c r="O208" s="730"/>
      <c r="P208" s="730"/>
      <c r="Q208" s="730"/>
      <c r="R208" s="730"/>
    </row>
    <row r="209" spans="1:18" ht="13.8">
      <c r="A209" s="730"/>
      <c r="B209" s="730"/>
      <c r="C209" s="730"/>
      <c r="D209" s="730"/>
      <c r="E209" s="730"/>
      <c r="F209" s="730"/>
      <c r="G209" s="730"/>
      <c r="H209" s="730"/>
      <c r="I209" s="730"/>
      <c r="J209" s="730"/>
      <c r="K209" s="730"/>
      <c r="L209" s="730"/>
      <c r="M209" s="730"/>
      <c r="N209" s="730"/>
      <c r="O209" s="730"/>
      <c r="P209" s="730"/>
      <c r="Q209" s="730"/>
      <c r="R209" s="730"/>
    </row>
    <row r="210" spans="1:18" ht="13.8">
      <c r="A210" s="730"/>
      <c r="B210" s="730"/>
      <c r="C210" s="730"/>
      <c r="D210" s="730"/>
      <c r="E210" s="730"/>
      <c r="F210" s="730"/>
      <c r="G210" s="730"/>
      <c r="H210" s="730"/>
      <c r="I210" s="730"/>
      <c r="J210" s="730"/>
      <c r="K210" s="730"/>
      <c r="L210" s="730"/>
      <c r="M210" s="730"/>
      <c r="N210" s="730"/>
      <c r="O210" s="730"/>
      <c r="P210" s="730"/>
      <c r="Q210" s="730"/>
      <c r="R210" s="730"/>
    </row>
    <row r="211" spans="1:18" ht="13.8">
      <c r="A211" s="730"/>
      <c r="B211" s="730"/>
      <c r="C211" s="730"/>
      <c r="D211" s="730"/>
      <c r="E211" s="730"/>
      <c r="F211" s="730"/>
      <c r="G211" s="730"/>
      <c r="H211" s="730"/>
      <c r="I211" s="730"/>
      <c r="J211" s="730"/>
      <c r="K211" s="730"/>
      <c r="L211" s="730"/>
      <c r="M211" s="730"/>
      <c r="N211" s="730"/>
      <c r="O211" s="730"/>
      <c r="P211" s="730"/>
      <c r="Q211" s="730"/>
      <c r="R211" s="730"/>
    </row>
    <row r="212" spans="1:18" ht="13.8">
      <c r="A212" s="730"/>
      <c r="B212" s="730"/>
      <c r="C212" s="730"/>
      <c r="D212" s="730"/>
      <c r="E212" s="730"/>
      <c r="F212" s="730"/>
      <c r="G212" s="730"/>
      <c r="H212" s="730"/>
      <c r="I212" s="730"/>
      <c r="J212" s="730"/>
      <c r="K212" s="730"/>
      <c r="L212" s="730"/>
      <c r="M212" s="730"/>
      <c r="N212" s="730"/>
      <c r="O212" s="730"/>
      <c r="P212" s="730"/>
      <c r="Q212" s="730"/>
      <c r="R212" s="730"/>
    </row>
    <row r="213" spans="1:18" ht="13.8">
      <c r="A213" s="730"/>
      <c r="B213" s="730"/>
      <c r="C213" s="730"/>
      <c r="D213" s="730"/>
      <c r="E213" s="730"/>
      <c r="F213" s="730"/>
      <c r="G213" s="730"/>
      <c r="H213" s="730"/>
      <c r="I213" s="730"/>
      <c r="J213" s="730"/>
      <c r="K213" s="730"/>
      <c r="L213" s="730"/>
      <c r="M213" s="730"/>
      <c r="N213" s="730"/>
      <c r="O213" s="730"/>
      <c r="P213" s="730"/>
      <c r="Q213" s="730"/>
      <c r="R213" s="730"/>
    </row>
    <row r="214" spans="1:18" ht="13.8">
      <c r="A214" s="730"/>
      <c r="B214" s="730"/>
      <c r="C214" s="730"/>
      <c r="D214" s="730"/>
      <c r="E214" s="730"/>
      <c r="F214" s="730"/>
      <c r="G214" s="730"/>
      <c r="H214" s="730"/>
      <c r="I214" s="730"/>
      <c r="J214" s="730"/>
      <c r="K214" s="730"/>
      <c r="L214" s="730"/>
      <c r="M214" s="730"/>
      <c r="N214" s="730"/>
      <c r="O214" s="730"/>
      <c r="P214" s="730"/>
      <c r="Q214" s="730"/>
      <c r="R214" s="730"/>
    </row>
    <row r="215" spans="1:18" ht="13.8">
      <c r="A215" s="730"/>
      <c r="B215" s="730"/>
      <c r="C215" s="730"/>
      <c r="D215" s="730"/>
      <c r="E215" s="730"/>
      <c r="F215" s="730"/>
      <c r="G215" s="730"/>
      <c r="H215" s="730"/>
      <c r="I215" s="730"/>
      <c r="J215" s="730"/>
      <c r="K215" s="730"/>
      <c r="L215" s="730"/>
      <c r="M215" s="730"/>
      <c r="N215" s="730"/>
      <c r="O215" s="730"/>
      <c r="P215" s="730"/>
      <c r="Q215" s="730"/>
      <c r="R215" s="730"/>
    </row>
    <row r="216" spans="1:18" ht="13.8">
      <c r="A216" s="730"/>
      <c r="B216" s="730"/>
      <c r="C216" s="730"/>
      <c r="D216" s="730"/>
      <c r="E216" s="730"/>
      <c r="F216" s="730"/>
      <c r="G216" s="730"/>
      <c r="H216" s="730"/>
      <c r="I216" s="730"/>
      <c r="J216" s="730"/>
      <c r="K216" s="730"/>
      <c r="L216" s="730"/>
      <c r="M216" s="730"/>
      <c r="N216" s="730"/>
      <c r="O216" s="730"/>
      <c r="P216" s="730"/>
      <c r="Q216" s="730"/>
      <c r="R216" s="730"/>
    </row>
    <row r="217" spans="1:18" ht="13.8">
      <c r="A217" s="730"/>
      <c r="B217" s="730"/>
      <c r="C217" s="730"/>
      <c r="D217" s="730"/>
      <c r="E217" s="730"/>
      <c r="F217" s="730"/>
      <c r="G217" s="730"/>
      <c r="H217" s="730"/>
      <c r="I217" s="730"/>
      <c r="J217" s="730"/>
      <c r="K217" s="730"/>
      <c r="L217" s="730"/>
      <c r="M217" s="730"/>
      <c r="N217" s="730"/>
      <c r="O217" s="730"/>
      <c r="P217" s="730"/>
      <c r="Q217" s="730"/>
      <c r="R217" s="730"/>
    </row>
    <row r="218" spans="1:18" ht="13.8">
      <c r="A218" s="730"/>
      <c r="B218" s="730"/>
      <c r="C218" s="730"/>
      <c r="D218" s="730"/>
      <c r="E218" s="730"/>
      <c r="F218" s="730"/>
      <c r="G218" s="730"/>
      <c r="H218" s="730"/>
      <c r="I218" s="730"/>
      <c r="J218" s="730"/>
      <c r="K218" s="730"/>
      <c r="L218" s="730"/>
      <c r="M218" s="730"/>
      <c r="N218" s="730"/>
      <c r="O218" s="730"/>
      <c r="P218" s="730"/>
      <c r="Q218" s="730"/>
      <c r="R218" s="730"/>
    </row>
    <row r="219" spans="1:18" ht="13.8">
      <c r="A219" s="730"/>
      <c r="B219" s="730"/>
      <c r="C219" s="730"/>
      <c r="D219" s="730"/>
      <c r="E219" s="730"/>
      <c r="F219" s="730"/>
      <c r="G219" s="730"/>
      <c r="H219" s="730"/>
      <c r="I219" s="730"/>
      <c r="J219" s="730"/>
      <c r="K219" s="730"/>
      <c r="L219" s="730"/>
      <c r="M219" s="730"/>
      <c r="N219" s="730"/>
      <c r="O219" s="730"/>
      <c r="P219" s="730"/>
      <c r="Q219" s="730"/>
      <c r="R219" s="730"/>
    </row>
    <row r="220" spans="1:18" ht="13.8">
      <c r="A220" s="730"/>
      <c r="B220" s="730"/>
      <c r="C220" s="730"/>
      <c r="D220" s="730"/>
      <c r="E220" s="730"/>
      <c r="F220" s="730"/>
      <c r="G220" s="730"/>
      <c r="H220" s="730"/>
      <c r="I220" s="730"/>
      <c r="J220" s="730"/>
      <c r="K220" s="730"/>
      <c r="L220" s="730"/>
      <c r="M220" s="730"/>
      <c r="N220" s="730"/>
      <c r="O220" s="730"/>
      <c r="P220" s="730"/>
      <c r="Q220" s="730"/>
      <c r="R220" s="730"/>
    </row>
    <row r="221" spans="1:18" ht="13.8">
      <c r="A221" s="730"/>
      <c r="B221" s="730"/>
      <c r="C221" s="730"/>
      <c r="D221" s="730"/>
      <c r="E221" s="730"/>
      <c r="F221" s="730"/>
      <c r="G221" s="730"/>
      <c r="H221" s="730"/>
      <c r="I221" s="730"/>
      <c r="J221" s="730"/>
      <c r="K221" s="730"/>
      <c r="L221" s="730"/>
      <c r="M221" s="730"/>
      <c r="N221" s="730"/>
      <c r="O221" s="730"/>
      <c r="P221" s="730"/>
      <c r="Q221" s="730"/>
      <c r="R221" s="730"/>
    </row>
    <row r="222" spans="1:18" ht="13.8">
      <c r="A222" s="730"/>
      <c r="B222" s="730"/>
      <c r="C222" s="730"/>
      <c r="D222" s="730"/>
      <c r="E222" s="730"/>
      <c r="F222" s="730"/>
      <c r="G222" s="730"/>
      <c r="H222" s="730"/>
      <c r="I222" s="730"/>
      <c r="J222" s="730"/>
      <c r="K222" s="730"/>
      <c r="L222" s="730"/>
      <c r="M222" s="730"/>
      <c r="N222" s="730"/>
      <c r="O222" s="730"/>
      <c r="P222" s="730"/>
      <c r="Q222" s="730"/>
      <c r="R222" s="730"/>
    </row>
    <row r="223" spans="1:18" ht="13.8">
      <c r="A223" s="730"/>
      <c r="B223" s="730"/>
      <c r="C223" s="730"/>
      <c r="D223" s="730"/>
      <c r="E223" s="730"/>
      <c r="F223" s="730"/>
      <c r="G223" s="730"/>
      <c r="H223" s="730"/>
      <c r="I223" s="730"/>
      <c r="J223" s="730"/>
      <c r="K223" s="730"/>
      <c r="L223" s="730"/>
      <c r="M223" s="730"/>
      <c r="N223" s="730"/>
      <c r="O223" s="730"/>
      <c r="P223" s="730"/>
      <c r="Q223" s="730"/>
      <c r="R223" s="730"/>
    </row>
    <row r="224" spans="1:18" ht="13.8">
      <c r="A224" s="730"/>
      <c r="B224" s="730"/>
      <c r="C224" s="730"/>
      <c r="D224" s="730"/>
      <c r="E224" s="730"/>
      <c r="F224" s="730"/>
      <c r="G224" s="730"/>
      <c r="H224" s="730"/>
      <c r="I224" s="730"/>
      <c r="J224" s="730"/>
      <c r="K224" s="730"/>
      <c r="L224" s="730"/>
      <c r="M224" s="730"/>
      <c r="N224" s="730"/>
      <c r="O224" s="730"/>
      <c r="P224" s="730"/>
      <c r="Q224" s="730"/>
      <c r="R224" s="730"/>
    </row>
    <row r="225" spans="1:18" ht="13.8">
      <c r="A225" s="730"/>
      <c r="B225" s="730"/>
      <c r="C225" s="730"/>
      <c r="D225" s="730"/>
      <c r="E225" s="730"/>
      <c r="F225" s="730"/>
      <c r="G225" s="730"/>
      <c r="H225" s="730"/>
      <c r="I225" s="730"/>
      <c r="J225" s="730"/>
      <c r="K225" s="730"/>
      <c r="L225" s="730"/>
      <c r="M225" s="730"/>
      <c r="N225" s="730"/>
      <c r="O225" s="730"/>
      <c r="P225" s="730"/>
      <c r="Q225" s="730"/>
      <c r="R225" s="730"/>
    </row>
    <row r="226" spans="1:18" ht="13.8">
      <c r="A226" s="730"/>
      <c r="B226" s="730"/>
      <c r="C226" s="730"/>
      <c r="D226" s="730"/>
      <c r="E226" s="730"/>
      <c r="F226" s="730"/>
      <c r="G226" s="730"/>
      <c r="H226" s="730"/>
      <c r="I226" s="730"/>
      <c r="J226" s="730"/>
      <c r="K226" s="730"/>
      <c r="L226" s="730"/>
      <c r="M226" s="730"/>
      <c r="N226" s="730"/>
      <c r="O226" s="730"/>
      <c r="P226" s="730"/>
      <c r="Q226" s="730"/>
      <c r="R226" s="730"/>
    </row>
    <row r="227" spans="1:18" ht="13.8">
      <c r="A227" s="730"/>
      <c r="B227" s="730"/>
      <c r="C227" s="730"/>
      <c r="D227" s="730"/>
      <c r="E227" s="730"/>
      <c r="F227" s="730"/>
      <c r="G227" s="730"/>
      <c r="H227" s="730"/>
      <c r="I227" s="730"/>
      <c r="J227" s="730"/>
      <c r="K227" s="730"/>
      <c r="L227" s="730"/>
      <c r="M227" s="730"/>
      <c r="N227" s="730"/>
      <c r="O227" s="730"/>
      <c r="P227" s="730"/>
      <c r="Q227" s="730"/>
      <c r="R227" s="730"/>
    </row>
    <row r="228" spans="1:18" ht="13.8">
      <c r="A228" s="730"/>
      <c r="B228" s="730"/>
      <c r="C228" s="730"/>
      <c r="D228" s="730"/>
      <c r="E228" s="730"/>
      <c r="F228" s="730"/>
      <c r="G228" s="730"/>
      <c r="H228" s="730"/>
      <c r="I228" s="730"/>
      <c r="J228" s="730"/>
      <c r="K228" s="730"/>
      <c r="L228" s="730"/>
      <c r="M228" s="730"/>
      <c r="N228" s="730"/>
      <c r="O228" s="730"/>
      <c r="P228" s="730"/>
      <c r="Q228" s="730"/>
      <c r="R228" s="730"/>
    </row>
    <row r="229" spans="1:18" ht="13.8">
      <c r="A229" s="730"/>
      <c r="B229" s="730"/>
      <c r="C229" s="730"/>
      <c r="D229" s="730"/>
      <c r="E229" s="730"/>
      <c r="F229" s="730"/>
      <c r="G229" s="730"/>
      <c r="H229" s="730"/>
      <c r="I229" s="730"/>
      <c r="J229" s="730"/>
      <c r="K229" s="730"/>
      <c r="L229" s="730"/>
      <c r="M229" s="730"/>
      <c r="N229" s="730"/>
      <c r="O229" s="730"/>
      <c r="P229" s="730"/>
      <c r="Q229" s="730"/>
      <c r="R229" s="730"/>
    </row>
    <row r="230" spans="1:18" ht="13.8">
      <c r="A230" s="730"/>
      <c r="B230" s="730"/>
      <c r="C230" s="730"/>
      <c r="D230" s="730"/>
      <c r="E230" s="730"/>
      <c r="F230" s="730"/>
      <c r="G230" s="730"/>
      <c r="H230" s="730"/>
      <c r="I230" s="730"/>
      <c r="J230" s="730"/>
      <c r="K230" s="730"/>
      <c r="L230" s="730"/>
      <c r="M230" s="730"/>
      <c r="N230" s="730"/>
      <c r="O230" s="730"/>
      <c r="P230" s="730"/>
      <c r="Q230" s="730"/>
      <c r="R230" s="730"/>
    </row>
    <row r="231" spans="1:18" ht="13.8">
      <c r="A231" s="730"/>
      <c r="B231" s="730"/>
      <c r="C231" s="730"/>
      <c r="D231" s="730"/>
      <c r="E231" s="730"/>
      <c r="F231" s="730"/>
      <c r="G231" s="730"/>
      <c r="H231" s="730"/>
      <c r="I231" s="730"/>
      <c r="J231" s="730"/>
      <c r="K231" s="730"/>
      <c r="L231" s="730"/>
      <c r="M231" s="730"/>
      <c r="N231" s="730"/>
      <c r="O231" s="730"/>
      <c r="P231" s="730"/>
      <c r="Q231" s="730"/>
      <c r="R231" s="730"/>
    </row>
    <row r="232" spans="1:18" ht="13.8">
      <c r="A232" s="730"/>
      <c r="B232" s="730"/>
      <c r="C232" s="730"/>
      <c r="D232" s="730"/>
      <c r="E232" s="730"/>
      <c r="F232" s="730"/>
      <c r="G232" s="730"/>
      <c r="H232" s="730"/>
      <c r="I232" s="730"/>
      <c r="J232" s="730"/>
      <c r="K232" s="730"/>
      <c r="L232" s="730"/>
      <c r="M232" s="730"/>
      <c r="N232" s="730"/>
      <c r="O232" s="730"/>
      <c r="P232" s="730"/>
      <c r="Q232" s="730"/>
      <c r="R232" s="730"/>
    </row>
    <row r="233" spans="1:18" ht="13.8">
      <c r="A233" s="730"/>
      <c r="B233" s="730"/>
      <c r="C233" s="730"/>
      <c r="D233" s="730"/>
      <c r="E233" s="730"/>
      <c r="F233" s="730"/>
      <c r="G233" s="730"/>
      <c r="H233" s="730"/>
      <c r="I233" s="730"/>
      <c r="J233" s="730"/>
      <c r="K233" s="730"/>
      <c r="L233" s="730"/>
      <c r="M233" s="730"/>
      <c r="N233" s="730"/>
      <c r="O233" s="730"/>
      <c r="P233" s="730"/>
      <c r="Q233" s="730"/>
      <c r="R233" s="730"/>
    </row>
    <row r="234" spans="1:18" ht="13.8">
      <c r="A234" s="730"/>
      <c r="B234" s="730"/>
      <c r="C234" s="730"/>
      <c r="D234" s="730"/>
      <c r="E234" s="730"/>
      <c r="F234" s="730"/>
      <c r="G234" s="730"/>
      <c r="H234" s="730"/>
      <c r="I234" s="730"/>
      <c r="J234" s="730"/>
      <c r="K234" s="730"/>
      <c r="L234" s="730"/>
      <c r="M234" s="730"/>
      <c r="N234" s="730"/>
      <c r="O234" s="730"/>
      <c r="P234" s="730"/>
      <c r="Q234" s="730"/>
      <c r="R234" s="730"/>
    </row>
    <row r="235" spans="1:18" ht="13.8">
      <c r="A235" s="730"/>
      <c r="B235" s="730"/>
      <c r="C235" s="730"/>
      <c r="D235" s="730"/>
      <c r="E235" s="730"/>
      <c r="F235" s="730"/>
      <c r="G235" s="730"/>
      <c r="H235" s="730"/>
      <c r="I235" s="730"/>
      <c r="J235" s="730"/>
      <c r="K235" s="730"/>
      <c r="L235" s="730"/>
      <c r="M235" s="730"/>
      <c r="N235" s="730"/>
      <c r="O235" s="730"/>
      <c r="P235" s="730"/>
      <c r="Q235" s="730"/>
      <c r="R235" s="730"/>
    </row>
    <row r="236" spans="1:18" ht="13.8">
      <c r="A236" s="730"/>
      <c r="B236" s="730"/>
      <c r="C236" s="730"/>
      <c r="D236" s="730"/>
      <c r="E236" s="730"/>
      <c r="F236" s="730"/>
      <c r="G236" s="730"/>
      <c r="H236" s="730"/>
      <c r="I236" s="730"/>
      <c r="J236" s="730"/>
      <c r="K236" s="730"/>
      <c r="L236" s="730"/>
      <c r="M236" s="730"/>
      <c r="N236" s="730"/>
      <c r="O236" s="730"/>
      <c r="P236" s="730"/>
      <c r="Q236" s="730"/>
      <c r="R236" s="730"/>
    </row>
    <row r="237" spans="1:18" ht="13.8">
      <c r="A237" s="730"/>
      <c r="B237" s="730"/>
      <c r="C237" s="730"/>
      <c r="D237" s="730"/>
      <c r="E237" s="730"/>
      <c r="F237" s="730"/>
      <c r="G237" s="730"/>
      <c r="H237" s="730"/>
      <c r="I237" s="730"/>
      <c r="J237" s="730"/>
      <c r="K237" s="730"/>
      <c r="L237" s="730"/>
      <c r="M237" s="730"/>
      <c r="N237" s="730"/>
      <c r="O237" s="730"/>
      <c r="P237" s="730"/>
      <c r="Q237" s="730"/>
      <c r="R237" s="730"/>
    </row>
    <row r="238" spans="1:18" ht="13.8">
      <c r="A238" s="730"/>
      <c r="B238" s="730"/>
      <c r="C238" s="730"/>
      <c r="D238" s="730"/>
      <c r="E238" s="730"/>
      <c r="F238" s="730"/>
      <c r="G238" s="730"/>
      <c r="H238" s="730"/>
      <c r="I238" s="730"/>
      <c r="J238" s="730"/>
      <c r="K238" s="730"/>
      <c r="L238" s="730"/>
      <c r="M238" s="730"/>
      <c r="N238" s="730"/>
      <c r="O238" s="730"/>
      <c r="P238" s="730"/>
      <c r="Q238" s="730"/>
      <c r="R238" s="730"/>
    </row>
    <row r="239" spans="1:18" ht="13.8">
      <c r="A239" s="730"/>
      <c r="B239" s="730"/>
      <c r="C239" s="730"/>
      <c r="D239" s="730"/>
      <c r="E239" s="730"/>
      <c r="F239" s="730"/>
      <c r="G239" s="730"/>
      <c r="H239" s="730"/>
      <c r="I239" s="730"/>
      <c r="J239" s="730"/>
      <c r="K239" s="730"/>
      <c r="L239" s="730"/>
      <c r="M239" s="730"/>
      <c r="N239" s="730"/>
      <c r="O239" s="730"/>
      <c r="P239" s="730"/>
      <c r="Q239" s="730"/>
      <c r="R239" s="730"/>
    </row>
    <row r="240" spans="1:18" ht="13.8">
      <c r="A240" s="730"/>
      <c r="B240" s="730"/>
      <c r="C240" s="730"/>
      <c r="D240" s="730"/>
      <c r="E240" s="730"/>
      <c r="F240" s="730"/>
      <c r="G240" s="730"/>
      <c r="H240" s="730"/>
      <c r="I240" s="730"/>
      <c r="J240" s="730"/>
      <c r="K240" s="730"/>
      <c r="L240" s="730"/>
      <c r="M240" s="730"/>
      <c r="N240" s="730"/>
      <c r="O240" s="730"/>
      <c r="P240" s="730"/>
      <c r="Q240" s="730"/>
      <c r="R240" s="730"/>
    </row>
    <row r="241" spans="1:18" ht="13.8">
      <c r="A241" s="730"/>
      <c r="B241" s="730"/>
      <c r="C241" s="730"/>
      <c r="D241" s="730"/>
      <c r="E241" s="730"/>
      <c r="F241" s="730"/>
      <c r="G241" s="730"/>
      <c r="H241" s="730"/>
      <c r="I241" s="730"/>
      <c r="J241" s="730"/>
      <c r="K241" s="730"/>
      <c r="L241" s="730"/>
      <c r="M241" s="730"/>
      <c r="N241" s="730"/>
      <c r="O241" s="730"/>
      <c r="P241" s="730"/>
      <c r="Q241" s="730"/>
      <c r="R241" s="730"/>
    </row>
    <row r="242" spans="1:18" ht="13.8">
      <c r="A242" s="730"/>
      <c r="B242" s="730"/>
      <c r="C242" s="730"/>
      <c r="D242" s="730"/>
      <c r="E242" s="730"/>
      <c r="F242" s="730"/>
      <c r="G242" s="730"/>
      <c r="H242" s="730"/>
      <c r="I242" s="730"/>
      <c r="J242" s="730"/>
      <c r="K242" s="730"/>
      <c r="L242" s="730"/>
      <c r="M242" s="730"/>
      <c r="N242" s="730"/>
      <c r="O242" s="730"/>
      <c r="P242" s="730"/>
      <c r="Q242" s="730"/>
      <c r="R242" s="730"/>
    </row>
    <row r="243" spans="1:18" ht="13.8">
      <c r="A243" s="730"/>
      <c r="B243" s="730"/>
      <c r="C243" s="730"/>
      <c r="D243" s="730"/>
      <c r="E243" s="730"/>
      <c r="F243" s="730"/>
      <c r="G243" s="730"/>
      <c r="H243" s="730"/>
      <c r="I243" s="730"/>
      <c r="J243" s="730"/>
      <c r="K243" s="730"/>
      <c r="L243" s="730"/>
      <c r="M243" s="730"/>
      <c r="N243" s="730"/>
      <c r="O243" s="730"/>
      <c r="P243" s="730"/>
      <c r="Q243" s="730"/>
      <c r="R243" s="730"/>
    </row>
    <row r="244" spans="1:18" ht="13.8">
      <c r="A244" s="730"/>
      <c r="B244" s="730"/>
      <c r="C244" s="730"/>
      <c r="D244" s="730"/>
      <c r="E244" s="730"/>
      <c r="F244" s="730"/>
      <c r="G244" s="730"/>
      <c r="H244" s="730"/>
      <c r="I244" s="730"/>
      <c r="J244" s="730"/>
      <c r="K244" s="730"/>
      <c r="L244" s="730"/>
      <c r="M244" s="730"/>
      <c r="N244" s="730"/>
      <c r="O244" s="730"/>
      <c r="P244" s="730"/>
      <c r="Q244" s="730"/>
      <c r="R244" s="730"/>
    </row>
    <row r="245" spans="1:18" ht="13.8">
      <c r="A245" s="730"/>
      <c r="B245" s="730"/>
      <c r="C245" s="730"/>
      <c r="D245" s="730"/>
      <c r="E245" s="730"/>
      <c r="F245" s="730"/>
      <c r="G245" s="730"/>
      <c r="H245" s="730"/>
      <c r="I245" s="730"/>
      <c r="J245" s="730"/>
      <c r="K245" s="730"/>
      <c r="L245" s="730"/>
      <c r="M245" s="730"/>
      <c r="N245" s="730"/>
      <c r="O245" s="730"/>
      <c r="P245" s="730"/>
      <c r="Q245" s="730"/>
      <c r="R245" s="730"/>
    </row>
    <row r="246" spans="1:18" ht="13.8">
      <c r="A246" s="730"/>
      <c r="B246" s="730"/>
      <c r="C246" s="730"/>
      <c r="D246" s="730"/>
      <c r="E246" s="730"/>
      <c r="F246" s="730"/>
      <c r="G246" s="730"/>
      <c r="H246" s="730"/>
      <c r="I246" s="730"/>
      <c r="J246" s="730"/>
      <c r="K246" s="730"/>
      <c r="L246" s="730"/>
      <c r="M246" s="730"/>
      <c r="N246" s="730"/>
      <c r="O246" s="730"/>
      <c r="P246" s="730"/>
      <c r="Q246" s="730"/>
      <c r="R246" s="730"/>
    </row>
    <row r="247" spans="1:18" ht="13.8">
      <c r="A247" s="730"/>
      <c r="B247" s="730"/>
      <c r="C247" s="730"/>
      <c r="D247" s="730"/>
      <c r="E247" s="730"/>
      <c r="F247" s="730"/>
      <c r="G247" s="730"/>
      <c r="H247" s="730"/>
      <c r="I247" s="730"/>
      <c r="J247" s="730"/>
      <c r="K247" s="730"/>
      <c r="L247" s="730"/>
      <c r="M247" s="730"/>
      <c r="N247" s="730"/>
      <c r="O247" s="730"/>
      <c r="P247" s="730"/>
      <c r="Q247" s="730"/>
      <c r="R247" s="730"/>
    </row>
    <row r="248" spans="1:18" ht="13.8">
      <c r="A248" s="730"/>
      <c r="B248" s="730"/>
      <c r="C248" s="730"/>
      <c r="D248" s="730"/>
      <c r="E248" s="730"/>
      <c r="F248" s="730"/>
      <c r="G248" s="730"/>
      <c r="H248" s="730"/>
      <c r="I248" s="730"/>
      <c r="J248" s="730"/>
      <c r="K248" s="730"/>
      <c r="L248" s="730"/>
      <c r="M248" s="730"/>
      <c r="N248" s="730"/>
      <c r="O248" s="730"/>
      <c r="P248" s="730"/>
      <c r="Q248" s="730"/>
      <c r="R248" s="730"/>
    </row>
    <row r="249" spans="1:18" ht="13.8">
      <c r="A249" s="730"/>
      <c r="B249" s="730"/>
      <c r="C249" s="730"/>
      <c r="D249" s="730"/>
      <c r="E249" s="730"/>
      <c r="F249" s="730"/>
      <c r="G249" s="730"/>
      <c r="H249" s="730"/>
      <c r="I249" s="730"/>
      <c r="J249" s="730"/>
      <c r="K249" s="730"/>
      <c r="L249" s="730"/>
      <c r="M249" s="730"/>
      <c r="N249" s="730"/>
      <c r="O249" s="730"/>
      <c r="P249" s="730"/>
      <c r="Q249" s="730"/>
      <c r="R249" s="730"/>
    </row>
    <row r="250" spans="1:18" ht="13.8">
      <c r="A250" s="730"/>
      <c r="B250" s="730"/>
      <c r="C250" s="730"/>
      <c r="D250" s="730"/>
      <c r="E250" s="730"/>
      <c r="F250" s="730"/>
      <c r="G250" s="730"/>
      <c r="H250" s="730"/>
      <c r="I250" s="730"/>
      <c r="J250" s="730"/>
      <c r="K250" s="730"/>
      <c r="L250" s="730"/>
      <c r="M250" s="730"/>
      <c r="N250" s="730"/>
      <c r="O250" s="730"/>
      <c r="P250" s="730"/>
      <c r="Q250" s="730"/>
      <c r="R250" s="730"/>
    </row>
    <row r="251" spans="1:18" ht="13.8">
      <c r="A251" s="730"/>
      <c r="B251" s="730"/>
      <c r="C251" s="730"/>
      <c r="D251" s="730"/>
      <c r="E251" s="730"/>
      <c r="F251" s="730"/>
      <c r="G251" s="730"/>
      <c r="H251" s="730"/>
      <c r="I251" s="730"/>
      <c r="J251" s="730"/>
      <c r="K251" s="730"/>
      <c r="L251" s="730"/>
      <c r="M251" s="730"/>
      <c r="N251" s="730"/>
      <c r="O251" s="730"/>
      <c r="P251" s="730"/>
      <c r="Q251" s="730"/>
      <c r="R251" s="730"/>
    </row>
    <row r="252" spans="1:18" ht="13.8">
      <c r="A252" s="730"/>
      <c r="B252" s="730"/>
      <c r="C252" s="730"/>
      <c r="D252" s="730"/>
      <c r="E252" s="730"/>
      <c r="F252" s="730"/>
      <c r="G252" s="730"/>
      <c r="H252" s="730"/>
      <c r="I252" s="730"/>
      <c r="J252" s="730"/>
      <c r="K252" s="730"/>
      <c r="L252" s="730"/>
      <c r="M252" s="730"/>
      <c r="N252" s="730"/>
      <c r="O252" s="730"/>
      <c r="P252" s="730"/>
      <c r="Q252" s="730"/>
      <c r="R252" s="730"/>
    </row>
    <row r="253" spans="1:18" ht="13.8">
      <c r="A253" s="730"/>
      <c r="B253" s="730"/>
      <c r="C253" s="730"/>
      <c r="D253" s="730"/>
      <c r="E253" s="730"/>
      <c r="F253" s="730"/>
      <c r="G253" s="730"/>
      <c r="H253" s="730"/>
      <c r="I253" s="730"/>
      <c r="J253" s="730"/>
      <c r="K253" s="730"/>
      <c r="L253" s="730"/>
      <c r="M253" s="730"/>
      <c r="N253" s="730"/>
      <c r="O253" s="730"/>
      <c r="P253" s="730"/>
      <c r="Q253" s="730"/>
      <c r="R253" s="730"/>
    </row>
    <row r="254" spans="1:18" ht="13.8">
      <c r="A254" s="730"/>
      <c r="B254" s="730"/>
      <c r="C254" s="730"/>
      <c r="D254" s="730"/>
      <c r="E254" s="730"/>
      <c r="F254" s="730"/>
      <c r="G254" s="730"/>
      <c r="H254" s="730"/>
      <c r="I254" s="730"/>
      <c r="J254" s="730"/>
      <c r="K254" s="730"/>
      <c r="L254" s="730"/>
      <c r="M254" s="730"/>
      <c r="N254" s="730"/>
      <c r="O254" s="730"/>
      <c r="P254" s="730"/>
      <c r="Q254" s="730"/>
      <c r="R254" s="730"/>
    </row>
    <row r="255" spans="1:18" ht="13.8">
      <c r="A255" s="730"/>
      <c r="B255" s="730"/>
      <c r="C255" s="730"/>
      <c r="D255" s="730"/>
      <c r="E255" s="730"/>
      <c r="F255" s="730"/>
      <c r="G255" s="730"/>
      <c r="H255" s="730"/>
      <c r="I255" s="730"/>
      <c r="J255" s="730"/>
      <c r="K255" s="730"/>
      <c r="L255" s="730"/>
      <c r="M255" s="730"/>
      <c r="N255" s="730"/>
      <c r="O255" s="730"/>
      <c r="P255" s="730"/>
      <c r="Q255" s="730"/>
      <c r="R255" s="730"/>
    </row>
    <row r="256" spans="1:18" ht="13.8">
      <c r="A256" s="730"/>
      <c r="B256" s="730"/>
      <c r="C256" s="730"/>
      <c r="D256" s="730"/>
      <c r="E256" s="730"/>
      <c r="F256" s="730"/>
      <c r="G256" s="730"/>
      <c r="H256" s="730"/>
      <c r="I256" s="730"/>
      <c r="J256" s="730"/>
      <c r="K256" s="730"/>
      <c r="L256" s="730"/>
      <c r="M256" s="730"/>
      <c r="N256" s="730"/>
      <c r="O256" s="730"/>
      <c r="P256" s="730"/>
      <c r="Q256" s="730"/>
      <c r="R256" s="730"/>
    </row>
    <row r="257" spans="1:18" ht="13.8">
      <c r="A257" s="730"/>
      <c r="B257" s="730"/>
      <c r="C257" s="730"/>
      <c r="D257" s="730"/>
      <c r="E257" s="730"/>
      <c r="F257" s="730"/>
      <c r="G257" s="730"/>
      <c r="H257" s="730"/>
      <c r="I257" s="730"/>
      <c r="J257" s="730"/>
      <c r="K257" s="730"/>
      <c r="L257" s="730"/>
      <c r="M257" s="730"/>
      <c r="N257" s="730"/>
      <c r="O257" s="730"/>
      <c r="P257" s="730"/>
      <c r="Q257" s="730"/>
      <c r="R257" s="730"/>
    </row>
    <row r="258" spans="1:18" ht="13.8">
      <c r="A258" s="730"/>
      <c r="B258" s="730"/>
      <c r="C258" s="730"/>
      <c r="D258" s="730"/>
      <c r="E258" s="730"/>
      <c r="F258" s="730"/>
      <c r="G258" s="730"/>
      <c r="H258" s="730"/>
      <c r="I258" s="730"/>
      <c r="J258" s="730"/>
      <c r="K258" s="730"/>
      <c r="L258" s="730"/>
      <c r="M258" s="730"/>
      <c r="N258" s="730"/>
      <c r="O258" s="730"/>
      <c r="P258" s="730"/>
      <c r="Q258" s="730"/>
      <c r="R258" s="730"/>
    </row>
    <row r="259" spans="1:18" ht="13.8">
      <c r="A259" s="730"/>
      <c r="B259" s="730"/>
      <c r="C259" s="730"/>
      <c r="D259" s="730"/>
      <c r="E259" s="730"/>
      <c r="F259" s="730"/>
      <c r="G259" s="730"/>
      <c r="H259" s="730"/>
      <c r="I259" s="730"/>
      <c r="J259" s="730"/>
      <c r="K259" s="730"/>
      <c r="L259" s="730"/>
      <c r="M259" s="730"/>
      <c r="N259" s="730"/>
      <c r="O259" s="730"/>
      <c r="P259" s="730"/>
      <c r="Q259" s="730"/>
      <c r="R259" s="730"/>
    </row>
    <row r="260" spans="1:18" ht="13.8">
      <c r="A260" s="730"/>
      <c r="B260" s="730"/>
      <c r="C260" s="730"/>
      <c r="D260" s="730"/>
      <c r="E260" s="730"/>
      <c r="F260" s="730"/>
      <c r="G260" s="730"/>
      <c r="H260" s="730"/>
      <c r="I260" s="730"/>
      <c r="J260" s="730"/>
      <c r="K260" s="730"/>
      <c r="L260" s="730"/>
      <c r="M260" s="730"/>
      <c r="N260" s="730"/>
      <c r="O260" s="730"/>
      <c r="P260" s="730"/>
      <c r="Q260" s="730"/>
      <c r="R260" s="730"/>
    </row>
    <row r="261" spans="1:18" ht="13.8">
      <c r="A261" s="730"/>
      <c r="B261" s="730"/>
      <c r="C261" s="730"/>
      <c r="D261" s="730"/>
      <c r="E261" s="730"/>
      <c r="F261" s="730"/>
      <c r="G261" s="730"/>
      <c r="H261" s="730"/>
      <c r="I261" s="730"/>
      <c r="J261" s="730"/>
      <c r="K261" s="730"/>
      <c r="L261" s="730"/>
      <c r="M261" s="730"/>
      <c r="N261" s="730"/>
      <c r="O261" s="730"/>
      <c r="P261" s="730"/>
      <c r="Q261" s="730"/>
      <c r="R261" s="730"/>
    </row>
    <row r="262" spans="1:18" ht="13.8">
      <c r="A262" s="730"/>
      <c r="B262" s="730"/>
      <c r="C262" s="730"/>
      <c r="D262" s="730"/>
      <c r="E262" s="730"/>
      <c r="F262" s="730"/>
      <c r="G262" s="730"/>
      <c r="H262" s="730"/>
      <c r="I262" s="730"/>
      <c r="J262" s="730"/>
      <c r="K262" s="730"/>
      <c r="L262" s="730"/>
      <c r="M262" s="730"/>
      <c r="N262" s="730"/>
      <c r="O262" s="730"/>
      <c r="P262" s="730"/>
      <c r="Q262" s="730"/>
      <c r="R262" s="730"/>
    </row>
    <row r="263" spans="1:18" ht="13.8">
      <c r="A263" s="730"/>
      <c r="B263" s="730"/>
      <c r="C263" s="730"/>
      <c r="D263" s="730"/>
      <c r="E263" s="730"/>
      <c r="F263" s="730"/>
      <c r="G263" s="730"/>
      <c r="H263" s="730"/>
      <c r="I263" s="730"/>
      <c r="J263" s="730"/>
      <c r="K263" s="730"/>
      <c r="L263" s="730"/>
      <c r="M263" s="730"/>
      <c r="N263" s="730"/>
      <c r="O263" s="730"/>
      <c r="P263" s="730"/>
      <c r="Q263" s="730"/>
      <c r="R263" s="730"/>
    </row>
    <row r="264" spans="1:18" ht="13.8">
      <c r="A264" s="730"/>
      <c r="B264" s="730"/>
      <c r="C264" s="730"/>
      <c r="D264" s="730"/>
      <c r="E264" s="730"/>
      <c r="F264" s="730"/>
      <c r="G264" s="730"/>
      <c r="H264" s="730"/>
      <c r="I264" s="730"/>
      <c r="J264" s="730"/>
      <c r="K264" s="730"/>
      <c r="L264" s="730"/>
      <c r="M264" s="730"/>
      <c r="N264" s="730"/>
      <c r="O264" s="730"/>
      <c r="P264" s="730"/>
      <c r="Q264" s="730"/>
      <c r="R264" s="730"/>
    </row>
    <row r="265" spans="1:18" ht="13.8">
      <c r="A265" s="730"/>
      <c r="B265" s="730"/>
      <c r="C265" s="730"/>
      <c r="D265" s="730"/>
      <c r="E265" s="730"/>
      <c r="F265" s="730"/>
      <c r="G265" s="730"/>
      <c r="H265" s="730"/>
      <c r="I265" s="730"/>
      <c r="J265" s="730"/>
      <c r="K265" s="730"/>
      <c r="L265" s="730"/>
      <c r="M265" s="730"/>
      <c r="N265" s="730"/>
      <c r="O265" s="730"/>
      <c r="P265" s="730"/>
      <c r="Q265" s="730"/>
      <c r="R265" s="730"/>
    </row>
    <row r="266" spans="1:18" ht="13.8">
      <c r="A266" s="730"/>
      <c r="B266" s="730"/>
      <c r="C266" s="730"/>
      <c r="D266" s="730"/>
      <c r="E266" s="730"/>
      <c r="F266" s="730"/>
      <c r="G266" s="730"/>
      <c r="H266" s="730"/>
      <c r="I266" s="730"/>
      <c r="J266" s="730"/>
      <c r="K266" s="730"/>
      <c r="L266" s="730"/>
      <c r="M266" s="730"/>
      <c r="N266" s="730"/>
      <c r="O266" s="730"/>
      <c r="P266" s="730"/>
      <c r="Q266" s="730"/>
      <c r="R266" s="730"/>
    </row>
    <row r="267" spans="1:18" ht="13.8">
      <c r="A267" s="730"/>
      <c r="B267" s="730"/>
      <c r="C267" s="730"/>
      <c r="D267" s="730"/>
      <c r="E267" s="730"/>
      <c r="F267" s="730"/>
      <c r="G267" s="730"/>
      <c r="H267" s="730"/>
      <c r="I267" s="730"/>
      <c r="J267" s="730"/>
      <c r="K267" s="730"/>
      <c r="L267" s="730"/>
      <c r="M267" s="730"/>
      <c r="N267" s="730"/>
      <c r="O267" s="730"/>
      <c r="P267" s="730"/>
      <c r="Q267" s="730"/>
      <c r="R267" s="730"/>
    </row>
    <row r="268" spans="1:18" ht="13.8">
      <c r="A268" s="730"/>
      <c r="B268" s="730"/>
      <c r="C268" s="730"/>
      <c r="D268" s="730"/>
      <c r="E268" s="730"/>
      <c r="F268" s="730"/>
      <c r="G268" s="730"/>
      <c r="H268" s="730"/>
      <c r="I268" s="730"/>
      <c r="J268" s="730"/>
      <c r="K268" s="730"/>
      <c r="L268" s="730"/>
      <c r="M268" s="730"/>
      <c r="N268" s="730"/>
      <c r="O268" s="730"/>
      <c r="P268" s="730"/>
      <c r="Q268" s="730"/>
      <c r="R268" s="730"/>
    </row>
    <row r="269" spans="1:18" ht="13.8">
      <c r="A269" s="730"/>
      <c r="B269" s="730"/>
      <c r="C269" s="730"/>
      <c r="D269" s="730"/>
      <c r="E269" s="730"/>
      <c r="F269" s="730"/>
      <c r="G269" s="730"/>
      <c r="H269" s="730"/>
      <c r="I269" s="730"/>
      <c r="J269" s="730"/>
      <c r="K269" s="730"/>
      <c r="L269" s="730"/>
      <c r="M269" s="730"/>
      <c r="N269" s="730"/>
      <c r="O269" s="730"/>
      <c r="P269" s="730"/>
      <c r="Q269" s="730"/>
      <c r="R269" s="730"/>
    </row>
    <row r="270" spans="1:18" ht="13.8">
      <c r="A270" s="730"/>
      <c r="B270" s="730"/>
      <c r="C270" s="730"/>
      <c r="D270" s="730"/>
      <c r="E270" s="730"/>
      <c r="F270" s="730"/>
      <c r="G270" s="730"/>
      <c r="H270" s="730"/>
      <c r="I270" s="730"/>
      <c r="J270" s="730"/>
      <c r="K270" s="730"/>
      <c r="L270" s="730"/>
      <c r="M270" s="730"/>
      <c r="N270" s="730"/>
      <c r="O270" s="730"/>
      <c r="P270" s="730"/>
      <c r="Q270" s="730"/>
      <c r="R270" s="730"/>
    </row>
    <row r="271" spans="1:18" ht="13.8">
      <c r="A271" s="730"/>
      <c r="B271" s="730"/>
      <c r="C271" s="730"/>
      <c r="D271" s="730"/>
      <c r="E271" s="730"/>
      <c r="F271" s="730"/>
      <c r="G271" s="730"/>
      <c r="H271" s="730"/>
      <c r="I271" s="730"/>
      <c r="J271" s="730"/>
      <c r="K271" s="730"/>
      <c r="L271" s="730"/>
      <c r="M271" s="730"/>
      <c r="N271" s="730"/>
      <c r="O271" s="730"/>
      <c r="P271" s="730"/>
      <c r="Q271" s="730"/>
      <c r="R271" s="730"/>
    </row>
    <row r="272" spans="1:18" ht="13.8">
      <c r="A272" s="730"/>
      <c r="B272" s="730"/>
      <c r="C272" s="730"/>
      <c r="D272" s="730"/>
      <c r="E272" s="730"/>
      <c r="F272" s="730"/>
      <c r="G272" s="730"/>
      <c r="H272" s="730"/>
      <c r="I272" s="730"/>
      <c r="J272" s="730"/>
      <c r="K272" s="730"/>
      <c r="L272" s="730"/>
      <c r="M272" s="730"/>
      <c r="N272" s="730"/>
      <c r="O272" s="730"/>
      <c r="P272" s="730"/>
      <c r="Q272" s="730"/>
      <c r="R272" s="730"/>
    </row>
    <row r="273" spans="1:18" ht="13.8">
      <c r="A273" s="730"/>
      <c r="B273" s="730"/>
      <c r="C273" s="730"/>
      <c r="D273" s="730"/>
      <c r="E273" s="730"/>
      <c r="F273" s="730"/>
      <c r="G273" s="730"/>
      <c r="H273" s="730"/>
      <c r="I273" s="730"/>
      <c r="J273" s="730"/>
      <c r="K273" s="730"/>
      <c r="L273" s="730"/>
      <c r="M273" s="730"/>
      <c r="N273" s="730"/>
      <c r="O273" s="730"/>
      <c r="P273" s="730"/>
      <c r="Q273" s="730"/>
      <c r="R273" s="730"/>
    </row>
    <row r="274" spans="1:18" ht="13.8">
      <c r="A274" s="730"/>
      <c r="B274" s="730"/>
      <c r="C274" s="730"/>
      <c r="D274" s="730"/>
      <c r="E274" s="730"/>
      <c r="F274" s="730"/>
      <c r="G274" s="730"/>
      <c r="H274" s="730"/>
      <c r="I274" s="730"/>
      <c r="J274" s="730"/>
      <c r="K274" s="730"/>
      <c r="L274" s="730"/>
      <c r="M274" s="730"/>
      <c r="N274" s="730"/>
      <c r="O274" s="730"/>
      <c r="P274" s="730"/>
      <c r="Q274" s="730"/>
      <c r="R274" s="730"/>
    </row>
    <row r="275" spans="1:18" ht="13.8">
      <c r="A275" s="730"/>
      <c r="B275" s="730"/>
      <c r="C275" s="730"/>
      <c r="D275" s="730"/>
      <c r="E275" s="730"/>
      <c r="F275" s="730"/>
      <c r="G275" s="730"/>
      <c r="H275" s="730"/>
      <c r="I275" s="730"/>
      <c r="J275" s="730"/>
      <c r="K275" s="730"/>
      <c r="L275" s="730"/>
      <c r="M275" s="730"/>
      <c r="N275" s="730"/>
      <c r="O275" s="730"/>
      <c r="P275" s="730"/>
      <c r="Q275" s="730"/>
      <c r="R275" s="730"/>
    </row>
    <row r="276" spans="1:18" ht="13.8">
      <c r="A276" s="730"/>
      <c r="B276" s="730"/>
      <c r="C276" s="730"/>
      <c r="D276" s="730"/>
      <c r="E276" s="730"/>
      <c r="F276" s="730"/>
      <c r="G276" s="730"/>
      <c r="H276" s="730"/>
      <c r="I276" s="730"/>
      <c r="J276" s="730"/>
      <c r="K276" s="730"/>
      <c r="L276" s="730"/>
      <c r="M276" s="730"/>
      <c r="N276" s="730"/>
      <c r="O276" s="730"/>
      <c r="P276" s="730"/>
      <c r="Q276" s="730"/>
      <c r="R276" s="730"/>
    </row>
    <row r="277" spans="1:18" ht="13.8">
      <c r="A277" s="730"/>
      <c r="B277" s="730"/>
      <c r="C277" s="730"/>
      <c r="D277" s="730"/>
      <c r="E277" s="730"/>
      <c r="F277" s="730"/>
      <c r="G277" s="730"/>
      <c r="H277" s="730"/>
      <c r="I277" s="730"/>
      <c r="J277" s="730"/>
      <c r="K277" s="730"/>
      <c r="L277" s="730"/>
      <c r="M277" s="730"/>
      <c r="N277" s="730"/>
      <c r="O277" s="730"/>
      <c r="P277" s="730"/>
      <c r="Q277" s="730"/>
      <c r="R277" s="730"/>
    </row>
    <row r="278" spans="1:18" ht="13.8">
      <c r="A278" s="730"/>
      <c r="B278" s="730"/>
      <c r="C278" s="730"/>
      <c r="D278" s="730"/>
      <c r="E278" s="730"/>
      <c r="F278" s="730"/>
      <c r="G278" s="730"/>
      <c r="H278" s="730"/>
      <c r="I278" s="730"/>
      <c r="J278" s="730"/>
      <c r="K278" s="730"/>
      <c r="L278" s="730"/>
      <c r="M278" s="730"/>
      <c r="N278" s="730"/>
      <c r="O278" s="730"/>
      <c r="P278" s="730"/>
      <c r="Q278" s="730"/>
      <c r="R278" s="730"/>
    </row>
    <row r="279" spans="1:18" ht="13.8">
      <c r="A279" s="730"/>
      <c r="B279" s="730"/>
      <c r="C279" s="730"/>
      <c r="D279" s="730"/>
      <c r="E279" s="730"/>
      <c r="F279" s="730"/>
      <c r="G279" s="730"/>
      <c r="H279" s="730"/>
      <c r="I279" s="730"/>
      <c r="J279" s="730"/>
      <c r="K279" s="730"/>
      <c r="L279" s="730"/>
      <c r="M279" s="730"/>
      <c r="N279" s="730"/>
      <c r="O279" s="730"/>
      <c r="P279" s="730"/>
      <c r="Q279" s="730"/>
      <c r="R279" s="730"/>
    </row>
    <row r="280" spans="1:18" ht="13.8">
      <c r="A280" s="730"/>
      <c r="B280" s="730"/>
      <c r="C280" s="730"/>
      <c r="D280" s="730"/>
      <c r="E280" s="730"/>
      <c r="F280" s="730"/>
      <c r="G280" s="730"/>
      <c r="H280" s="730"/>
      <c r="I280" s="730"/>
      <c r="J280" s="730"/>
      <c r="K280" s="730"/>
      <c r="L280" s="730"/>
      <c r="M280" s="730"/>
      <c r="N280" s="730"/>
      <c r="O280" s="730"/>
      <c r="P280" s="730"/>
      <c r="Q280" s="730"/>
      <c r="R280" s="730"/>
    </row>
    <row r="281" spans="1:18" ht="13.8">
      <c r="A281" s="730"/>
      <c r="B281" s="730"/>
      <c r="C281" s="730"/>
      <c r="D281" s="730"/>
      <c r="E281" s="730"/>
      <c r="F281" s="730"/>
      <c r="G281" s="730"/>
      <c r="H281" s="730"/>
      <c r="I281" s="730"/>
      <c r="J281" s="730"/>
      <c r="K281" s="730"/>
      <c r="L281" s="730"/>
      <c r="M281" s="730"/>
      <c r="N281" s="730"/>
      <c r="O281" s="730"/>
      <c r="P281" s="730"/>
      <c r="Q281" s="730"/>
      <c r="R281" s="730"/>
    </row>
    <row r="282" spans="1:18" ht="13.8">
      <c r="A282" s="730"/>
      <c r="B282" s="730"/>
      <c r="C282" s="730"/>
      <c r="D282" s="730"/>
      <c r="E282" s="730"/>
      <c r="F282" s="730"/>
      <c r="G282" s="730"/>
      <c r="H282" s="730"/>
      <c r="I282" s="730"/>
      <c r="J282" s="730"/>
      <c r="K282" s="730"/>
      <c r="L282" s="730"/>
      <c r="M282" s="730"/>
      <c r="N282" s="730"/>
      <c r="O282" s="730"/>
      <c r="P282" s="730"/>
      <c r="Q282" s="730"/>
      <c r="R282" s="730"/>
    </row>
    <row r="283" spans="1:18" ht="13.8">
      <c r="A283" s="730"/>
      <c r="B283" s="730"/>
      <c r="C283" s="730"/>
      <c r="D283" s="730"/>
      <c r="E283" s="730"/>
      <c r="F283" s="730"/>
      <c r="G283" s="730"/>
      <c r="H283" s="730"/>
      <c r="I283" s="730"/>
      <c r="J283" s="730"/>
      <c r="K283" s="730"/>
      <c r="L283" s="730"/>
      <c r="M283" s="730"/>
      <c r="N283" s="730"/>
      <c r="O283" s="730"/>
      <c r="P283" s="730"/>
      <c r="Q283" s="730"/>
      <c r="R283" s="730"/>
    </row>
    <row r="284" spans="1:18" ht="13.8">
      <c r="A284" s="730"/>
      <c r="B284" s="730"/>
      <c r="C284" s="730"/>
      <c r="D284" s="730"/>
      <c r="E284" s="730"/>
      <c r="F284" s="730"/>
      <c r="G284" s="730"/>
      <c r="H284" s="730"/>
      <c r="I284" s="730"/>
      <c r="J284" s="730"/>
      <c r="K284" s="730"/>
      <c r="L284" s="730"/>
      <c r="M284" s="730"/>
      <c r="N284" s="730"/>
      <c r="O284" s="730"/>
      <c r="P284" s="730"/>
      <c r="Q284" s="730"/>
      <c r="R284" s="730"/>
    </row>
    <row r="285" spans="1:18" ht="13.8">
      <c r="A285" s="730"/>
      <c r="B285" s="730"/>
      <c r="C285" s="730"/>
      <c r="D285" s="730"/>
      <c r="E285" s="730"/>
      <c r="F285" s="730"/>
      <c r="G285" s="730"/>
      <c r="H285" s="730"/>
      <c r="I285" s="730"/>
      <c r="J285" s="730"/>
      <c r="K285" s="730"/>
      <c r="L285" s="730"/>
      <c r="M285" s="730"/>
      <c r="N285" s="730"/>
      <c r="O285" s="730"/>
      <c r="P285" s="730"/>
      <c r="Q285" s="730"/>
      <c r="R285" s="730"/>
    </row>
    <row r="286" spans="1:18" ht="13.8">
      <c r="A286" s="730"/>
      <c r="B286" s="730"/>
      <c r="C286" s="730"/>
      <c r="D286" s="730"/>
      <c r="E286" s="730"/>
      <c r="F286" s="730"/>
      <c r="G286" s="730"/>
      <c r="H286" s="730"/>
      <c r="I286" s="730"/>
      <c r="J286" s="730"/>
      <c r="K286" s="730"/>
      <c r="L286" s="730"/>
      <c r="M286" s="730"/>
      <c r="N286" s="730"/>
      <c r="O286" s="730"/>
      <c r="P286" s="730"/>
      <c r="Q286" s="730"/>
      <c r="R286" s="730"/>
    </row>
    <row r="287" spans="1:18" ht="13.8">
      <c r="A287" s="730"/>
      <c r="B287" s="730"/>
      <c r="C287" s="730"/>
      <c r="D287" s="730"/>
      <c r="E287" s="730"/>
      <c r="F287" s="730"/>
      <c r="G287" s="730"/>
      <c r="H287" s="730"/>
      <c r="I287" s="730"/>
      <c r="J287" s="730"/>
      <c r="K287" s="730"/>
      <c r="L287" s="730"/>
      <c r="M287" s="730"/>
      <c r="N287" s="730"/>
      <c r="O287" s="730"/>
      <c r="P287" s="730"/>
      <c r="Q287" s="730"/>
      <c r="R287" s="730"/>
    </row>
    <row r="288" spans="1:18" ht="13.8">
      <c r="A288" s="730"/>
      <c r="B288" s="730"/>
      <c r="C288" s="730"/>
      <c r="D288" s="730"/>
      <c r="E288" s="730"/>
      <c r="F288" s="730"/>
      <c r="G288" s="730"/>
      <c r="H288" s="730"/>
      <c r="I288" s="730"/>
      <c r="J288" s="730"/>
      <c r="K288" s="730"/>
      <c r="L288" s="730"/>
      <c r="M288" s="730"/>
      <c r="N288" s="730"/>
      <c r="O288" s="730"/>
      <c r="P288" s="730"/>
      <c r="Q288" s="730"/>
      <c r="R288" s="730"/>
    </row>
    <row r="289" spans="1:18" ht="13.8">
      <c r="A289" s="730"/>
      <c r="B289" s="730"/>
      <c r="C289" s="730"/>
      <c r="D289" s="730"/>
      <c r="E289" s="730"/>
      <c r="F289" s="730"/>
      <c r="G289" s="730"/>
      <c r="H289" s="730"/>
      <c r="I289" s="730"/>
      <c r="J289" s="730"/>
      <c r="K289" s="730"/>
      <c r="L289" s="730"/>
      <c r="M289" s="730"/>
      <c r="N289" s="730"/>
      <c r="O289" s="730"/>
      <c r="P289" s="730"/>
      <c r="Q289" s="730"/>
      <c r="R289" s="730"/>
    </row>
    <row r="290" spans="1:18" ht="13.8">
      <c r="A290" s="730"/>
      <c r="B290" s="730"/>
      <c r="C290" s="730"/>
      <c r="D290" s="730"/>
      <c r="E290" s="730"/>
      <c r="F290" s="730"/>
      <c r="G290" s="730"/>
      <c r="H290" s="730"/>
      <c r="I290" s="730"/>
      <c r="J290" s="730"/>
      <c r="K290" s="730"/>
      <c r="L290" s="730"/>
      <c r="M290" s="730"/>
      <c r="N290" s="730"/>
      <c r="O290" s="730"/>
      <c r="P290" s="730"/>
      <c r="Q290" s="730"/>
      <c r="R290" s="730"/>
    </row>
    <row r="291" spans="1:18" ht="13.8">
      <c r="A291" s="730"/>
      <c r="B291" s="730"/>
      <c r="C291" s="730"/>
      <c r="D291" s="730"/>
      <c r="E291" s="730"/>
      <c r="F291" s="730"/>
      <c r="G291" s="730"/>
      <c r="H291" s="730"/>
      <c r="I291" s="730"/>
      <c r="J291" s="730"/>
      <c r="K291" s="730"/>
      <c r="L291" s="730"/>
      <c r="M291" s="730"/>
      <c r="N291" s="730"/>
      <c r="O291" s="730"/>
      <c r="P291" s="730"/>
      <c r="Q291" s="730"/>
      <c r="R291" s="730"/>
    </row>
    <row r="292" spans="1:18" ht="13.8">
      <c r="A292" s="730"/>
      <c r="B292" s="730"/>
      <c r="C292" s="730"/>
      <c r="D292" s="730"/>
      <c r="E292" s="730"/>
      <c r="F292" s="730"/>
      <c r="G292" s="730"/>
      <c r="H292" s="730"/>
      <c r="I292" s="730"/>
      <c r="J292" s="730"/>
      <c r="K292" s="730"/>
      <c r="L292" s="730"/>
      <c r="M292" s="730"/>
      <c r="N292" s="730"/>
      <c r="O292" s="730"/>
      <c r="P292" s="730"/>
      <c r="Q292" s="730"/>
      <c r="R292" s="730"/>
    </row>
    <row r="293" spans="1:18" ht="13.8">
      <c r="A293" s="730"/>
      <c r="B293" s="730"/>
      <c r="C293" s="730"/>
      <c r="D293" s="730"/>
      <c r="E293" s="730"/>
      <c r="F293" s="730"/>
      <c r="G293" s="730"/>
      <c r="H293" s="730"/>
      <c r="I293" s="730"/>
      <c r="J293" s="730"/>
      <c r="K293" s="730"/>
      <c r="L293" s="730"/>
      <c r="M293" s="730"/>
      <c r="N293" s="730"/>
      <c r="O293" s="730"/>
      <c r="P293" s="730"/>
      <c r="Q293" s="730"/>
      <c r="R293" s="730"/>
    </row>
    <row r="294" spans="1:18" ht="13.8">
      <c r="A294" s="730"/>
      <c r="B294" s="730"/>
      <c r="C294" s="730"/>
      <c r="D294" s="730"/>
      <c r="E294" s="730"/>
      <c r="F294" s="730"/>
      <c r="G294" s="730"/>
      <c r="H294" s="730"/>
      <c r="I294" s="730"/>
      <c r="J294" s="730"/>
      <c r="K294" s="730"/>
      <c r="L294" s="730"/>
      <c r="M294" s="730"/>
      <c r="N294" s="730"/>
      <c r="O294" s="730"/>
      <c r="P294" s="730"/>
      <c r="Q294" s="730"/>
      <c r="R294" s="730"/>
    </row>
    <row r="295" spans="1:18" ht="13.8">
      <c r="A295" s="730"/>
      <c r="B295" s="730"/>
      <c r="C295" s="730"/>
      <c r="D295" s="730"/>
      <c r="E295" s="730"/>
      <c r="F295" s="730"/>
      <c r="G295" s="730"/>
      <c r="H295" s="730"/>
      <c r="I295" s="730"/>
      <c r="J295" s="730"/>
      <c r="K295" s="730"/>
      <c r="L295" s="730"/>
      <c r="M295" s="730"/>
      <c r="N295" s="730"/>
      <c r="O295" s="730"/>
      <c r="P295" s="730"/>
      <c r="Q295" s="730"/>
      <c r="R295" s="730"/>
    </row>
    <row r="296" spans="1:18" ht="13.8">
      <c r="A296" s="730"/>
      <c r="B296" s="730"/>
      <c r="C296" s="730"/>
      <c r="D296" s="730"/>
      <c r="E296" s="730"/>
      <c r="F296" s="730"/>
      <c r="G296" s="730"/>
      <c r="H296" s="730"/>
      <c r="I296" s="730"/>
      <c r="J296" s="730"/>
      <c r="K296" s="730"/>
      <c r="L296" s="730"/>
      <c r="M296" s="730"/>
      <c r="N296" s="730"/>
      <c r="O296" s="730"/>
      <c r="P296" s="730"/>
      <c r="Q296" s="730"/>
      <c r="R296" s="730"/>
    </row>
    <row r="297" spans="1:18" ht="13.8">
      <c r="A297" s="730"/>
      <c r="B297" s="730"/>
      <c r="C297" s="730"/>
      <c r="D297" s="730"/>
      <c r="E297" s="730"/>
      <c r="F297" s="730"/>
      <c r="G297" s="730"/>
      <c r="H297" s="730"/>
      <c r="I297" s="730"/>
      <c r="J297" s="730"/>
      <c r="K297" s="730"/>
      <c r="L297" s="730"/>
      <c r="M297" s="730"/>
      <c r="N297" s="730"/>
      <c r="O297" s="730"/>
      <c r="P297" s="730"/>
      <c r="Q297" s="730"/>
      <c r="R297" s="730"/>
    </row>
    <row r="298" spans="1:18" ht="13.8">
      <c r="A298" s="730"/>
      <c r="B298" s="730"/>
      <c r="C298" s="730"/>
      <c r="D298" s="730"/>
      <c r="E298" s="730"/>
      <c r="F298" s="730"/>
      <c r="G298" s="730"/>
      <c r="H298" s="730"/>
      <c r="I298" s="730"/>
      <c r="J298" s="730"/>
      <c r="K298" s="730"/>
      <c r="L298" s="730"/>
      <c r="M298" s="730"/>
      <c r="N298" s="730"/>
      <c r="O298" s="730"/>
      <c r="P298" s="730"/>
      <c r="Q298" s="730"/>
      <c r="R298" s="730"/>
    </row>
    <row r="299" spans="1:18" ht="13.8">
      <c r="A299" s="730"/>
      <c r="B299" s="730"/>
      <c r="C299" s="730"/>
      <c r="D299" s="730"/>
      <c r="E299" s="730"/>
      <c r="F299" s="730"/>
      <c r="G299" s="730"/>
      <c r="H299" s="730"/>
      <c r="I299" s="730"/>
      <c r="J299" s="730"/>
      <c r="K299" s="730"/>
      <c r="L299" s="730"/>
      <c r="M299" s="730"/>
      <c r="N299" s="730"/>
      <c r="O299" s="730"/>
      <c r="P299" s="730"/>
      <c r="Q299" s="730"/>
      <c r="R299" s="730"/>
    </row>
    <row r="300" spans="1:18" ht="13.8">
      <c r="A300" s="730"/>
      <c r="B300" s="730"/>
      <c r="C300" s="730"/>
      <c r="D300" s="730"/>
      <c r="E300" s="730"/>
      <c r="F300" s="730"/>
      <c r="G300" s="730"/>
      <c r="H300" s="730"/>
      <c r="I300" s="730"/>
      <c r="J300" s="730"/>
      <c r="K300" s="730"/>
      <c r="L300" s="730"/>
      <c r="M300" s="730"/>
      <c r="N300" s="730"/>
      <c r="O300" s="730"/>
      <c r="P300" s="730"/>
      <c r="Q300" s="730"/>
      <c r="R300" s="730"/>
    </row>
    <row r="301" spans="1:18" ht="13.8">
      <c r="A301" s="730"/>
      <c r="B301" s="730"/>
      <c r="C301" s="730"/>
      <c r="D301" s="730"/>
      <c r="E301" s="730"/>
      <c r="F301" s="730"/>
      <c r="G301" s="730"/>
      <c r="H301" s="730"/>
      <c r="I301" s="730"/>
      <c r="J301" s="730"/>
      <c r="K301" s="730"/>
      <c r="L301" s="730"/>
      <c r="M301" s="730"/>
      <c r="N301" s="730"/>
      <c r="O301" s="730"/>
      <c r="P301" s="730"/>
      <c r="Q301" s="730"/>
      <c r="R301" s="730"/>
    </row>
    <row r="302" spans="1:18" ht="13.8">
      <c r="A302" s="730"/>
      <c r="B302" s="730"/>
      <c r="C302" s="730"/>
      <c r="D302" s="730"/>
      <c r="E302" s="730"/>
      <c r="F302" s="730"/>
      <c r="G302" s="730"/>
      <c r="H302" s="730"/>
      <c r="I302" s="730"/>
      <c r="J302" s="730"/>
      <c r="K302" s="730"/>
      <c r="L302" s="730"/>
      <c r="M302" s="730"/>
      <c r="N302" s="730"/>
      <c r="O302" s="730"/>
      <c r="P302" s="730"/>
      <c r="Q302" s="730"/>
      <c r="R302" s="730"/>
    </row>
    <row r="303" spans="1:18" ht="13.8">
      <c r="A303" s="730"/>
      <c r="B303" s="730"/>
      <c r="C303" s="730"/>
      <c r="D303" s="730"/>
      <c r="E303" s="730"/>
      <c r="F303" s="730"/>
      <c r="G303" s="730"/>
      <c r="H303" s="730"/>
      <c r="I303" s="730"/>
      <c r="J303" s="730"/>
      <c r="K303" s="730"/>
      <c r="L303" s="730"/>
      <c r="M303" s="730"/>
      <c r="N303" s="730"/>
      <c r="O303" s="730"/>
      <c r="P303" s="730"/>
      <c r="Q303" s="730"/>
      <c r="R303" s="730"/>
    </row>
    <row r="304" spans="1:18" ht="13.8">
      <c r="A304" s="730"/>
      <c r="B304" s="730"/>
      <c r="C304" s="730"/>
      <c r="D304" s="730"/>
      <c r="E304" s="730"/>
      <c r="F304" s="730"/>
      <c r="G304" s="730"/>
      <c r="H304" s="730"/>
      <c r="I304" s="730"/>
      <c r="J304" s="730"/>
      <c r="K304" s="730"/>
      <c r="L304" s="730"/>
      <c r="M304" s="730"/>
      <c r="N304" s="730"/>
      <c r="O304" s="730"/>
      <c r="P304" s="730"/>
      <c r="Q304" s="730"/>
      <c r="R304" s="730"/>
    </row>
    <row r="305" spans="1:18" ht="13.8">
      <c r="A305" s="730"/>
      <c r="B305" s="730"/>
      <c r="C305" s="730"/>
      <c r="D305" s="730"/>
      <c r="E305" s="730"/>
      <c r="F305" s="730"/>
      <c r="G305" s="730"/>
      <c r="H305" s="730"/>
      <c r="I305" s="730"/>
      <c r="J305" s="730"/>
      <c r="K305" s="730"/>
      <c r="L305" s="730"/>
      <c r="M305" s="730"/>
      <c r="N305" s="730"/>
      <c r="O305" s="730"/>
      <c r="P305" s="730"/>
      <c r="Q305" s="730"/>
      <c r="R305" s="730"/>
    </row>
    <row r="306" spans="1:18" ht="13.8">
      <c r="A306" s="730"/>
      <c r="B306" s="730"/>
      <c r="C306" s="730"/>
      <c r="D306" s="730"/>
      <c r="E306" s="730"/>
      <c r="F306" s="730"/>
      <c r="G306" s="730"/>
      <c r="H306" s="730"/>
      <c r="I306" s="730"/>
      <c r="J306" s="730"/>
      <c r="K306" s="730"/>
      <c r="L306" s="730"/>
      <c r="M306" s="730"/>
      <c r="N306" s="730"/>
      <c r="O306" s="730"/>
      <c r="P306" s="730"/>
      <c r="Q306" s="730"/>
      <c r="R306" s="730"/>
    </row>
    <row r="307" spans="1:18" ht="13.8">
      <c r="A307" s="730"/>
      <c r="B307" s="730"/>
      <c r="C307" s="730"/>
      <c r="D307" s="730"/>
      <c r="E307" s="730"/>
      <c r="F307" s="730"/>
      <c r="G307" s="730"/>
      <c r="H307" s="730"/>
      <c r="I307" s="730"/>
      <c r="J307" s="730"/>
      <c r="K307" s="730"/>
      <c r="L307" s="730"/>
      <c r="M307" s="730"/>
      <c r="N307" s="730"/>
      <c r="O307" s="730"/>
      <c r="P307" s="730"/>
      <c r="Q307" s="730"/>
      <c r="R307" s="730"/>
    </row>
    <row r="308" spans="1:18" ht="13.8">
      <c r="A308" s="730"/>
      <c r="B308" s="730"/>
      <c r="C308" s="730"/>
      <c r="D308" s="730"/>
      <c r="E308" s="730"/>
      <c r="F308" s="730"/>
      <c r="G308" s="730"/>
      <c r="H308" s="730"/>
      <c r="I308" s="730"/>
      <c r="J308" s="730"/>
      <c r="K308" s="730"/>
      <c r="L308" s="730"/>
      <c r="M308" s="730"/>
      <c r="N308" s="730"/>
      <c r="O308" s="730"/>
      <c r="P308" s="730"/>
      <c r="Q308" s="730"/>
      <c r="R308" s="730"/>
    </row>
    <row r="309" spans="1:18" ht="13.8">
      <c r="A309" s="730"/>
      <c r="B309" s="730"/>
      <c r="C309" s="730"/>
      <c r="D309" s="730"/>
      <c r="E309" s="730"/>
      <c r="F309" s="730"/>
      <c r="G309" s="730"/>
      <c r="H309" s="730"/>
      <c r="I309" s="730"/>
      <c r="J309" s="730"/>
      <c r="K309" s="730"/>
      <c r="L309" s="730"/>
      <c r="M309" s="730"/>
      <c r="N309" s="730"/>
      <c r="O309" s="730"/>
      <c r="P309" s="730"/>
      <c r="Q309" s="730"/>
      <c r="R309" s="730"/>
    </row>
    <row r="310" spans="1:18" ht="13.8">
      <c r="A310" s="730"/>
      <c r="B310" s="730"/>
      <c r="C310" s="730"/>
      <c r="D310" s="730"/>
      <c r="E310" s="730"/>
      <c r="F310" s="730"/>
      <c r="G310" s="730"/>
      <c r="H310" s="730"/>
      <c r="I310" s="730"/>
      <c r="J310" s="730"/>
      <c r="K310" s="730"/>
      <c r="L310" s="730"/>
      <c r="M310" s="730"/>
      <c r="N310" s="730"/>
      <c r="O310" s="730"/>
      <c r="P310" s="730"/>
      <c r="Q310" s="730"/>
      <c r="R310" s="730"/>
    </row>
    <row r="311" spans="1:18" ht="13.8">
      <c r="A311" s="730"/>
      <c r="B311" s="730"/>
      <c r="C311" s="730"/>
      <c r="D311" s="730"/>
      <c r="E311" s="730"/>
      <c r="F311" s="730"/>
      <c r="G311" s="730"/>
      <c r="H311" s="730"/>
      <c r="I311" s="730"/>
      <c r="J311" s="730"/>
      <c r="K311" s="730"/>
      <c r="L311" s="730"/>
      <c r="M311" s="730"/>
      <c r="N311" s="730"/>
      <c r="O311" s="730"/>
      <c r="P311" s="730"/>
      <c r="Q311" s="730"/>
      <c r="R311" s="730"/>
    </row>
    <row r="312" spans="1:18" ht="13.8">
      <c r="A312" s="730"/>
      <c r="B312" s="730"/>
      <c r="C312" s="730"/>
      <c r="D312" s="730"/>
      <c r="E312" s="730"/>
      <c r="F312" s="730"/>
      <c r="G312" s="730"/>
      <c r="H312" s="730"/>
      <c r="I312" s="730"/>
      <c r="J312" s="730"/>
      <c r="K312" s="730"/>
      <c r="L312" s="730"/>
      <c r="M312" s="730"/>
      <c r="N312" s="730"/>
      <c r="O312" s="730"/>
      <c r="P312" s="730"/>
      <c r="Q312" s="730"/>
      <c r="R312" s="730"/>
    </row>
    <row r="313" spans="1:18" ht="13.8">
      <c r="A313" s="730"/>
      <c r="B313" s="730"/>
      <c r="C313" s="730"/>
      <c r="D313" s="730"/>
      <c r="E313" s="730"/>
      <c r="F313" s="730"/>
      <c r="G313" s="730"/>
      <c r="H313" s="730"/>
      <c r="I313" s="730"/>
      <c r="J313" s="730"/>
      <c r="K313" s="730"/>
      <c r="L313" s="730"/>
      <c r="M313" s="730"/>
      <c r="N313" s="730"/>
      <c r="O313" s="730"/>
      <c r="P313" s="730"/>
      <c r="Q313" s="730"/>
      <c r="R313" s="730"/>
    </row>
    <row r="314" spans="1:18" ht="13.8">
      <c r="A314" s="730"/>
      <c r="B314" s="730"/>
      <c r="C314" s="730"/>
      <c r="D314" s="730"/>
      <c r="E314" s="730"/>
      <c r="F314" s="730"/>
      <c r="G314" s="730"/>
      <c r="H314" s="730"/>
      <c r="I314" s="730"/>
      <c r="J314" s="730"/>
      <c r="K314" s="730"/>
      <c r="L314" s="730"/>
      <c r="M314" s="730"/>
      <c r="N314" s="730"/>
      <c r="O314" s="730"/>
      <c r="P314" s="730"/>
      <c r="Q314" s="730"/>
      <c r="R314" s="730"/>
    </row>
    <row r="315" spans="1:18" ht="13.8">
      <c r="A315" s="730"/>
      <c r="B315" s="730"/>
      <c r="C315" s="730"/>
      <c r="D315" s="730"/>
      <c r="E315" s="730"/>
      <c r="F315" s="730"/>
      <c r="G315" s="730"/>
      <c r="H315" s="730"/>
      <c r="I315" s="730"/>
      <c r="J315" s="730"/>
      <c r="K315" s="730"/>
      <c r="L315" s="730"/>
      <c r="M315" s="730"/>
      <c r="N315" s="730"/>
      <c r="O315" s="730"/>
      <c r="P315" s="730"/>
      <c r="Q315" s="730"/>
      <c r="R315" s="730"/>
    </row>
    <row r="316" spans="1:18" ht="13.8">
      <c r="A316" s="730"/>
      <c r="B316" s="730"/>
      <c r="C316" s="730"/>
      <c r="D316" s="730"/>
      <c r="E316" s="730"/>
      <c r="F316" s="730"/>
      <c r="G316" s="730"/>
      <c r="H316" s="730"/>
      <c r="I316" s="730"/>
      <c r="J316" s="730"/>
      <c r="K316" s="730"/>
      <c r="L316" s="730"/>
      <c r="M316" s="730"/>
      <c r="N316" s="730"/>
      <c r="O316" s="730"/>
      <c r="P316" s="730"/>
      <c r="Q316" s="730"/>
      <c r="R316" s="730"/>
    </row>
    <row r="317" spans="1:18" ht="13.8">
      <c r="A317" s="730"/>
      <c r="B317" s="730"/>
      <c r="C317" s="730"/>
      <c r="D317" s="730"/>
      <c r="E317" s="730"/>
      <c r="F317" s="730"/>
      <c r="G317" s="730"/>
      <c r="H317" s="730"/>
      <c r="I317" s="730"/>
      <c r="J317" s="730"/>
      <c r="K317" s="730"/>
      <c r="L317" s="730"/>
      <c r="M317" s="730"/>
      <c r="N317" s="730"/>
      <c r="O317" s="730"/>
      <c r="P317" s="730"/>
      <c r="Q317" s="730"/>
      <c r="R317" s="730"/>
    </row>
    <row r="318" spans="1:18" ht="13.8">
      <c r="A318" s="730"/>
      <c r="B318" s="730"/>
      <c r="C318" s="730"/>
      <c r="D318" s="730"/>
      <c r="E318" s="730"/>
      <c r="F318" s="730"/>
      <c r="G318" s="730"/>
      <c r="H318" s="730"/>
      <c r="I318" s="730"/>
      <c r="J318" s="730"/>
      <c r="K318" s="730"/>
      <c r="L318" s="730"/>
      <c r="M318" s="730"/>
      <c r="N318" s="730"/>
      <c r="O318" s="730"/>
      <c r="P318" s="730"/>
      <c r="Q318" s="730"/>
      <c r="R318" s="730"/>
    </row>
    <row r="319" spans="1:18" ht="13.8">
      <c r="A319" s="730"/>
      <c r="B319" s="730"/>
      <c r="C319" s="730"/>
      <c r="D319" s="730"/>
      <c r="E319" s="730"/>
      <c r="F319" s="730"/>
      <c r="G319" s="730"/>
      <c r="H319" s="730"/>
      <c r="I319" s="730"/>
      <c r="J319" s="730"/>
      <c r="K319" s="730"/>
      <c r="L319" s="730"/>
      <c r="M319" s="730"/>
      <c r="N319" s="730"/>
      <c r="O319" s="730"/>
      <c r="P319" s="730"/>
      <c r="Q319" s="730"/>
      <c r="R319" s="730"/>
    </row>
    <row r="320" spans="1:18" ht="13.8">
      <c r="A320" s="730"/>
      <c r="B320" s="730"/>
      <c r="C320" s="730"/>
      <c r="D320" s="730"/>
      <c r="E320" s="730"/>
      <c r="F320" s="730"/>
      <c r="G320" s="730"/>
      <c r="H320" s="730"/>
      <c r="I320" s="730"/>
      <c r="J320" s="730"/>
      <c r="K320" s="730"/>
      <c r="L320" s="730"/>
      <c r="M320" s="730"/>
      <c r="N320" s="730"/>
      <c r="O320" s="730"/>
      <c r="P320" s="730"/>
      <c r="Q320" s="730"/>
      <c r="R320" s="730"/>
    </row>
    <row r="321" spans="1:18" ht="13.8">
      <c r="A321" s="730"/>
      <c r="B321" s="730"/>
      <c r="C321" s="730"/>
      <c r="D321" s="730"/>
      <c r="E321" s="730"/>
      <c r="F321" s="730"/>
      <c r="G321" s="730"/>
      <c r="H321" s="730"/>
      <c r="I321" s="730"/>
      <c r="J321" s="730"/>
      <c r="K321" s="730"/>
      <c r="L321" s="730"/>
      <c r="M321" s="730"/>
      <c r="N321" s="730"/>
      <c r="O321" s="730"/>
      <c r="P321" s="730"/>
      <c r="Q321" s="730"/>
      <c r="R321" s="730"/>
    </row>
    <row r="322" spans="1:18" ht="13.8">
      <c r="A322" s="730"/>
      <c r="B322" s="730"/>
      <c r="C322" s="730"/>
      <c r="D322" s="730"/>
      <c r="E322" s="730"/>
      <c r="F322" s="730"/>
      <c r="G322" s="730"/>
      <c r="H322" s="730"/>
      <c r="I322" s="730"/>
      <c r="J322" s="730"/>
      <c r="K322" s="730"/>
      <c r="L322" s="730"/>
      <c r="M322" s="730"/>
      <c r="N322" s="730"/>
      <c r="O322" s="730"/>
      <c r="P322" s="730"/>
      <c r="Q322" s="730"/>
      <c r="R322" s="730"/>
    </row>
    <row r="323" spans="1:18" ht="13.8">
      <c r="A323" s="730"/>
      <c r="B323" s="730"/>
      <c r="C323" s="730"/>
      <c r="D323" s="730"/>
      <c r="E323" s="730"/>
      <c r="F323" s="730"/>
      <c r="G323" s="730"/>
      <c r="H323" s="730"/>
      <c r="I323" s="730"/>
      <c r="J323" s="730"/>
      <c r="K323" s="730"/>
      <c r="L323" s="730"/>
      <c r="M323" s="730"/>
      <c r="N323" s="730"/>
      <c r="O323" s="730"/>
      <c r="P323" s="730"/>
      <c r="Q323" s="730"/>
      <c r="R323" s="730"/>
    </row>
    <row r="324" spans="1:18" ht="13.8">
      <c r="A324" s="730"/>
      <c r="B324" s="730"/>
      <c r="C324" s="730"/>
      <c r="D324" s="730"/>
      <c r="E324" s="730"/>
      <c r="F324" s="730"/>
      <c r="G324" s="730"/>
      <c r="H324" s="730"/>
      <c r="I324" s="730"/>
      <c r="J324" s="730"/>
      <c r="K324" s="730"/>
      <c r="L324" s="730"/>
      <c r="M324" s="730"/>
      <c r="N324" s="730"/>
      <c r="O324" s="730"/>
      <c r="P324" s="730"/>
      <c r="Q324" s="730"/>
      <c r="R324" s="730"/>
    </row>
    <row r="325" spans="1:18" ht="13.8">
      <c r="A325" s="730"/>
      <c r="B325" s="730"/>
      <c r="C325" s="730"/>
      <c r="D325" s="730"/>
      <c r="E325" s="730"/>
      <c r="F325" s="730"/>
      <c r="G325" s="730"/>
      <c r="H325" s="730"/>
      <c r="I325" s="730"/>
      <c r="J325" s="730"/>
      <c r="K325" s="730"/>
      <c r="L325" s="730"/>
      <c r="M325" s="730"/>
      <c r="N325" s="730"/>
      <c r="O325" s="730"/>
      <c r="P325" s="730"/>
      <c r="Q325" s="730"/>
      <c r="R325" s="730"/>
    </row>
    <row r="326" spans="1:18" ht="13.8">
      <c r="A326" s="730"/>
      <c r="B326" s="730"/>
      <c r="C326" s="730"/>
      <c r="D326" s="730"/>
      <c r="E326" s="730"/>
      <c r="F326" s="730"/>
      <c r="G326" s="730"/>
      <c r="H326" s="730"/>
      <c r="I326" s="730"/>
      <c r="J326" s="730"/>
      <c r="K326" s="730"/>
      <c r="L326" s="730"/>
      <c r="M326" s="730"/>
      <c r="N326" s="730"/>
      <c r="O326" s="730"/>
      <c r="P326" s="730"/>
      <c r="Q326" s="730"/>
      <c r="R326" s="730"/>
    </row>
    <row r="327" spans="1:18" ht="13.8">
      <c r="A327" s="730"/>
      <c r="B327" s="730"/>
      <c r="C327" s="730"/>
      <c r="D327" s="730"/>
      <c r="E327" s="730"/>
      <c r="F327" s="730"/>
      <c r="G327" s="730"/>
      <c r="H327" s="730"/>
      <c r="I327" s="730"/>
      <c r="J327" s="730"/>
      <c r="K327" s="730"/>
      <c r="L327" s="730"/>
      <c r="M327" s="730"/>
      <c r="N327" s="730"/>
      <c r="O327" s="730"/>
      <c r="P327" s="730"/>
      <c r="Q327" s="730"/>
      <c r="R327" s="730"/>
    </row>
    <row r="328" spans="1:18" ht="13.8">
      <c r="A328" s="730"/>
      <c r="B328" s="730"/>
      <c r="C328" s="730"/>
      <c r="D328" s="730"/>
      <c r="E328" s="730"/>
      <c r="F328" s="730"/>
      <c r="G328" s="730"/>
      <c r="H328" s="730"/>
      <c r="I328" s="730"/>
      <c r="J328" s="730"/>
      <c r="K328" s="730"/>
      <c r="L328" s="730"/>
      <c r="M328" s="730"/>
      <c r="N328" s="730"/>
      <c r="O328" s="730"/>
      <c r="P328" s="730"/>
      <c r="Q328" s="730"/>
      <c r="R328" s="730"/>
    </row>
    <row r="329" spans="1:18" ht="13.8">
      <c r="A329" s="730"/>
      <c r="B329" s="730"/>
      <c r="C329" s="730"/>
      <c r="D329" s="730"/>
      <c r="E329" s="730"/>
      <c r="F329" s="730"/>
      <c r="G329" s="730"/>
      <c r="H329" s="730"/>
      <c r="I329" s="730"/>
      <c r="J329" s="730"/>
      <c r="K329" s="730"/>
      <c r="L329" s="730"/>
      <c r="M329" s="730"/>
      <c r="N329" s="730"/>
      <c r="O329" s="730"/>
      <c r="P329" s="730"/>
      <c r="Q329" s="730"/>
      <c r="R329" s="730"/>
    </row>
    <row r="330" spans="1:18" ht="13.8">
      <c r="A330" s="730"/>
      <c r="B330" s="730"/>
      <c r="C330" s="730"/>
      <c r="D330" s="730"/>
      <c r="E330" s="730"/>
      <c r="F330" s="730"/>
      <c r="G330" s="730"/>
      <c r="H330" s="730"/>
      <c r="I330" s="730"/>
      <c r="J330" s="730"/>
      <c r="K330" s="730"/>
      <c r="L330" s="730"/>
      <c r="M330" s="730"/>
      <c r="N330" s="730"/>
      <c r="O330" s="730"/>
      <c r="P330" s="730"/>
      <c r="Q330" s="730"/>
      <c r="R330" s="730"/>
    </row>
    <row r="331" spans="1:18" ht="13.8">
      <c r="A331" s="730"/>
      <c r="B331" s="730"/>
      <c r="C331" s="730"/>
      <c r="D331" s="730"/>
      <c r="E331" s="730"/>
      <c r="F331" s="730"/>
      <c r="G331" s="730"/>
      <c r="H331" s="730"/>
      <c r="I331" s="730"/>
      <c r="J331" s="730"/>
      <c r="K331" s="730"/>
      <c r="L331" s="730"/>
      <c r="M331" s="730"/>
      <c r="N331" s="730"/>
      <c r="O331" s="730"/>
      <c r="P331" s="730"/>
      <c r="Q331" s="730"/>
      <c r="R331" s="730"/>
    </row>
    <row r="332" spans="1:18" ht="13.8">
      <c r="A332" s="730"/>
      <c r="B332" s="730"/>
      <c r="C332" s="730"/>
      <c r="D332" s="730"/>
      <c r="E332" s="730"/>
      <c r="F332" s="730"/>
      <c r="G332" s="730"/>
      <c r="H332" s="730"/>
      <c r="I332" s="730"/>
      <c r="J332" s="730"/>
      <c r="K332" s="730"/>
      <c r="L332" s="730"/>
      <c r="M332" s="730"/>
      <c r="N332" s="730"/>
      <c r="O332" s="730"/>
      <c r="P332" s="730"/>
      <c r="Q332" s="730"/>
      <c r="R332" s="730"/>
    </row>
    <row r="333" spans="1:18" ht="13.8">
      <c r="A333" s="730"/>
      <c r="B333" s="730"/>
      <c r="C333" s="730"/>
      <c r="D333" s="730"/>
      <c r="E333" s="730"/>
      <c r="F333" s="730"/>
      <c r="G333" s="730"/>
      <c r="H333" s="730"/>
      <c r="I333" s="730"/>
      <c r="J333" s="730"/>
      <c r="K333" s="730"/>
      <c r="L333" s="730"/>
      <c r="M333" s="730"/>
      <c r="N333" s="730"/>
      <c r="O333" s="730"/>
      <c r="P333" s="730"/>
      <c r="Q333" s="730"/>
      <c r="R333" s="730"/>
    </row>
    <row r="334" spans="1:18" ht="13.8">
      <c r="A334" s="730"/>
      <c r="B334" s="730"/>
      <c r="C334" s="730"/>
      <c r="D334" s="730"/>
      <c r="E334" s="730"/>
      <c r="F334" s="730"/>
      <c r="G334" s="730"/>
      <c r="H334" s="730"/>
      <c r="I334" s="730"/>
      <c r="J334" s="730"/>
      <c r="K334" s="730"/>
      <c r="L334" s="730"/>
      <c r="M334" s="730"/>
      <c r="N334" s="730"/>
      <c r="O334" s="730"/>
      <c r="P334" s="730"/>
      <c r="Q334" s="730"/>
      <c r="R334" s="730"/>
    </row>
    <row r="335" spans="1:18" ht="13.8">
      <c r="A335" s="730"/>
      <c r="B335" s="730"/>
      <c r="C335" s="730"/>
      <c r="D335" s="730"/>
      <c r="E335" s="730"/>
      <c r="F335" s="730"/>
      <c r="G335" s="730"/>
      <c r="H335" s="730"/>
      <c r="I335" s="730"/>
      <c r="J335" s="730"/>
      <c r="K335" s="730"/>
      <c r="L335" s="730"/>
      <c r="M335" s="730"/>
      <c r="N335" s="730"/>
      <c r="O335" s="730"/>
      <c r="P335" s="730"/>
      <c r="Q335" s="730"/>
      <c r="R335" s="730"/>
    </row>
    <row r="336" spans="1:18" ht="13.8">
      <c r="A336" s="730"/>
      <c r="B336" s="730"/>
      <c r="C336" s="730"/>
      <c r="D336" s="730"/>
      <c r="E336" s="730"/>
      <c r="F336" s="730"/>
      <c r="G336" s="730"/>
      <c r="H336" s="730"/>
      <c r="I336" s="730"/>
      <c r="J336" s="730"/>
      <c r="K336" s="730"/>
      <c r="L336" s="730"/>
      <c r="M336" s="730"/>
      <c r="N336" s="730"/>
      <c r="O336" s="730"/>
      <c r="P336" s="730"/>
      <c r="Q336" s="730"/>
      <c r="R336" s="730"/>
    </row>
    <row r="337" spans="1:18" ht="13.8">
      <c r="A337" s="730"/>
      <c r="B337" s="730"/>
      <c r="C337" s="730"/>
      <c r="D337" s="730"/>
      <c r="E337" s="730"/>
      <c r="F337" s="730"/>
      <c r="G337" s="730"/>
      <c r="H337" s="730"/>
      <c r="I337" s="730"/>
      <c r="J337" s="730"/>
      <c r="K337" s="730"/>
      <c r="L337" s="730"/>
      <c r="M337" s="730"/>
      <c r="N337" s="730"/>
      <c r="O337" s="730"/>
      <c r="P337" s="730"/>
      <c r="Q337" s="730"/>
      <c r="R337" s="730"/>
    </row>
    <row r="338" spans="1:18" ht="13.8">
      <c r="A338" s="730"/>
      <c r="B338" s="730"/>
      <c r="C338" s="730"/>
      <c r="D338" s="730"/>
      <c r="E338" s="730"/>
      <c r="F338" s="730"/>
      <c r="G338" s="730"/>
      <c r="H338" s="730"/>
      <c r="I338" s="730"/>
      <c r="J338" s="730"/>
      <c r="K338" s="730"/>
      <c r="L338" s="730"/>
      <c r="M338" s="730"/>
      <c r="N338" s="730"/>
      <c r="O338" s="730"/>
      <c r="P338" s="730"/>
      <c r="Q338" s="730"/>
      <c r="R338" s="730"/>
    </row>
    <row r="339" spans="1:18" ht="13.8">
      <c r="A339" s="730"/>
      <c r="B339" s="730"/>
      <c r="C339" s="730"/>
      <c r="D339" s="730"/>
      <c r="E339" s="730"/>
      <c r="F339" s="730"/>
      <c r="G339" s="730"/>
      <c r="H339" s="730"/>
      <c r="I339" s="730"/>
      <c r="J339" s="730"/>
      <c r="K339" s="730"/>
      <c r="L339" s="730"/>
      <c r="M339" s="730"/>
      <c r="N339" s="730"/>
      <c r="O339" s="730"/>
      <c r="P339" s="730"/>
      <c r="Q339" s="730"/>
      <c r="R339" s="730"/>
    </row>
    <row r="340" spans="1:18" ht="13.8">
      <c r="A340" s="730"/>
      <c r="B340" s="730"/>
      <c r="C340" s="730"/>
      <c r="D340" s="730"/>
      <c r="E340" s="730"/>
      <c r="F340" s="730"/>
      <c r="G340" s="730"/>
      <c r="H340" s="730"/>
      <c r="I340" s="730"/>
      <c r="J340" s="730"/>
      <c r="K340" s="730"/>
      <c r="L340" s="730"/>
      <c r="M340" s="730"/>
      <c r="N340" s="730"/>
      <c r="O340" s="730"/>
      <c r="P340" s="730"/>
      <c r="Q340" s="730"/>
      <c r="R340" s="730"/>
    </row>
    <row r="341" spans="1:18" ht="13.8">
      <c r="A341" s="730"/>
      <c r="B341" s="730"/>
      <c r="C341" s="730"/>
      <c r="D341" s="730"/>
      <c r="E341" s="730"/>
      <c r="F341" s="730"/>
      <c r="G341" s="730"/>
      <c r="H341" s="730"/>
      <c r="I341" s="730"/>
      <c r="J341" s="730"/>
      <c r="K341" s="730"/>
      <c r="L341" s="730"/>
      <c r="M341" s="730"/>
      <c r="N341" s="730"/>
      <c r="O341" s="730"/>
      <c r="P341" s="730"/>
      <c r="Q341" s="730"/>
      <c r="R341" s="730"/>
    </row>
    <row r="342" spans="1:18" ht="13.8">
      <c r="A342" s="730"/>
      <c r="B342" s="730"/>
      <c r="C342" s="730"/>
      <c r="D342" s="730"/>
      <c r="E342" s="730"/>
      <c r="F342" s="730"/>
      <c r="G342" s="730"/>
      <c r="H342" s="730"/>
      <c r="I342" s="730"/>
      <c r="J342" s="730"/>
      <c r="K342" s="730"/>
      <c r="L342" s="730"/>
      <c r="M342" s="730"/>
      <c r="N342" s="730"/>
      <c r="O342" s="730"/>
      <c r="P342" s="730"/>
      <c r="Q342" s="730"/>
      <c r="R342" s="730"/>
    </row>
    <row r="343" spans="1:18" ht="13.8">
      <c r="A343" s="730"/>
      <c r="B343" s="730"/>
      <c r="C343" s="730"/>
      <c r="D343" s="730"/>
      <c r="E343" s="730"/>
      <c r="F343" s="730"/>
      <c r="G343" s="730"/>
      <c r="H343" s="730"/>
      <c r="I343" s="730"/>
      <c r="J343" s="730"/>
      <c r="K343" s="730"/>
      <c r="L343" s="730"/>
      <c r="M343" s="730"/>
      <c r="N343" s="730"/>
      <c r="O343" s="730"/>
      <c r="P343" s="730"/>
      <c r="Q343" s="730"/>
      <c r="R343" s="730"/>
    </row>
    <row r="344" spans="1:18" ht="13.8">
      <c r="A344" s="730"/>
      <c r="B344" s="730"/>
      <c r="C344" s="730"/>
      <c r="D344" s="730"/>
      <c r="E344" s="730"/>
      <c r="F344" s="730"/>
      <c r="G344" s="730"/>
      <c r="H344" s="730"/>
      <c r="I344" s="730"/>
      <c r="J344" s="730"/>
      <c r="K344" s="730"/>
      <c r="L344" s="730"/>
      <c r="M344" s="730"/>
      <c r="N344" s="730"/>
      <c r="O344" s="730"/>
      <c r="P344" s="730"/>
      <c r="Q344" s="730"/>
      <c r="R344" s="730"/>
    </row>
    <row r="345" spans="1:18" ht="13.8">
      <c r="A345" s="730"/>
      <c r="B345" s="730"/>
      <c r="C345" s="730"/>
      <c r="D345" s="730"/>
      <c r="E345" s="730"/>
      <c r="F345" s="730"/>
      <c r="G345" s="730"/>
      <c r="H345" s="730"/>
      <c r="I345" s="730"/>
      <c r="J345" s="730"/>
      <c r="K345" s="730"/>
      <c r="L345" s="730"/>
      <c r="M345" s="730"/>
      <c r="N345" s="730"/>
      <c r="O345" s="730"/>
      <c r="P345" s="730"/>
      <c r="Q345" s="730"/>
      <c r="R345" s="730"/>
    </row>
    <row r="346" spans="1:18" ht="13.8">
      <c r="A346" s="730"/>
      <c r="B346" s="730"/>
      <c r="C346" s="730"/>
      <c r="D346" s="730"/>
      <c r="E346" s="730"/>
      <c r="F346" s="730"/>
      <c r="G346" s="730"/>
      <c r="H346" s="730"/>
      <c r="I346" s="730"/>
      <c r="J346" s="730"/>
      <c r="K346" s="730"/>
      <c r="L346" s="730"/>
      <c r="M346" s="730"/>
      <c r="N346" s="730"/>
      <c r="O346" s="730"/>
      <c r="P346" s="730"/>
      <c r="Q346" s="730"/>
      <c r="R346" s="730"/>
    </row>
    <row r="347" spans="1:18" ht="13.8">
      <c r="A347" s="730"/>
      <c r="B347" s="730"/>
      <c r="C347" s="730"/>
      <c r="D347" s="730"/>
      <c r="E347" s="730"/>
      <c r="F347" s="730"/>
      <c r="G347" s="730"/>
      <c r="H347" s="730"/>
      <c r="I347" s="730"/>
      <c r="J347" s="730"/>
      <c r="K347" s="730"/>
      <c r="L347" s="730"/>
      <c r="M347" s="730"/>
      <c r="N347" s="730"/>
      <c r="O347" s="730"/>
      <c r="P347" s="730"/>
      <c r="Q347" s="730"/>
      <c r="R347" s="730"/>
    </row>
    <row r="348" spans="1:18" ht="13.8">
      <c r="A348" s="730"/>
      <c r="B348" s="730"/>
      <c r="C348" s="730"/>
      <c r="D348" s="730"/>
      <c r="E348" s="730"/>
      <c r="F348" s="730"/>
      <c r="G348" s="730"/>
      <c r="H348" s="730"/>
      <c r="I348" s="730"/>
      <c r="J348" s="730"/>
      <c r="K348" s="730"/>
      <c r="L348" s="730"/>
      <c r="M348" s="730"/>
      <c r="N348" s="730"/>
      <c r="O348" s="730"/>
      <c r="P348" s="730"/>
      <c r="Q348" s="730"/>
      <c r="R348" s="730"/>
    </row>
    <row r="349" spans="1:18" ht="13.8">
      <c r="A349" s="730"/>
      <c r="B349" s="730"/>
      <c r="C349" s="730"/>
      <c r="D349" s="730"/>
      <c r="E349" s="730"/>
      <c r="F349" s="730"/>
      <c r="G349" s="730"/>
      <c r="H349" s="730"/>
      <c r="I349" s="730"/>
      <c r="J349" s="730"/>
      <c r="K349" s="730"/>
      <c r="L349" s="730"/>
      <c r="M349" s="730"/>
      <c r="N349" s="730"/>
      <c r="O349" s="730"/>
      <c r="P349" s="730"/>
      <c r="Q349" s="730"/>
      <c r="R349" s="730"/>
    </row>
    <row r="350" spans="1:18" ht="13.8">
      <c r="A350" s="730"/>
      <c r="B350" s="730"/>
      <c r="C350" s="730"/>
      <c r="D350" s="730"/>
      <c r="E350" s="730"/>
      <c r="F350" s="730"/>
      <c r="G350" s="730"/>
      <c r="H350" s="730"/>
      <c r="I350" s="730"/>
      <c r="J350" s="730"/>
      <c r="K350" s="730"/>
      <c r="L350" s="730"/>
      <c r="M350" s="730"/>
      <c r="N350" s="730"/>
      <c r="O350" s="730"/>
      <c r="P350" s="730"/>
      <c r="Q350" s="730"/>
      <c r="R350" s="730"/>
    </row>
    <row r="351" spans="1:18" ht="13.8">
      <c r="A351" s="730"/>
      <c r="B351" s="730"/>
      <c r="C351" s="730"/>
      <c r="D351" s="730"/>
      <c r="E351" s="730"/>
      <c r="F351" s="730"/>
      <c r="G351" s="730"/>
      <c r="H351" s="730"/>
      <c r="I351" s="730"/>
      <c r="J351" s="730"/>
      <c r="K351" s="730"/>
      <c r="L351" s="730"/>
      <c r="M351" s="730"/>
      <c r="N351" s="730"/>
      <c r="O351" s="730"/>
      <c r="P351" s="730"/>
      <c r="Q351" s="730"/>
      <c r="R351" s="730"/>
    </row>
    <row r="352" spans="1:18" ht="13.8">
      <c r="A352" s="730"/>
      <c r="B352" s="730"/>
      <c r="C352" s="730"/>
      <c r="D352" s="730"/>
      <c r="E352" s="730"/>
      <c r="F352" s="730"/>
      <c r="G352" s="730"/>
      <c r="H352" s="730"/>
      <c r="I352" s="730"/>
      <c r="J352" s="730"/>
      <c r="K352" s="730"/>
      <c r="L352" s="730"/>
      <c r="M352" s="730"/>
      <c r="N352" s="730"/>
      <c r="O352" s="730"/>
      <c r="P352" s="730"/>
      <c r="Q352" s="730"/>
      <c r="R352" s="730"/>
    </row>
    <row r="353" spans="1:18" ht="13.8">
      <c r="A353" s="730"/>
      <c r="B353" s="730"/>
      <c r="C353" s="730"/>
      <c r="D353" s="730"/>
      <c r="E353" s="730"/>
      <c r="F353" s="730"/>
      <c r="G353" s="730"/>
      <c r="H353" s="730"/>
      <c r="I353" s="730"/>
      <c r="J353" s="730"/>
      <c r="K353" s="730"/>
      <c r="L353" s="730"/>
      <c r="M353" s="730"/>
      <c r="N353" s="730"/>
      <c r="O353" s="730"/>
      <c r="P353" s="730"/>
      <c r="Q353" s="730"/>
      <c r="R353" s="730"/>
    </row>
    <row r="354" spans="1:18" ht="13.8">
      <c r="A354" s="730"/>
      <c r="B354" s="730"/>
      <c r="C354" s="730"/>
      <c r="D354" s="730"/>
      <c r="E354" s="730"/>
      <c r="F354" s="730"/>
      <c r="G354" s="730"/>
      <c r="H354" s="730"/>
      <c r="I354" s="730"/>
      <c r="J354" s="730"/>
      <c r="K354" s="730"/>
      <c r="L354" s="730"/>
      <c r="M354" s="730"/>
      <c r="N354" s="730"/>
      <c r="O354" s="730"/>
      <c r="P354" s="730"/>
      <c r="Q354" s="730"/>
      <c r="R354" s="730"/>
    </row>
    <row r="355" spans="1:18" ht="13.8">
      <c r="A355" s="730"/>
      <c r="B355" s="730"/>
      <c r="C355" s="730"/>
      <c r="D355" s="730"/>
      <c r="E355" s="730"/>
      <c r="F355" s="730"/>
      <c r="G355" s="730"/>
      <c r="H355" s="730"/>
      <c r="I355" s="730"/>
      <c r="J355" s="730"/>
      <c r="K355" s="730"/>
      <c r="L355" s="730"/>
      <c r="M355" s="730"/>
      <c r="N355" s="730"/>
      <c r="O355" s="730"/>
      <c r="P355" s="730"/>
      <c r="Q355" s="730"/>
      <c r="R355" s="730"/>
    </row>
    <row r="356" spans="1:18" ht="13.8">
      <c r="A356" s="730"/>
      <c r="B356" s="730"/>
      <c r="C356" s="730"/>
      <c r="D356" s="730"/>
      <c r="E356" s="730"/>
      <c r="F356" s="730"/>
      <c r="G356" s="730"/>
      <c r="H356" s="730"/>
      <c r="I356" s="730"/>
      <c r="J356" s="730"/>
      <c r="K356" s="730"/>
      <c r="L356" s="730"/>
      <c r="M356" s="730"/>
      <c r="N356" s="730"/>
      <c r="O356" s="730"/>
      <c r="P356" s="730"/>
      <c r="Q356" s="730"/>
      <c r="R356" s="730"/>
    </row>
    <row r="357" spans="1:18" ht="13.8">
      <c r="A357" s="730"/>
      <c r="B357" s="730"/>
      <c r="C357" s="730"/>
      <c r="D357" s="730"/>
      <c r="E357" s="730"/>
      <c r="F357" s="730"/>
      <c r="G357" s="730"/>
      <c r="H357" s="730"/>
      <c r="I357" s="730"/>
      <c r="J357" s="730"/>
      <c r="K357" s="730"/>
      <c r="L357" s="730"/>
      <c r="M357" s="730"/>
      <c r="N357" s="730"/>
      <c r="O357" s="730"/>
      <c r="P357" s="730"/>
      <c r="Q357" s="730"/>
      <c r="R357" s="730"/>
    </row>
    <row r="358" spans="1:18" ht="13.8">
      <c r="A358" s="730"/>
      <c r="B358" s="730"/>
      <c r="C358" s="730"/>
      <c r="D358" s="730"/>
      <c r="E358" s="730"/>
      <c r="F358" s="730"/>
      <c r="G358" s="730"/>
      <c r="H358" s="730"/>
      <c r="I358" s="730"/>
      <c r="J358" s="730"/>
      <c r="K358" s="730"/>
      <c r="L358" s="730"/>
      <c r="M358" s="730"/>
      <c r="N358" s="730"/>
      <c r="O358" s="730"/>
      <c r="P358" s="730"/>
      <c r="Q358" s="730"/>
      <c r="R358" s="730"/>
    </row>
    <row r="359" spans="1:18" ht="13.8">
      <c r="A359" s="730"/>
      <c r="B359" s="730"/>
      <c r="C359" s="730"/>
      <c r="D359" s="730"/>
      <c r="E359" s="730"/>
      <c r="F359" s="730"/>
      <c r="G359" s="730"/>
      <c r="H359" s="730"/>
      <c r="I359" s="730"/>
      <c r="J359" s="730"/>
      <c r="K359" s="730"/>
      <c r="L359" s="730"/>
      <c r="M359" s="730"/>
      <c r="N359" s="730"/>
      <c r="O359" s="730"/>
      <c r="P359" s="730"/>
      <c r="Q359" s="730"/>
      <c r="R359" s="730"/>
    </row>
  </sheetData>
  <mergeCells count="24">
    <mergeCell ref="E181:G181"/>
    <mergeCell ref="H181:J181"/>
    <mergeCell ref="K181:M181"/>
    <mergeCell ref="N181:P181"/>
    <mergeCell ref="E174:G174"/>
    <mergeCell ref="H174:J174"/>
    <mergeCell ref="K174:M174"/>
    <mergeCell ref="N174:P174"/>
    <mergeCell ref="D21:Q21"/>
    <mergeCell ref="A183:A187"/>
    <mergeCell ref="D156:Q156"/>
    <mergeCell ref="E157:G157"/>
    <mergeCell ref="H157:J157"/>
    <mergeCell ref="K157:M157"/>
    <mergeCell ref="N157:P157"/>
    <mergeCell ref="A159:A169"/>
    <mergeCell ref="A151:Q154"/>
    <mergeCell ref="D172:Q172"/>
    <mergeCell ref="C183:C187"/>
    <mergeCell ref="D155:Q155"/>
    <mergeCell ref="D179:Q179"/>
    <mergeCell ref="D173:Q173"/>
    <mergeCell ref="C159:C169"/>
    <mergeCell ref="D180:Q180"/>
  </mergeCells>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S158"/>
  <sheetViews>
    <sheetView workbookViewId="0">
      <selection activeCell="D13" sqref="D13"/>
    </sheetView>
  </sheetViews>
  <sheetFormatPr defaultRowHeight="13.2"/>
  <cols>
    <col min="1" max="1" width="14.88671875" style="570" customWidth="1"/>
    <col min="2" max="2" width="13.109375" style="570" bestFit="1" customWidth="1"/>
    <col min="3" max="3" width="12.88671875" style="570" bestFit="1" customWidth="1"/>
    <col min="4" max="19" width="10.6640625" style="570" customWidth="1"/>
  </cols>
  <sheetData>
    <row r="1" spans="1:17" s="570" customFormat="1"/>
    <row r="2" spans="1:17" s="570" customFormat="1" ht="17.399999999999999">
      <c r="A2" s="731" t="s">
        <v>867</v>
      </c>
    </row>
    <row r="3" spans="1:17" s="570" customFormat="1">
      <c r="O3" s="548" t="s">
        <v>1089</v>
      </c>
    </row>
    <row r="4" spans="1:17" s="570" customFormat="1">
      <c r="A4" s="548" t="s">
        <v>972</v>
      </c>
    </row>
    <row r="5" spans="1:17" s="570" customFormat="1"/>
    <row r="6" spans="1:17">
      <c r="A6" s="548" t="s">
        <v>973</v>
      </c>
      <c r="B6" s="571"/>
    </row>
    <row r="7" spans="1:17" s="570" customFormat="1" ht="13.8" thickBot="1">
      <c r="A7" s="548"/>
      <c r="B7" s="571"/>
    </row>
    <row r="8" spans="1:17" s="570" customFormat="1" ht="18.600000000000001" thickBot="1">
      <c r="A8" s="869"/>
      <c r="B8" s="869"/>
      <c r="C8" s="688"/>
      <c r="D8" s="1492" t="s">
        <v>971</v>
      </c>
      <c r="E8" s="1493"/>
      <c r="F8" s="1493"/>
      <c r="G8" s="1493"/>
      <c r="H8" s="1493"/>
      <c r="I8" s="1493"/>
      <c r="J8" s="1493"/>
      <c r="K8" s="1493"/>
      <c r="L8" s="1493"/>
      <c r="M8" s="1493"/>
      <c r="N8" s="1493"/>
      <c r="O8" s="1493"/>
      <c r="P8" s="1493"/>
      <c r="Q8" s="1493"/>
    </row>
    <row r="9" spans="1:17" s="570" customFormat="1" ht="15" thickBot="1">
      <c r="A9" s="690"/>
      <c r="B9" s="1191" t="s">
        <v>807</v>
      </c>
      <c r="C9" s="1192">
        <v>0.55000000000000004</v>
      </c>
      <c r="D9" s="931">
        <v>2010</v>
      </c>
      <c r="E9" s="931">
        <v>2015</v>
      </c>
      <c r="F9" s="744">
        <v>2020</v>
      </c>
      <c r="G9" s="744">
        <v>2020</v>
      </c>
      <c r="H9" s="744">
        <v>2020</v>
      </c>
      <c r="I9" s="744">
        <v>2025</v>
      </c>
      <c r="J9" s="744">
        <v>2025</v>
      </c>
      <c r="K9" s="744">
        <v>2025</v>
      </c>
      <c r="L9" s="744">
        <v>2030</v>
      </c>
      <c r="M9" s="744">
        <v>2030</v>
      </c>
      <c r="N9" s="744">
        <v>2030</v>
      </c>
      <c r="O9" s="744">
        <v>2045</v>
      </c>
      <c r="P9" s="744">
        <v>2045</v>
      </c>
      <c r="Q9" s="744">
        <v>2045</v>
      </c>
    </row>
    <row r="10" spans="1:17" s="570" customFormat="1" ht="15" thickBot="1">
      <c r="A10" s="688"/>
      <c r="B10" s="1193" t="s">
        <v>808</v>
      </c>
      <c r="C10" s="1192">
        <v>0.7</v>
      </c>
      <c r="D10" s="1320" t="s">
        <v>735</v>
      </c>
      <c r="E10" s="697" t="s">
        <v>735</v>
      </c>
      <c r="F10" s="696" t="s">
        <v>734</v>
      </c>
      <c r="G10" s="697" t="s">
        <v>735</v>
      </c>
      <c r="H10" s="698" t="s">
        <v>736</v>
      </c>
      <c r="I10" s="696" t="s">
        <v>734</v>
      </c>
      <c r="J10" s="697" t="s">
        <v>735</v>
      </c>
      <c r="K10" s="698" t="s">
        <v>736</v>
      </c>
      <c r="L10" s="696" t="s">
        <v>734</v>
      </c>
      <c r="M10" s="697" t="s">
        <v>735</v>
      </c>
      <c r="N10" s="698" t="s">
        <v>736</v>
      </c>
      <c r="O10" s="696" t="s">
        <v>734</v>
      </c>
      <c r="P10" s="697" t="s">
        <v>735</v>
      </c>
      <c r="Q10" s="698" t="s">
        <v>736</v>
      </c>
    </row>
    <row r="11" spans="1:17" s="570" customFormat="1" ht="15" thickBot="1">
      <c r="A11" s="865" t="s">
        <v>737</v>
      </c>
      <c r="B11" s="1515" t="s">
        <v>826</v>
      </c>
      <c r="C11" s="853" t="s">
        <v>809</v>
      </c>
      <c r="D11" s="806">
        <v>21.629500080679531</v>
      </c>
      <c r="E11" s="800">
        <v>22.432305258244632</v>
      </c>
      <c r="F11" s="806">
        <v>23.656938307161095</v>
      </c>
      <c r="G11" s="800">
        <v>26.365326088559847</v>
      </c>
      <c r="H11" s="800">
        <v>28.966832853641758</v>
      </c>
      <c r="I11" s="806">
        <v>24.577475097851309</v>
      </c>
      <c r="J11" s="800">
        <v>27.514280898845904</v>
      </c>
      <c r="K11" s="800">
        <v>30.397480368650079</v>
      </c>
      <c r="L11" s="806">
        <v>26.79640808143176</v>
      </c>
      <c r="M11" s="800">
        <v>29.687458395475506</v>
      </c>
      <c r="N11" s="800">
        <v>34.662379221652174</v>
      </c>
      <c r="O11" s="806">
        <v>28.779134238740202</v>
      </c>
      <c r="P11" s="800">
        <v>32.322938975920614</v>
      </c>
      <c r="Q11" s="801">
        <v>37.178361574172619</v>
      </c>
    </row>
    <row r="12" spans="1:17" s="570" customFormat="1" ht="15" thickBot="1">
      <c r="A12" s="865" t="s">
        <v>737</v>
      </c>
      <c r="B12" s="1516"/>
      <c r="C12" s="1194" t="s">
        <v>814</v>
      </c>
      <c r="D12" s="958">
        <v>28.832610599697755</v>
      </c>
      <c r="E12" s="804">
        <v>29.817411191828196</v>
      </c>
      <c r="F12" s="958">
        <v>31.017288580246209</v>
      </c>
      <c r="G12" s="804">
        <v>35.715342870680914</v>
      </c>
      <c r="H12" s="804">
        <v>39.786839131336215</v>
      </c>
      <c r="I12" s="958">
        <v>32.802607099590361</v>
      </c>
      <c r="J12" s="804">
        <v>38.057328749339348</v>
      </c>
      <c r="K12" s="804">
        <v>42.685999999999993</v>
      </c>
      <c r="L12" s="958">
        <v>37.17593240846152</v>
      </c>
      <c r="M12" s="804">
        <v>42.427</v>
      </c>
      <c r="N12" s="804">
        <v>51.757999999999996</v>
      </c>
      <c r="O12" s="958">
        <v>40.62186537176256</v>
      </c>
      <c r="P12" s="804">
        <v>47.088999999999992</v>
      </c>
      <c r="Q12" s="855">
        <v>56.370999999999995</v>
      </c>
    </row>
    <row r="13" spans="1:17" s="570" customFormat="1" ht="15" thickBot="1">
      <c r="A13" s="865" t="s">
        <v>737</v>
      </c>
      <c r="B13" s="1517"/>
      <c r="C13" s="856" t="s">
        <v>815</v>
      </c>
      <c r="D13" s="811">
        <v>24.369106899803356</v>
      </c>
      <c r="E13" s="810">
        <v>25.246108699483596</v>
      </c>
      <c r="F13" s="811">
        <v>26.485133151966629</v>
      </c>
      <c r="G13" s="810">
        <v>29.886110918910482</v>
      </c>
      <c r="H13" s="810">
        <v>33.006017577377165</v>
      </c>
      <c r="I13" s="811">
        <v>27.703412661484542</v>
      </c>
      <c r="J13" s="810">
        <v>31.432815365509438</v>
      </c>
      <c r="K13" s="810">
        <v>34.92144052814789</v>
      </c>
      <c r="L13" s="811">
        <v>30.64688408067784</v>
      </c>
      <c r="M13" s="810">
        <v>34.325576844572282</v>
      </c>
      <c r="N13" s="810">
        <v>40.71386857407829</v>
      </c>
      <c r="O13" s="811">
        <v>33.124816876076721</v>
      </c>
      <c r="P13" s="810">
        <v>37.633384849813808</v>
      </c>
      <c r="Q13" s="857">
        <v>43.905134511968392</v>
      </c>
    </row>
    <row r="14" spans="1:17" s="570" customFormat="1" ht="15" thickBot="1">
      <c r="A14" s="939" t="s">
        <v>741</v>
      </c>
      <c r="B14" s="1518" t="s">
        <v>826</v>
      </c>
      <c r="C14" s="858" t="s">
        <v>809</v>
      </c>
      <c r="D14" s="829">
        <v>23.983551659654605</v>
      </c>
      <c r="E14" s="818">
        <v>24.680231328340895</v>
      </c>
      <c r="F14" s="829">
        <v>26.651896073903082</v>
      </c>
      <c r="G14" s="818">
        <v>29.238684852457549</v>
      </c>
      <c r="H14" s="818">
        <v>32.373985222934891</v>
      </c>
      <c r="I14" s="829">
        <v>27.719252664332942</v>
      </c>
      <c r="J14" s="818">
        <v>30.689940393080452</v>
      </c>
      <c r="K14" s="818">
        <v>34.893100733039162</v>
      </c>
      <c r="L14" s="829">
        <v>28.689401270446837</v>
      </c>
      <c r="M14" s="818">
        <v>31.7752196862841</v>
      </c>
      <c r="N14" s="818">
        <v>36.982301407851118</v>
      </c>
      <c r="O14" s="829">
        <v>30.386272429521267</v>
      </c>
      <c r="P14" s="818">
        <v>33.747341758349876</v>
      </c>
      <c r="Q14" s="819">
        <v>40.495521467810534</v>
      </c>
    </row>
    <row r="15" spans="1:17" s="570" customFormat="1" ht="15" thickBot="1">
      <c r="A15" s="939" t="s">
        <v>741</v>
      </c>
      <c r="B15" s="1519"/>
      <c r="C15" s="1195" t="s">
        <v>814</v>
      </c>
      <c r="D15" s="959">
        <v>29.184722622347184</v>
      </c>
      <c r="E15" s="825">
        <v>29.854560292672684</v>
      </c>
      <c r="F15" s="959">
        <v>31.79109121453385</v>
      </c>
      <c r="G15" s="825">
        <v>35.4938898339757</v>
      </c>
      <c r="H15" s="825">
        <v>39.545894792743866</v>
      </c>
      <c r="I15" s="959">
        <v>33.43263897136567</v>
      </c>
      <c r="J15" s="825">
        <v>37.978779056269317</v>
      </c>
      <c r="K15" s="825">
        <v>43.621794999999999</v>
      </c>
      <c r="L15" s="959">
        <v>35.470391265557787</v>
      </c>
      <c r="M15" s="825">
        <v>40.327535084609906</v>
      </c>
      <c r="N15" s="825">
        <v>48.23959</v>
      </c>
      <c r="O15" s="959">
        <v>37.99587110049054</v>
      </c>
      <c r="P15" s="825">
        <v>43.213450000000002</v>
      </c>
      <c r="Q15" s="861">
        <v>53.839449999999999</v>
      </c>
    </row>
    <row r="16" spans="1:17" s="570" customFormat="1" ht="15" thickBot="1">
      <c r="A16" s="939" t="s">
        <v>741</v>
      </c>
      <c r="B16" s="1520"/>
      <c r="C16" s="862" t="s">
        <v>815</v>
      </c>
      <c r="D16" s="840">
        <v>26.074661010202725</v>
      </c>
      <c r="E16" s="841">
        <v>26.767944826482193</v>
      </c>
      <c r="F16" s="840">
        <v>28.742785369119833</v>
      </c>
      <c r="G16" s="841">
        <v>31.757188030419517</v>
      </c>
      <c r="H16" s="841">
        <v>35.250821557215943</v>
      </c>
      <c r="I16" s="840">
        <v>30.028492121455269</v>
      </c>
      <c r="J16" s="841">
        <v>33.590971726705575</v>
      </c>
      <c r="K16" s="841">
        <v>38.345951269150454</v>
      </c>
      <c r="L16" s="840">
        <v>31.389801985770131</v>
      </c>
      <c r="M16" s="841">
        <v>35.127512463468591</v>
      </c>
      <c r="N16" s="841">
        <v>41.321603343632695</v>
      </c>
      <c r="O16" s="840">
        <v>33.39603904746798</v>
      </c>
      <c r="P16" s="841">
        <v>37.437753470545459</v>
      </c>
      <c r="Q16" s="864">
        <v>45.578992162506935</v>
      </c>
    </row>
    <row r="17" spans="1:19" s="570" customFormat="1" ht="15" thickBot="1">
      <c r="A17" s="940" t="s">
        <v>743</v>
      </c>
      <c r="B17" s="1510" t="s">
        <v>826</v>
      </c>
      <c r="C17" s="941" t="s">
        <v>809</v>
      </c>
      <c r="D17" s="942">
        <v>21.629500080679531</v>
      </c>
      <c r="E17" s="943">
        <v>22.432305258244632</v>
      </c>
      <c r="F17" s="942">
        <v>23.656938307161095</v>
      </c>
      <c r="G17" s="943">
        <v>26.365326088559847</v>
      </c>
      <c r="H17" s="943">
        <v>28.966832853641758</v>
      </c>
      <c r="I17" s="942">
        <v>24.577475097851309</v>
      </c>
      <c r="J17" s="943">
        <v>27.514280898845904</v>
      </c>
      <c r="K17" s="943">
        <v>30.397480368650079</v>
      </c>
      <c r="L17" s="942">
        <v>26.79640808143176</v>
      </c>
      <c r="M17" s="943">
        <v>29.687458395475506</v>
      </c>
      <c r="N17" s="943">
        <v>34.662379221652174</v>
      </c>
      <c r="O17" s="942">
        <v>28.779134238740202</v>
      </c>
      <c r="P17" s="943">
        <v>32.322938975920614</v>
      </c>
      <c r="Q17" s="945">
        <v>37.178361574172619</v>
      </c>
      <c r="R17" s="571"/>
      <c r="S17" s="571"/>
    </row>
    <row r="18" spans="1:19" s="570" customFormat="1" ht="15" thickBot="1">
      <c r="A18" s="940" t="s">
        <v>743</v>
      </c>
      <c r="B18" s="1511"/>
      <c r="C18" s="1196" t="s">
        <v>814</v>
      </c>
      <c r="D18" s="1197">
        <v>28.832610599697755</v>
      </c>
      <c r="E18" s="948">
        <v>29.817411191828196</v>
      </c>
      <c r="F18" s="1197">
        <v>31.017288580246209</v>
      </c>
      <c r="G18" s="948">
        <v>35.715342870680914</v>
      </c>
      <c r="H18" s="948">
        <v>39.786839131336215</v>
      </c>
      <c r="I18" s="1197">
        <v>32.802607099590361</v>
      </c>
      <c r="J18" s="948">
        <v>38.057328749339348</v>
      </c>
      <c r="K18" s="948">
        <v>42.685999999999993</v>
      </c>
      <c r="L18" s="1197">
        <v>37.17593240846152</v>
      </c>
      <c r="M18" s="948">
        <v>42.427</v>
      </c>
      <c r="N18" s="948">
        <v>51.757999999999996</v>
      </c>
      <c r="O18" s="1197">
        <v>40.62186537176256</v>
      </c>
      <c r="P18" s="948">
        <v>47.088999999999992</v>
      </c>
      <c r="Q18" s="950">
        <v>56.370999999999995</v>
      </c>
      <c r="R18" s="571"/>
      <c r="S18" s="571"/>
    </row>
    <row r="19" spans="1:19" s="570" customFormat="1" ht="15" thickBot="1">
      <c r="A19" s="940" t="s">
        <v>743</v>
      </c>
      <c r="B19" s="1512"/>
      <c r="C19" s="951" t="s">
        <v>815</v>
      </c>
      <c r="D19" s="952">
        <v>24.369106899803356</v>
      </c>
      <c r="E19" s="953">
        <v>25.246108699483596</v>
      </c>
      <c r="F19" s="952">
        <v>26.485133151966629</v>
      </c>
      <c r="G19" s="953">
        <v>29.886110918910482</v>
      </c>
      <c r="H19" s="953">
        <v>33.006017577377165</v>
      </c>
      <c r="I19" s="952">
        <v>27.703412661484542</v>
      </c>
      <c r="J19" s="953">
        <v>31.432815365509438</v>
      </c>
      <c r="K19" s="953">
        <v>34.92144052814789</v>
      </c>
      <c r="L19" s="952">
        <v>30.64688408067784</v>
      </c>
      <c r="M19" s="953">
        <v>34.325576844572282</v>
      </c>
      <c r="N19" s="953">
        <v>40.71386857407829</v>
      </c>
      <c r="O19" s="952">
        <v>33.124816876076721</v>
      </c>
      <c r="P19" s="953">
        <v>37.633384849813808</v>
      </c>
      <c r="Q19" s="955">
        <v>43.905134511968392</v>
      </c>
      <c r="R19" s="571"/>
      <c r="S19" s="571"/>
    </row>
    <row r="20" spans="1:19" s="570" customFormat="1" ht="15" thickBot="1">
      <c r="A20" s="865" t="s">
        <v>744</v>
      </c>
      <c r="B20" s="1515" t="s">
        <v>826</v>
      </c>
      <c r="C20" s="853" t="s">
        <v>809</v>
      </c>
      <c r="D20" s="806">
        <f>D11*$H$31</f>
        <v>21.059736362714361</v>
      </c>
      <c r="E20" s="806">
        <f t="shared" ref="E20:Q20" si="0">E11*$H$31</f>
        <v>21.841394067565574</v>
      </c>
      <c r="F20" s="806">
        <f t="shared" si="0"/>
        <v>23.033767865159028</v>
      </c>
      <c r="G20" s="806">
        <f t="shared" si="0"/>
        <v>25.670811367389739</v>
      </c>
      <c r="H20" s="806">
        <f t="shared" si="0"/>
        <v>28.203789310203188</v>
      </c>
      <c r="I20" s="806">
        <f t="shared" si="0"/>
        <v>23.930055900102186</v>
      </c>
      <c r="J20" s="806">
        <f t="shared" si="0"/>
        <v>26.789500440509393</v>
      </c>
      <c r="K20" s="806">
        <f t="shared" si="0"/>
        <v>29.596750746281884</v>
      </c>
      <c r="L20" s="806">
        <f t="shared" si="0"/>
        <v>26.09053780982866</v>
      </c>
      <c r="M20" s="806">
        <f t="shared" si="0"/>
        <v>28.905432153109803</v>
      </c>
      <c r="N20" s="806">
        <f t="shared" si="0"/>
        <v>33.749303746713743</v>
      </c>
      <c r="O20" s="806">
        <f t="shared" si="0"/>
        <v>28.02103504724154</v>
      </c>
      <c r="P20" s="806">
        <f t="shared" si="0"/>
        <v>31.471488973942424</v>
      </c>
      <c r="Q20" s="806">
        <f t="shared" si="0"/>
        <v>36.19901015877511</v>
      </c>
    </row>
    <row r="21" spans="1:19" s="570" customFormat="1" ht="15" thickBot="1">
      <c r="A21" s="865" t="s">
        <v>744</v>
      </c>
      <c r="B21" s="1516"/>
      <c r="C21" s="1194" t="s">
        <v>814</v>
      </c>
      <c r="D21" s="806">
        <f t="shared" ref="D21:Q22" si="1">D12*$H$31</f>
        <v>28.073102735315821</v>
      </c>
      <c r="E21" s="806">
        <f t="shared" si="1"/>
        <v>29.031961736344591</v>
      </c>
      <c r="F21" s="806">
        <f t="shared" si="1"/>
        <v>30.200231986392446</v>
      </c>
      <c r="G21" s="806">
        <f t="shared" si="1"/>
        <v>34.774530255202251</v>
      </c>
      <c r="H21" s="806">
        <f t="shared" si="1"/>
        <v>38.738775269249949</v>
      </c>
      <c r="I21" s="806">
        <f t="shared" si="1"/>
        <v>31.938521692609186</v>
      </c>
      <c r="J21" s="806">
        <f t="shared" si="1"/>
        <v>37.054823603905348</v>
      </c>
      <c r="K21" s="806">
        <f t="shared" si="1"/>
        <v>41.561566519136242</v>
      </c>
      <c r="L21" s="806">
        <f t="shared" si="1"/>
        <v>36.196644982082802</v>
      </c>
      <c r="M21" s="806">
        <f t="shared" si="1"/>
        <v>41.309389090273008</v>
      </c>
      <c r="N21" s="806">
        <f t="shared" si="1"/>
        <v>50.394592135535156</v>
      </c>
      <c r="O21" s="806">
        <f t="shared" si="1"/>
        <v>39.551805270578342</v>
      </c>
      <c r="P21" s="806">
        <f t="shared" si="1"/>
        <v>45.848582809811333</v>
      </c>
      <c r="Q21" s="806">
        <f t="shared" si="1"/>
        <v>54.886076611775039</v>
      </c>
    </row>
    <row r="22" spans="1:19" s="570" customFormat="1" ht="15" thickBot="1">
      <c r="A22" s="865" t="s">
        <v>744</v>
      </c>
      <c r="B22" s="1517"/>
      <c r="C22" s="856" t="s">
        <v>815</v>
      </c>
      <c r="D22" s="806">
        <f t="shared" si="1"/>
        <v>23.727176531605661</v>
      </c>
      <c r="E22" s="806">
        <f t="shared" si="1"/>
        <v>24.581076373118396</v>
      </c>
      <c r="F22" s="806">
        <f t="shared" si="1"/>
        <v>25.787462476307027</v>
      </c>
      <c r="G22" s="806">
        <f t="shared" si="1"/>
        <v>29.09885177703655</v>
      </c>
      <c r="H22" s="806">
        <f t="shared" si="1"/>
        <v>32.136573936980305</v>
      </c>
      <c r="I22" s="806">
        <f t="shared" si="1"/>
        <v>26.973650099268404</v>
      </c>
      <c r="J22" s="806">
        <f t="shared" si="1"/>
        <v>30.604812976089313</v>
      </c>
      <c r="K22" s="806">
        <f t="shared" si="1"/>
        <v>34.001540867138615</v>
      </c>
      <c r="L22" s="806">
        <f t="shared" si="1"/>
        <v>29.839584672336358</v>
      </c>
      <c r="M22" s="806">
        <f t="shared" si="1"/>
        <v>33.421373408925966</v>
      </c>
      <c r="N22" s="806">
        <f t="shared" si="1"/>
        <v>39.641384926976663</v>
      </c>
      <c r="O22" s="806">
        <f t="shared" si="1"/>
        <v>32.252243827701577</v>
      </c>
      <c r="P22" s="806">
        <f t="shared" si="1"/>
        <v>36.642047223347021</v>
      </c>
      <c r="Q22" s="806">
        <f t="shared" si="1"/>
        <v>42.748586622096212</v>
      </c>
    </row>
    <row r="23" spans="1:19" s="570" customFormat="1" ht="15" thickBot="1">
      <c r="A23" s="940" t="s">
        <v>745</v>
      </c>
      <c r="B23" s="1510" t="s">
        <v>826</v>
      </c>
      <c r="C23" s="941" t="s">
        <v>809</v>
      </c>
      <c r="D23" s="942">
        <v>24.520116916531542</v>
      </c>
      <c r="E23" s="943">
        <v>25.499168356624114</v>
      </c>
      <c r="F23" s="942">
        <v>26.817574650553432</v>
      </c>
      <c r="G23" s="943">
        <v>30.0394779568194</v>
      </c>
      <c r="H23" s="943">
        <v>33.188083654247798</v>
      </c>
      <c r="I23" s="942">
        <v>27.941841025153426</v>
      </c>
      <c r="J23" s="943">
        <v>31.547801009968911</v>
      </c>
      <c r="K23" s="943">
        <v>34.815593456723114</v>
      </c>
      <c r="L23" s="942">
        <v>30.583001235751542</v>
      </c>
      <c r="M23" s="943">
        <v>33.974123469497748</v>
      </c>
      <c r="N23" s="943">
        <v>39.673946101893179</v>
      </c>
      <c r="O23" s="942">
        <v>32.972309104790156</v>
      </c>
      <c r="P23" s="943">
        <v>36.890180169404175</v>
      </c>
      <c r="Q23" s="945">
        <v>42.55179805862236</v>
      </c>
    </row>
    <row r="24" spans="1:19" s="570" customFormat="1" ht="15" thickBot="1">
      <c r="A24" s="940" t="s">
        <v>745</v>
      </c>
      <c r="B24" s="1511"/>
      <c r="C24" s="1196" t="s">
        <v>814</v>
      </c>
      <c r="D24" s="1197">
        <v>30.199639044917589</v>
      </c>
      <c r="E24" s="948">
        <v>31.20099524778281</v>
      </c>
      <c r="F24" s="1197">
        <v>32.423231436884102</v>
      </c>
      <c r="G24" s="948">
        <v>37.316305431867654</v>
      </c>
      <c r="H24" s="948">
        <v>41.494480211824346</v>
      </c>
      <c r="I24" s="1197">
        <v>34.329455453894838</v>
      </c>
      <c r="J24" s="948">
        <v>39.912885898021543</v>
      </c>
      <c r="K24" s="948">
        <v>44.317</v>
      </c>
      <c r="L24" s="1197">
        <v>38.896562302986879</v>
      </c>
      <c r="M24" s="948">
        <v>44.421999999999997</v>
      </c>
      <c r="N24" s="948">
        <v>53.563999999999993</v>
      </c>
      <c r="O24" s="1197">
        <v>42.573999999999998</v>
      </c>
      <c r="P24" s="948">
        <v>48.698999999999991</v>
      </c>
      <c r="Q24" s="950">
        <v>57.896999999999991</v>
      </c>
    </row>
    <row r="25" spans="1:19" s="570" customFormat="1" ht="15" thickBot="1">
      <c r="A25" s="940" t="s">
        <v>745</v>
      </c>
      <c r="B25" s="1512"/>
      <c r="C25" s="951" t="s">
        <v>815</v>
      </c>
      <c r="D25" s="952">
        <v>26.787099869797412</v>
      </c>
      <c r="E25" s="953">
        <v>27.783992317414153</v>
      </c>
      <c r="F25" s="952">
        <v>29.080016186656909</v>
      </c>
      <c r="G25" s="953">
        <v>32.929061872619499</v>
      </c>
      <c r="H25" s="953">
        <v>36.473681852510722</v>
      </c>
      <c r="I25" s="952">
        <v>30.495225039001323</v>
      </c>
      <c r="J25" s="953">
        <v>34.83299110383431</v>
      </c>
      <c r="K25" s="953">
        <v>38.53321623814756</v>
      </c>
      <c r="L25" s="952">
        <v>33.83752108426625</v>
      </c>
      <c r="M25" s="953">
        <v>37.995498577147316</v>
      </c>
      <c r="N25" s="953">
        <v>44.915221625587662</v>
      </c>
      <c r="O25" s="952">
        <v>36.696581020552507</v>
      </c>
      <c r="P25" s="953">
        <v>41.408634257127893</v>
      </c>
      <c r="Q25" s="955">
        <v>48.314204605386664</v>
      </c>
    </row>
    <row r="26" spans="1:19" s="570" customFormat="1" ht="15" thickBot="1">
      <c r="A26" s="940" t="s">
        <v>758</v>
      </c>
      <c r="B26" s="1510" t="s">
        <v>826</v>
      </c>
      <c r="C26" s="941" t="s">
        <v>809</v>
      </c>
      <c r="D26" s="942">
        <v>57.784999999999997</v>
      </c>
      <c r="E26" s="943">
        <v>61.123999999999988</v>
      </c>
      <c r="F26" s="942">
        <v>63.846999999999994</v>
      </c>
      <c r="G26" s="943">
        <v>70.994</v>
      </c>
      <c r="H26" s="943">
        <v>80.345999999999989</v>
      </c>
      <c r="I26" s="942">
        <v>69.565999999999988</v>
      </c>
      <c r="J26" s="943">
        <v>78.882999999999996</v>
      </c>
      <c r="K26" s="943">
        <v>88.472999999999999</v>
      </c>
      <c r="L26" s="942">
        <v>75.844999999999985</v>
      </c>
      <c r="M26" s="943">
        <v>87.85</v>
      </c>
      <c r="N26" s="943">
        <v>104.67799999999998</v>
      </c>
      <c r="O26" s="942">
        <v>84.084000000000003</v>
      </c>
      <c r="P26" s="943">
        <v>99.581999999999994</v>
      </c>
      <c r="Q26" s="945">
        <v>121.02299999999998</v>
      </c>
    </row>
    <row r="27" spans="1:19" s="570" customFormat="1" ht="15" thickBot="1">
      <c r="A27" s="940" t="s">
        <v>758</v>
      </c>
      <c r="B27" s="1511"/>
      <c r="C27" s="1196" t="s">
        <v>814</v>
      </c>
      <c r="D27" s="1197">
        <v>60.451999999999998</v>
      </c>
      <c r="E27" s="948">
        <v>62.782999999999994</v>
      </c>
      <c r="F27" s="1197">
        <v>63.67199999999999</v>
      </c>
      <c r="G27" s="948">
        <v>69.852999999999994</v>
      </c>
      <c r="H27" s="948">
        <v>77.174999999999997</v>
      </c>
      <c r="I27" s="1197">
        <v>69.642999999999986</v>
      </c>
      <c r="J27" s="948">
        <v>77.748999999999995</v>
      </c>
      <c r="K27" s="948">
        <v>85.511999999999986</v>
      </c>
      <c r="L27" s="1197">
        <v>76.048000000000002</v>
      </c>
      <c r="M27" s="948">
        <v>88.486999999999995</v>
      </c>
      <c r="N27" s="948">
        <v>103.15899999999999</v>
      </c>
      <c r="O27" s="1197">
        <v>83.516999999999996</v>
      </c>
      <c r="P27" s="948">
        <v>97.957999999999998</v>
      </c>
      <c r="Q27" s="950">
        <v>118.22299999999998</v>
      </c>
    </row>
    <row r="28" spans="1:19" s="570" customFormat="1" ht="15" thickBot="1">
      <c r="A28" s="940" t="s">
        <v>758</v>
      </c>
      <c r="B28" s="1512"/>
      <c r="C28" s="951" t="s">
        <v>815</v>
      </c>
      <c r="D28" s="952">
        <v>58.955438859714931</v>
      </c>
      <c r="E28" s="953">
        <v>61.859569527269855</v>
      </c>
      <c r="F28" s="952">
        <v>63.768131104339936</v>
      </c>
      <c r="G28" s="953">
        <v>70.475970892378399</v>
      </c>
      <c r="H28" s="953">
        <v>78.887388289985154</v>
      </c>
      <c r="I28" s="952">
        <v>69.600628918800666</v>
      </c>
      <c r="J28" s="953">
        <v>78.368633082585688</v>
      </c>
      <c r="K28" s="953">
        <v>87.115563239792522</v>
      </c>
      <c r="L28" s="952">
        <v>75.936215723047283</v>
      </c>
      <c r="M28" s="953">
        <v>88.135511367018381</v>
      </c>
      <c r="N28" s="953">
        <v>103.98895059876708</v>
      </c>
      <c r="O28" s="952">
        <v>83.827900179236181</v>
      </c>
      <c r="P28" s="953">
        <v>98.844585768597838</v>
      </c>
      <c r="Q28" s="955">
        <v>119.746760032808</v>
      </c>
    </row>
    <row r="29" spans="1:19" s="570" customFormat="1">
      <c r="A29" s="548"/>
      <c r="B29" s="571"/>
    </row>
    <row r="30" spans="1:19" s="570" customFormat="1" ht="13.8">
      <c r="A30" s="868"/>
      <c r="B30" s="868"/>
      <c r="C30" s="687"/>
    </row>
    <row r="31" spans="1:19" s="570" customFormat="1" ht="13.8">
      <c r="A31" s="730"/>
      <c r="B31" s="730"/>
      <c r="C31" s="730"/>
      <c r="D31" s="730"/>
      <c r="E31" s="730"/>
      <c r="F31" s="730"/>
      <c r="G31" s="730"/>
      <c r="H31" s="1198">
        <v>0.97365802649899846</v>
      </c>
      <c r="I31" s="730" t="s">
        <v>974</v>
      </c>
      <c r="J31" s="730"/>
      <c r="K31" s="730"/>
      <c r="L31" s="730"/>
      <c r="M31" s="730"/>
      <c r="N31" s="730"/>
      <c r="O31" s="730"/>
      <c r="P31" s="730"/>
      <c r="Q31" s="730"/>
    </row>
    <row r="32" spans="1:19" s="570" customFormat="1" ht="13.8">
      <c r="A32" s="730" t="s">
        <v>827</v>
      </c>
      <c r="B32" s="730"/>
      <c r="C32" s="730"/>
      <c r="D32" s="730"/>
      <c r="E32" s="730"/>
      <c r="F32" s="730"/>
      <c r="G32" s="730"/>
    </row>
    <row r="33" spans="1:19" s="570" customFormat="1"/>
    <row r="34" spans="1:19" s="570" customFormat="1"/>
    <row r="35" spans="1:19" s="570" customFormat="1" ht="14.4">
      <c r="A35" s="1513" t="s">
        <v>828</v>
      </c>
      <c r="B35" s="1513"/>
      <c r="C35" s="1513"/>
      <c r="D35" s="1513"/>
      <c r="E35" s="1513"/>
      <c r="F35" s="1513"/>
    </row>
    <row r="36" spans="1:19" s="570" customFormat="1" ht="14.4">
      <c r="A36" s="1168" t="s">
        <v>829</v>
      </c>
      <c r="B36" s="1514" t="s">
        <v>830</v>
      </c>
      <c r="C36" s="1514"/>
      <c r="D36" s="1514"/>
      <c r="E36" s="1514"/>
      <c r="F36" s="1514"/>
    </row>
    <row r="37" spans="1:19" s="570" customFormat="1" ht="14.4">
      <c r="A37" s="867" t="s">
        <v>809</v>
      </c>
      <c r="B37" s="1509" t="s">
        <v>831</v>
      </c>
      <c r="C37" s="1509"/>
      <c r="D37" s="1509"/>
      <c r="E37" s="1509"/>
      <c r="F37" s="1509"/>
    </row>
    <row r="38" spans="1:19" s="570" customFormat="1" ht="14.4">
      <c r="A38" s="867" t="s">
        <v>814</v>
      </c>
      <c r="B38" s="1509" t="s">
        <v>832</v>
      </c>
      <c r="C38" s="1509"/>
      <c r="D38" s="1509"/>
      <c r="E38" s="1509"/>
      <c r="F38" s="1509"/>
    </row>
    <row r="39" spans="1:19" s="570" customFormat="1" ht="14.4">
      <c r="A39" s="867" t="s">
        <v>825</v>
      </c>
      <c r="B39" s="1509" t="s">
        <v>833</v>
      </c>
      <c r="C39" s="1509"/>
      <c r="D39" s="1509"/>
      <c r="E39" s="1509"/>
      <c r="F39" s="1509"/>
    </row>
    <row r="40" spans="1:19" s="570" customFormat="1" ht="14.4">
      <c r="A40" s="867" t="s">
        <v>826</v>
      </c>
      <c r="B40" s="1509" t="s">
        <v>834</v>
      </c>
      <c r="C40" s="1509"/>
      <c r="D40" s="1509"/>
      <c r="E40" s="1509"/>
      <c r="F40" s="1509"/>
    </row>
    <row r="41" spans="1:19" s="570" customFormat="1" ht="13.8" thickBot="1">
      <c r="A41" s="548"/>
      <c r="B41" s="571"/>
    </row>
    <row r="42" spans="1:19" s="570" customFormat="1" ht="15" thickBot="1">
      <c r="A42" s="869"/>
      <c r="B42" s="869"/>
      <c r="C42" s="688"/>
      <c r="D42" s="1521" t="s">
        <v>727</v>
      </c>
      <c r="E42" s="1522"/>
      <c r="F42" s="1522"/>
      <c r="G42" s="1522"/>
      <c r="H42" s="1522"/>
      <c r="I42" s="1522"/>
      <c r="J42" s="1522"/>
      <c r="K42" s="1522"/>
      <c r="L42" s="1522"/>
      <c r="M42" s="1522"/>
      <c r="N42" s="1522"/>
      <c r="O42" s="1522"/>
      <c r="P42" s="1522"/>
      <c r="Q42" s="1522"/>
      <c r="R42" s="1522"/>
      <c r="S42" s="1523"/>
    </row>
    <row r="43" spans="1:19" s="570" customFormat="1" ht="15" thickBot="1">
      <c r="A43" s="690"/>
      <c r="B43" s="755" t="s">
        <v>807</v>
      </c>
      <c r="C43" s="756">
        <v>0.55000000000000004</v>
      </c>
      <c r="D43" s="691">
        <v>2010</v>
      </c>
      <c r="E43" s="744">
        <v>2015</v>
      </c>
      <c r="F43" s="931">
        <v>2015</v>
      </c>
      <c r="G43" s="931">
        <v>2015</v>
      </c>
      <c r="H43" s="744">
        <v>2020</v>
      </c>
      <c r="I43" s="744">
        <v>2020</v>
      </c>
      <c r="J43" s="744">
        <v>2020</v>
      </c>
      <c r="K43" s="744">
        <v>2025</v>
      </c>
      <c r="L43" s="744">
        <v>2025</v>
      </c>
      <c r="M43" s="744">
        <v>2025</v>
      </c>
      <c r="N43" s="744">
        <v>2030</v>
      </c>
      <c r="O43" s="744">
        <v>2030</v>
      </c>
      <c r="P43" s="744">
        <v>2030</v>
      </c>
      <c r="Q43" s="744">
        <v>2045</v>
      </c>
      <c r="R43" s="744">
        <v>2045</v>
      </c>
      <c r="S43" s="744">
        <v>2045</v>
      </c>
    </row>
    <row r="44" spans="1:19" s="570" customFormat="1" ht="15" thickBot="1">
      <c r="A44" s="688"/>
      <c r="B44" s="757" t="s">
        <v>808</v>
      </c>
      <c r="C44" s="756">
        <v>0.7</v>
      </c>
      <c r="D44" s="926" t="s">
        <v>96</v>
      </c>
      <c r="E44" s="696" t="s">
        <v>734</v>
      </c>
      <c r="F44" s="697" t="s">
        <v>735</v>
      </c>
      <c r="G44" s="698" t="s">
        <v>736</v>
      </c>
      <c r="H44" s="696" t="s">
        <v>734</v>
      </c>
      <c r="I44" s="697" t="s">
        <v>735</v>
      </c>
      <c r="J44" s="698" t="s">
        <v>736</v>
      </c>
      <c r="K44" s="696" t="s">
        <v>734</v>
      </c>
      <c r="L44" s="697" t="s">
        <v>735</v>
      </c>
      <c r="M44" s="698" t="s">
        <v>736</v>
      </c>
      <c r="N44" s="696" t="s">
        <v>734</v>
      </c>
      <c r="O44" s="697" t="s">
        <v>735</v>
      </c>
      <c r="P44" s="698" t="s">
        <v>736</v>
      </c>
      <c r="Q44" s="696" t="s">
        <v>734</v>
      </c>
      <c r="R44" s="697" t="s">
        <v>735</v>
      </c>
      <c r="S44" s="698" t="s">
        <v>736</v>
      </c>
    </row>
    <row r="45" spans="1:19" s="570" customFormat="1" ht="15" thickBot="1">
      <c r="A45" s="865" t="s">
        <v>737</v>
      </c>
      <c r="B45" s="1515" t="s">
        <v>826</v>
      </c>
      <c r="C45" s="853" t="s">
        <v>809</v>
      </c>
      <c r="D45" s="806">
        <f t="shared" ref="D45:S45" si="2">D86</f>
        <v>25.14977765776808</v>
      </c>
      <c r="E45" s="806">
        <f t="shared" si="2"/>
        <v>27.394891122048683</v>
      </c>
      <c r="F45" s="800">
        <f t="shared" si="2"/>
        <v>30.71340376163041</v>
      </c>
      <c r="G45" s="805">
        <f t="shared" si="2"/>
        <v>33.026284636486089</v>
      </c>
      <c r="H45" s="806">
        <f t="shared" si="2"/>
        <v>29.286032727808205</v>
      </c>
      <c r="I45" s="800">
        <f t="shared" si="2"/>
        <v>35.108218834029039</v>
      </c>
      <c r="J45" s="800">
        <f t="shared" si="2"/>
        <v>38.558291982910454</v>
      </c>
      <c r="K45" s="806">
        <f t="shared" si="2"/>
        <v>29.922237502049409</v>
      </c>
      <c r="L45" s="800">
        <f t="shared" si="2"/>
        <v>36.252690350398119</v>
      </c>
      <c r="M45" s="800">
        <f t="shared" si="2"/>
        <v>40.103531618910054</v>
      </c>
      <c r="N45" s="806">
        <f t="shared" si="2"/>
        <v>33.813252886634984</v>
      </c>
      <c r="O45" s="800">
        <f t="shared" si="2"/>
        <v>39.204312350228776</v>
      </c>
      <c r="P45" s="800">
        <f t="shared" si="2"/>
        <v>43.509832404269368</v>
      </c>
      <c r="Q45" s="806">
        <f t="shared" si="2"/>
        <v>35.121505029554044</v>
      </c>
      <c r="R45" s="800">
        <f t="shared" si="2"/>
        <v>41.56144328428411</v>
      </c>
      <c r="S45" s="801">
        <f t="shared" si="2"/>
        <v>46.671987761682573</v>
      </c>
    </row>
    <row r="46" spans="1:19" s="570" customFormat="1" ht="15" thickBot="1">
      <c r="A46" s="865" t="s">
        <v>737</v>
      </c>
      <c r="B46" s="1516"/>
      <c r="C46" s="854" t="s">
        <v>814</v>
      </c>
      <c r="D46" s="807">
        <f t="shared" ref="D46:S46" si="3">D87</f>
        <v>31.948428137335643</v>
      </c>
      <c r="E46" s="807">
        <f t="shared" si="3"/>
        <v>34.383380064544539</v>
      </c>
      <c r="F46" s="804">
        <f t="shared" si="3"/>
        <v>38.849991879951041</v>
      </c>
      <c r="G46" s="803">
        <f t="shared" si="3"/>
        <v>42.417558614828543</v>
      </c>
      <c r="H46" s="807">
        <f t="shared" si="3"/>
        <v>36.520101769914504</v>
      </c>
      <c r="I46" s="804">
        <f t="shared" si="3"/>
        <v>44.020422127245389</v>
      </c>
      <c r="J46" s="804">
        <f t="shared" si="3"/>
        <v>50.633976908751016</v>
      </c>
      <c r="K46" s="807">
        <f t="shared" si="3"/>
        <v>37.209359741414609</v>
      </c>
      <c r="L46" s="804">
        <f t="shared" si="3"/>
        <v>45.18499550601512</v>
      </c>
      <c r="M46" s="804">
        <f t="shared" si="3"/>
        <v>52.237009436654702</v>
      </c>
      <c r="N46" s="807">
        <f t="shared" si="3"/>
        <v>43.640094251435293</v>
      </c>
      <c r="O46" s="804">
        <f t="shared" si="3"/>
        <v>51.115686147588306</v>
      </c>
      <c r="P46" s="804">
        <f t="shared" si="3"/>
        <v>57.114325102046266</v>
      </c>
      <c r="Q46" s="807">
        <f t="shared" si="3"/>
        <v>44.269372913593102</v>
      </c>
      <c r="R46" s="804">
        <f t="shared" si="3"/>
        <v>53.908850220272079</v>
      </c>
      <c r="S46" s="855">
        <f t="shared" si="3"/>
        <v>62.914455333789171</v>
      </c>
    </row>
    <row r="47" spans="1:19" s="570" customFormat="1" ht="15" thickBot="1">
      <c r="A47" s="865" t="s">
        <v>737</v>
      </c>
      <c r="B47" s="1517"/>
      <c r="C47" s="856" t="s">
        <v>815</v>
      </c>
      <c r="D47" s="811">
        <f t="shared" ref="D47:S47" si="4">D88</f>
        <v>27.813177298759815</v>
      </c>
      <c r="E47" s="811">
        <f t="shared" si="4"/>
        <v>30.152764789971105</v>
      </c>
      <c r="F47" s="810">
        <f t="shared" si="4"/>
        <v>33.909219304847568</v>
      </c>
      <c r="G47" s="809">
        <f t="shared" si="4"/>
        <v>36.680803390926243</v>
      </c>
      <c r="H47" s="811">
        <f t="shared" si="4"/>
        <v>32.151999641636557</v>
      </c>
      <c r="I47" s="810">
        <f t="shared" si="4"/>
        <v>38.627375461129169</v>
      </c>
      <c r="J47" s="810">
        <f t="shared" si="4"/>
        <v>43.193875617387249</v>
      </c>
      <c r="K47" s="811">
        <f t="shared" si="4"/>
        <v>32.814094371811393</v>
      </c>
      <c r="L47" s="810">
        <f t="shared" si="4"/>
        <v>39.79252807445468</v>
      </c>
      <c r="M47" s="810">
        <f t="shared" si="4"/>
        <v>44.784638792782559</v>
      </c>
      <c r="N47" s="811">
        <f t="shared" si="4"/>
        <v>37.625910412403826</v>
      </c>
      <c r="O47" s="810">
        <f t="shared" si="4"/>
        <v>43.796971953396302</v>
      </c>
      <c r="P47" s="810">
        <f t="shared" si="4"/>
        <v>48.733525413866992</v>
      </c>
      <c r="Q47" s="811">
        <f t="shared" si="4"/>
        <v>38.722224855181359</v>
      </c>
      <c r="R47" s="810">
        <f t="shared" si="4"/>
        <v>46.337393694723524</v>
      </c>
      <c r="S47" s="857">
        <f t="shared" si="4"/>
        <v>52.806842458422324</v>
      </c>
    </row>
    <row r="48" spans="1:19" s="570" customFormat="1" ht="15" thickBot="1">
      <c r="A48" s="939" t="s">
        <v>741</v>
      </c>
      <c r="B48" s="1518" t="s">
        <v>826</v>
      </c>
      <c r="C48" s="858" t="s">
        <v>809</v>
      </c>
      <c r="D48" s="829">
        <f t="shared" ref="D48:S48" si="5">D92</f>
        <v>30.280955940877437</v>
      </c>
      <c r="E48" s="829">
        <f t="shared" si="5"/>
        <v>31.168297733074315</v>
      </c>
      <c r="F48" s="818">
        <f t="shared" si="5"/>
        <v>33.651722470861984</v>
      </c>
      <c r="G48" s="859">
        <f t="shared" si="5"/>
        <v>35.90887645258087</v>
      </c>
      <c r="H48" s="829">
        <f t="shared" si="5"/>
        <v>31.955463401160745</v>
      </c>
      <c r="I48" s="818">
        <f t="shared" si="5"/>
        <v>38.44036447083306</v>
      </c>
      <c r="J48" s="818">
        <f t="shared" si="5"/>
        <v>43.422426706628535</v>
      </c>
      <c r="K48" s="829">
        <f t="shared" si="5"/>
        <v>33.347941840018215</v>
      </c>
      <c r="L48" s="818">
        <f t="shared" si="5"/>
        <v>40.216868497970616</v>
      </c>
      <c r="M48" s="818">
        <f t="shared" si="5"/>
        <v>44.868032224994487</v>
      </c>
      <c r="N48" s="829">
        <f t="shared" si="5"/>
        <v>38.741367270961618</v>
      </c>
      <c r="O48" s="818">
        <f t="shared" si="5"/>
        <v>45.536132492628823</v>
      </c>
      <c r="P48" s="818">
        <f t="shared" si="5"/>
        <v>50.053227374936895</v>
      </c>
      <c r="Q48" s="829">
        <f t="shared" si="5"/>
        <v>41.446506088340129</v>
      </c>
      <c r="R48" s="818">
        <f t="shared" si="5"/>
        <v>47.418713702728056</v>
      </c>
      <c r="S48" s="819">
        <f t="shared" si="5"/>
        <v>52.566713283177705</v>
      </c>
    </row>
    <row r="49" spans="1:19" s="570" customFormat="1" ht="15" thickBot="1">
      <c r="A49" s="939" t="s">
        <v>741</v>
      </c>
      <c r="B49" s="1519"/>
      <c r="C49" s="860" t="s">
        <v>814</v>
      </c>
      <c r="D49" s="838">
        <f t="shared" ref="D49:S49" si="6">D93</f>
        <v>38.179077871293046</v>
      </c>
      <c r="E49" s="838">
        <f t="shared" si="6"/>
        <v>38.994738703772434</v>
      </c>
      <c r="F49" s="825">
        <f t="shared" si="6"/>
        <v>42.578710082544589</v>
      </c>
      <c r="G49" s="824">
        <f t="shared" si="6"/>
        <v>46.024875322617568</v>
      </c>
      <c r="H49" s="838">
        <f t="shared" si="6"/>
        <v>39.81092427277526</v>
      </c>
      <c r="I49" s="825">
        <f t="shared" si="6"/>
        <v>47.896593303444234</v>
      </c>
      <c r="J49" s="825">
        <f t="shared" si="6"/>
        <v>55.926930296852667</v>
      </c>
      <c r="K49" s="838">
        <f t="shared" si="6"/>
        <v>41.043873479405519</v>
      </c>
      <c r="L49" s="825">
        <f t="shared" si="6"/>
        <v>49.673296837009708</v>
      </c>
      <c r="M49" s="825">
        <f t="shared" si="6"/>
        <v>57.221299620247777</v>
      </c>
      <c r="N49" s="838">
        <f t="shared" si="6"/>
        <v>49.310696230525664</v>
      </c>
      <c r="O49" s="825">
        <f t="shared" si="6"/>
        <v>56.362112469285769</v>
      </c>
      <c r="P49" s="825">
        <f t="shared" si="6"/>
        <v>62.953859577048341</v>
      </c>
      <c r="Q49" s="838">
        <f t="shared" si="6"/>
        <v>50.034479280560326</v>
      </c>
      <c r="R49" s="825">
        <f t="shared" si="6"/>
        <v>59.104053563313194</v>
      </c>
      <c r="S49" s="861">
        <f t="shared" si="6"/>
        <v>68.170675907713743</v>
      </c>
    </row>
    <row r="50" spans="1:19" s="570" customFormat="1" ht="15" thickBot="1">
      <c r="A50" s="939" t="s">
        <v>741</v>
      </c>
      <c r="B50" s="1520"/>
      <c r="C50" s="862" t="s">
        <v>815</v>
      </c>
      <c r="D50" s="840">
        <f t="shared" ref="D50:S50" si="7">D94</f>
        <v>33.389214318164413</v>
      </c>
      <c r="E50" s="840">
        <f t="shared" si="7"/>
        <v>34.262822395834995</v>
      </c>
      <c r="F50" s="841">
        <f t="shared" si="7"/>
        <v>37.157384832332447</v>
      </c>
      <c r="G50" s="863">
        <f t="shared" si="7"/>
        <v>39.850372048237205</v>
      </c>
      <c r="H50" s="840">
        <f t="shared" si="7"/>
        <v>35.069403877066506</v>
      </c>
      <c r="I50" s="841">
        <f t="shared" si="7"/>
        <v>42.188544143066444</v>
      </c>
      <c r="J50" s="841">
        <f t="shared" si="7"/>
        <v>48.280073201153499</v>
      </c>
      <c r="K50" s="840">
        <f t="shared" si="7"/>
        <v>36.421049932380114</v>
      </c>
      <c r="L50" s="841">
        <f t="shared" si="7"/>
        <v>43.984954546570364</v>
      </c>
      <c r="M50" s="841">
        <f t="shared" si="7"/>
        <v>49.695922550976348</v>
      </c>
      <c r="N50" s="840">
        <f t="shared" si="7"/>
        <v>42.877012878318553</v>
      </c>
      <c r="O50" s="841">
        <f t="shared" si="7"/>
        <v>49.844467130128137</v>
      </c>
      <c r="P50" s="841">
        <f t="shared" si="7"/>
        <v>55.137750027758152</v>
      </c>
      <c r="Q50" s="840">
        <f t="shared" si="7"/>
        <v>44.915729488616506</v>
      </c>
      <c r="R50" s="841">
        <f t="shared" si="7"/>
        <v>52.049481471648697</v>
      </c>
      <c r="S50" s="864">
        <f t="shared" si="7"/>
        <v>58.602996963150709</v>
      </c>
    </row>
    <row r="51" spans="1:19" s="570" customFormat="1" ht="15" thickBot="1">
      <c r="A51" s="865" t="s">
        <v>742</v>
      </c>
      <c r="B51" s="1515" t="s">
        <v>826</v>
      </c>
      <c r="C51" s="853" t="s">
        <v>809</v>
      </c>
      <c r="D51" s="806" t="e">
        <f t="shared" ref="D51:S51" si="8">D98</f>
        <v>#DIV/0!</v>
      </c>
      <c r="E51" s="806" t="e">
        <f t="shared" si="8"/>
        <v>#DIV/0!</v>
      </c>
      <c r="F51" s="800" t="e">
        <f t="shared" si="8"/>
        <v>#DIV/0!</v>
      </c>
      <c r="G51" s="805" t="e">
        <f t="shared" si="8"/>
        <v>#DIV/0!</v>
      </c>
      <c r="H51" s="806" t="e">
        <f t="shared" si="8"/>
        <v>#DIV/0!</v>
      </c>
      <c r="I51" s="800" t="e">
        <f t="shared" si="8"/>
        <v>#DIV/0!</v>
      </c>
      <c r="J51" s="800" t="e">
        <f t="shared" si="8"/>
        <v>#DIV/0!</v>
      </c>
      <c r="K51" s="806" t="e">
        <f t="shared" si="8"/>
        <v>#DIV/0!</v>
      </c>
      <c r="L51" s="800" t="e">
        <f t="shared" si="8"/>
        <v>#DIV/0!</v>
      </c>
      <c r="M51" s="800" t="e">
        <f t="shared" si="8"/>
        <v>#DIV/0!</v>
      </c>
      <c r="N51" s="806" t="e">
        <f t="shared" si="8"/>
        <v>#DIV/0!</v>
      </c>
      <c r="O51" s="800" t="e">
        <f t="shared" si="8"/>
        <v>#DIV/0!</v>
      </c>
      <c r="P51" s="800" t="e">
        <f t="shared" si="8"/>
        <v>#DIV/0!</v>
      </c>
      <c r="Q51" s="806" t="e">
        <f t="shared" si="8"/>
        <v>#DIV/0!</v>
      </c>
      <c r="R51" s="800" t="e">
        <f t="shared" si="8"/>
        <v>#DIV/0!</v>
      </c>
      <c r="S51" s="801" t="e">
        <f t="shared" si="8"/>
        <v>#DIV/0!</v>
      </c>
    </row>
    <row r="52" spans="1:19" s="570" customFormat="1" ht="15" thickBot="1">
      <c r="A52" s="865" t="s">
        <v>742</v>
      </c>
      <c r="B52" s="1516"/>
      <c r="C52" s="854" t="s">
        <v>814</v>
      </c>
      <c r="D52" s="807" t="e">
        <f t="shared" ref="D52:S52" si="9">D99</f>
        <v>#DIV/0!</v>
      </c>
      <c r="E52" s="807" t="e">
        <f t="shared" si="9"/>
        <v>#DIV/0!</v>
      </c>
      <c r="F52" s="804" t="e">
        <f t="shared" si="9"/>
        <v>#DIV/0!</v>
      </c>
      <c r="G52" s="803" t="e">
        <f t="shared" si="9"/>
        <v>#DIV/0!</v>
      </c>
      <c r="H52" s="807" t="e">
        <f t="shared" si="9"/>
        <v>#DIV/0!</v>
      </c>
      <c r="I52" s="804" t="e">
        <f t="shared" si="9"/>
        <v>#DIV/0!</v>
      </c>
      <c r="J52" s="804" t="e">
        <f t="shared" si="9"/>
        <v>#DIV/0!</v>
      </c>
      <c r="K52" s="807" t="e">
        <f t="shared" si="9"/>
        <v>#DIV/0!</v>
      </c>
      <c r="L52" s="804" t="e">
        <f t="shared" si="9"/>
        <v>#DIV/0!</v>
      </c>
      <c r="M52" s="804" t="e">
        <f t="shared" si="9"/>
        <v>#DIV/0!</v>
      </c>
      <c r="N52" s="807" t="e">
        <f t="shared" si="9"/>
        <v>#DIV/0!</v>
      </c>
      <c r="O52" s="804" t="e">
        <f t="shared" si="9"/>
        <v>#DIV/0!</v>
      </c>
      <c r="P52" s="804" t="e">
        <f t="shared" si="9"/>
        <v>#DIV/0!</v>
      </c>
      <c r="Q52" s="807" t="e">
        <f t="shared" si="9"/>
        <v>#DIV/0!</v>
      </c>
      <c r="R52" s="804" t="e">
        <f t="shared" si="9"/>
        <v>#DIV/0!</v>
      </c>
      <c r="S52" s="855" t="e">
        <f t="shared" si="9"/>
        <v>#DIV/0!</v>
      </c>
    </row>
    <row r="53" spans="1:19" s="570" customFormat="1" ht="15" thickBot="1">
      <c r="A53" s="865" t="s">
        <v>742</v>
      </c>
      <c r="B53" s="1517"/>
      <c r="C53" s="856" t="s">
        <v>815</v>
      </c>
      <c r="D53" s="811" t="e">
        <f t="shared" ref="D53:S53" si="10">D100</f>
        <v>#DIV/0!</v>
      </c>
      <c r="E53" s="811" t="e">
        <f t="shared" si="10"/>
        <v>#DIV/0!</v>
      </c>
      <c r="F53" s="810" t="e">
        <f t="shared" si="10"/>
        <v>#DIV/0!</v>
      </c>
      <c r="G53" s="809" t="e">
        <f t="shared" si="10"/>
        <v>#DIV/0!</v>
      </c>
      <c r="H53" s="811" t="e">
        <f t="shared" si="10"/>
        <v>#DIV/0!</v>
      </c>
      <c r="I53" s="810" t="e">
        <f t="shared" si="10"/>
        <v>#DIV/0!</v>
      </c>
      <c r="J53" s="810" t="e">
        <f t="shared" si="10"/>
        <v>#DIV/0!</v>
      </c>
      <c r="K53" s="811" t="e">
        <f t="shared" si="10"/>
        <v>#DIV/0!</v>
      </c>
      <c r="L53" s="810" t="e">
        <f t="shared" si="10"/>
        <v>#DIV/0!</v>
      </c>
      <c r="M53" s="810" t="e">
        <f t="shared" si="10"/>
        <v>#DIV/0!</v>
      </c>
      <c r="N53" s="811" t="e">
        <f t="shared" si="10"/>
        <v>#DIV/0!</v>
      </c>
      <c r="O53" s="810" t="e">
        <f t="shared" si="10"/>
        <v>#DIV/0!</v>
      </c>
      <c r="P53" s="810" t="e">
        <f t="shared" si="10"/>
        <v>#DIV/0!</v>
      </c>
      <c r="Q53" s="811" t="e">
        <f t="shared" si="10"/>
        <v>#DIV/0!</v>
      </c>
      <c r="R53" s="810" t="e">
        <f t="shared" si="10"/>
        <v>#DIV/0!</v>
      </c>
      <c r="S53" s="857" t="e">
        <f t="shared" si="10"/>
        <v>#DIV/0!</v>
      </c>
    </row>
    <row r="54" spans="1:19" s="571" customFormat="1" ht="15" thickBot="1">
      <c r="A54" s="940" t="s">
        <v>743</v>
      </c>
      <c r="B54" s="1510" t="s">
        <v>826</v>
      </c>
      <c r="C54" s="941" t="s">
        <v>809</v>
      </c>
      <c r="D54" s="942">
        <f t="shared" ref="D54:S54" si="11">D104</f>
        <v>28.813912370061267</v>
      </c>
      <c r="E54" s="942">
        <f t="shared" si="11"/>
        <v>32.241551123512679</v>
      </c>
      <c r="F54" s="943">
        <f t="shared" si="11"/>
        <v>36.988493002749323</v>
      </c>
      <c r="G54" s="944">
        <f t="shared" si="11"/>
        <v>40.289043532587485</v>
      </c>
      <c r="H54" s="942">
        <f t="shared" si="11"/>
        <v>35.87667651275472</v>
      </c>
      <c r="I54" s="943">
        <f t="shared" si="11"/>
        <v>43.821411519251299</v>
      </c>
      <c r="J54" s="943">
        <f t="shared" si="11"/>
        <v>48.426187432516869</v>
      </c>
      <c r="K54" s="942">
        <f t="shared" si="11"/>
        <v>36.627662060806543</v>
      </c>
      <c r="L54" s="943">
        <f t="shared" si="11"/>
        <v>45.103542255320761</v>
      </c>
      <c r="M54" s="943">
        <f t="shared" si="11"/>
        <v>49.967054790456984</v>
      </c>
      <c r="N54" s="942">
        <f t="shared" si="11"/>
        <v>42.262397129300744</v>
      </c>
      <c r="O54" s="943">
        <f t="shared" si="11"/>
        <v>48.179617039954437</v>
      </c>
      <c r="P54" s="943">
        <f t="shared" si="11"/>
        <v>53.572755304699136</v>
      </c>
      <c r="Q54" s="942">
        <f t="shared" si="11"/>
        <v>43.084898227637865</v>
      </c>
      <c r="R54" s="943">
        <f t="shared" si="11"/>
        <v>50.730618119880859</v>
      </c>
      <c r="S54" s="945">
        <f t="shared" si="11"/>
        <v>57.089856952675817</v>
      </c>
    </row>
    <row r="55" spans="1:19" s="571" customFormat="1" ht="15" thickBot="1">
      <c r="A55" s="940" t="s">
        <v>743</v>
      </c>
      <c r="B55" s="1511"/>
      <c r="C55" s="946" t="s">
        <v>814</v>
      </c>
      <c r="D55" s="947">
        <f t="shared" ref="D55:S55" si="12">D105</f>
        <v>35.117266936120018</v>
      </c>
      <c r="E55" s="947">
        <f t="shared" si="12"/>
        <v>38.217340608924374</v>
      </c>
      <c r="F55" s="948">
        <f t="shared" si="12"/>
        <v>43.561352814566021</v>
      </c>
      <c r="G55" s="949">
        <f t="shared" si="12"/>
        <v>47.981966437758892</v>
      </c>
      <c r="H55" s="947">
        <f t="shared" si="12"/>
        <v>41.415243319386519</v>
      </c>
      <c r="I55" s="948">
        <f t="shared" si="12"/>
        <v>50.57612563662353</v>
      </c>
      <c r="J55" s="948">
        <f t="shared" si="12"/>
        <v>58.322652799749612</v>
      </c>
      <c r="K55" s="947">
        <f t="shared" si="12"/>
        <v>42.055217416028938</v>
      </c>
      <c r="L55" s="948">
        <f t="shared" si="12"/>
        <v>51.673609642583898</v>
      </c>
      <c r="M55" s="948">
        <f t="shared" si="12"/>
        <v>60.195712485116573</v>
      </c>
      <c r="N55" s="947">
        <f t="shared" si="12"/>
        <v>50.209504220170004</v>
      </c>
      <c r="O55" s="948">
        <f t="shared" si="12"/>
        <v>58.812291205104728</v>
      </c>
      <c r="P55" s="948">
        <f t="shared" si="12"/>
        <v>66.07785813334992</v>
      </c>
      <c r="Q55" s="947">
        <f t="shared" si="12"/>
        <v>51.12210430041489</v>
      </c>
      <c r="R55" s="948">
        <f t="shared" si="12"/>
        <v>61.940255193307948</v>
      </c>
      <c r="S55" s="950">
        <f t="shared" si="12"/>
        <v>72.682190022990966</v>
      </c>
    </row>
    <row r="56" spans="1:19" s="571" customFormat="1" ht="15" thickBot="1">
      <c r="A56" s="940" t="s">
        <v>743</v>
      </c>
      <c r="B56" s="1512"/>
      <c r="C56" s="951" t="s">
        <v>815</v>
      </c>
      <c r="D56" s="952">
        <f t="shared" ref="D56:S56" si="13">D106</f>
        <v>31.345790317690778</v>
      </c>
      <c r="E56" s="952">
        <f t="shared" si="13"/>
        <v>34.681889748773806</v>
      </c>
      <c r="F56" s="953">
        <f t="shared" si="13"/>
        <v>39.682938138240985</v>
      </c>
      <c r="G56" s="954">
        <f t="shared" si="13"/>
        <v>43.421854722065753</v>
      </c>
      <c r="H56" s="952">
        <f t="shared" si="13"/>
        <v>38.17397304842244</v>
      </c>
      <c r="I56" s="953">
        <f t="shared" si="13"/>
        <v>46.623479112805825</v>
      </c>
      <c r="J56" s="953">
        <f t="shared" si="13"/>
        <v>52.429615465050446</v>
      </c>
      <c r="K56" s="952">
        <f t="shared" si="13"/>
        <v>38.886006812511695</v>
      </c>
      <c r="L56" s="953">
        <f t="shared" si="13"/>
        <v>47.840775116479655</v>
      </c>
      <c r="M56" s="953">
        <f t="shared" si="13"/>
        <v>54.104156832492968</v>
      </c>
      <c r="N56" s="952">
        <f t="shared" si="13"/>
        <v>45.503400631425095</v>
      </c>
      <c r="O56" s="953">
        <f t="shared" si="13"/>
        <v>52.446421935009155</v>
      </c>
      <c r="P56" s="953">
        <f t="shared" si="13"/>
        <v>58.559801859380322</v>
      </c>
      <c r="Q56" s="952">
        <f t="shared" si="13"/>
        <v>46.36509623926888</v>
      </c>
      <c r="R56" s="953">
        <f t="shared" si="13"/>
        <v>55.228345279155867</v>
      </c>
      <c r="S56" s="955">
        <f t="shared" si="13"/>
        <v>63.190061385039328</v>
      </c>
    </row>
    <row r="57" spans="1:19" s="570" customFormat="1" ht="15" thickBot="1">
      <c r="A57" s="865" t="s">
        <v>744</v>
      </c>
      <c r="B57" s="1515" t="s">
        <v>826</v>
      </c>
      <c r="C57" s="853" t="s">
        <v>809</v>
      </c>
      <c r="D57" s="806">
        <f t="shared" ref="D57:S57" si="14">D110</f>
        <v>26.188269483801314</v>
      </c>
      <c r="E57" s="806">
        <f t="shared" si="14"/>
        <v>27.254301832199964</v>
      </c>
      <c r="F57" s="800">
        <f t="shared" si="14"/>
        <v>29.195898430803624</v>
      </c>
      <c r="G57" s="805">
        <f t="shared" si="14"/>
        <v>30.829975398350179</v>
      </c>
      <c r="H57" s="806">
        <f t="shared" si="14"/>
        <v>27.661621617980426</v>
      </c>
      <c r="I57" s="800">
        <f t="shared" si="14"/>
        <v>32.17369103976808</v>
      </c>
      <c r="J57" s="800">
        <f t="shared" si="14"/>
        <v>35.592324689285853</v>
      </c>
      <c r="K57" s="806">
        <f t="shared" si="14"/>
        <v>27.857834285751121</v>
      </c>
      <c r="L57" s="800">
        <f t="shared" si="14"/>
        <v>33.066752325301259</v>
      </c>
      <c r="M57" s="800">
        <f t="shared" si="14"/>
        <v>36.397539526328018</v>
      </c>
      <c r="N57" s="806">
        <f t="shared" si="14"/>
        <v>31.322601328805455</v>
      </c>
      <c r="O57" s="800">
        <f t="shared" si="14"/>
        <v>35.770940855069163</v>
      </c>
      <c r="P57" s="800">
        <f t="shared" si="14"/>
        <v>39.410382289420127</v>
      </c>
      <c r="Q57" s="806">
        <f t="shared" si="14"/>
        <v>32.789984477036747</v>
      </c>
      <c r="R57" s="800">
        <f t="shared" si="14"/>
        <v>37.739852362886204</v>
      </c>
      <c r="S57" s="801">
        <f t="shared" si="14"/>
        <v>41.55511150355489</v>
      </c>
    </row>
    <row r="58" spans="1:19" s="570" customFormat="1" ht="15" thickBot="1">
      <c r="A58" s="865" t="s">
        <v>744</v>
      </c>
      <c r="B58" s="1516"/>
      <c r="C58" s="854" t="s">
        <v>814</v>
      </c>
      <c r="D58" s="807">
        <f t="shared" ref="D58:S58" si="15">D111</f>
        <v>33.09363214159022</v>
      </c>
      <c r="E58" s="807">
        <f t="shared" si="15"/>
        <v>34.073198800396909</v>
      </c>
      <c r="F58" s="804">
        <f t="shared" si="15"/>
        <v>36.821403320854898</v>
      </c>
      <c r="G58" s="803">
        <f t="shared" si="15"/>
        <v>39.341988973622648</v>
      </c>
      <c r="H58" s="807">
        <f t="shared" si="15"/>
        <v>34.484466074359119</v>
      </c>
      <c r="I58" s="804">
        <f t="shared" si="15"/>
        <v>39.965944383686541</v>
      </c>
      <c r="J58" s="804">
        <f t="shared" si="15"/>
        <v>45.047808772044796</v>
      </c>
      <c r="K58" s="807">
        <f t="shared" si="15"/>
        <v>34.673081005142848</v>
      </c>
      <c r="L58" s="804">
        <f t="shared" si="15"/>
        <v>40.774071744646342</v>
      </c>
      <c r="M58" s="804">
        <f t="shared" si="15"/>
        <v>46.072107968093171</v>
      </c>
      <c r="N58" s="807">
        <f t="shared" si="15"/>
        <v>40.032255963929011</v>
      </c>
      <c r="O58" s="804">
        <f t="shared" si="15"/>
        <v>45.211120052432648</v>
      </c>
      <c r="P58" s="804">
        <f t="shared" si="15"/>
        <v>49.958428833415915</v>
      </c>
      <c r="Q58" s="807">
        <f t="shared" si="15"/>
        <v>40.661577893562011</v>
      </c>
      <c r="R58" s="804">
        <f t="shared" si="15"/>
        <v>47.404944097568702</v>
      </c>
      <c r="S58" s="855">
        <f t="shared" si="15"/>
        <v>53.838825122694765</v>
      </c>
    </row>
    <row r="59" spans="1:19" s="570" customFormat="1" ht="15" thickBot="1">
      <c r="A59" s="865" t="s">
        <v>744</v>
      </c>
      <c r="B59" s="1517"/>
      <c r="C59" s="856" t="s">
        <v>815</v>
      </c>
      <c r="D59" s="811">
        <f t="shared" ref="D59:S59" si="16">D112</f>
        <v>28.902108608439619</v>
      </c>
      <c r="E59" s="811">
        <f t="shared" si="16"/>
        <v>29.951632795010205</v>
      </c>
      <c r="F59" s="810">
        <f t="shared" si="16"/>
        <v>32.196356097377652</v>
      </c>
      <c r="G59" s="809">
        <f t="shared" si="16"/>
        <v>34.155406611934694</v>
      </c>
      <c r="H59" s="811">
        <f t="shared" si="16"/>
        <v>30.365143001068137</v>
      </c>
      <c r="I59" s="810">
        <f t="shared" si="16"/>
        <v>35.268020738377217</v>
      </c>
      <c r="J59" s="810">
        <f t="shared" si="16"/>
        <v>39.304843683675401</v>
      </c>
      <c r="K59" s="811">
        <f t="shared" si="16"/>
        <v>30.560976459241949</v>
      </c>
      <c r="L59" s="810">
        <f t="shared" si="16"/>
        <v>36.140946623859968</v>
      </c>
      <c r="M59" s="810">
        <f t="shared" si="16"/>
        <v>40.19581897341061</v>
      </c>
      <c r="N59" s="811">
        <f t="shared" si="16"/>
        <v>34.722052196834042</v>
      </c>
      <c r="O59" s="810">
        <f t="shared" si="16"/>
        <v>39.480573818194522</v>
      </c>
      <c r="P59" s="810">
        <f t="shared" si="16"/>
        <v>43.547932959331654</v>
      </c>
      <c r="Q59" s="811">
        <f t="shared" si="16"/>
        <v>35.919058873603731</v>
      </c>
      <c r="R59" s="810">
        <f t="shared" si="16"/>
        <v>41.55216503437444</v>
      </c>
      <c r="S59" s="857">
        <f t="shared" si="16"/>
        <v>46.309768991815893</v>
      </c>
    </row>
    <row r="60" spans="1:19" s="570" customFormat="1" ht="15" thickBot="1">
      <c r="A60" s="940" t="s">
        <v>745</v>
      </c>
      <c r="B60" s="1510" t="s">
        <v>826</v>
      </c>
      <c r="C60" s="941" t="s">
        <v>809</v>
      </c>
      <c r="D60" s="942">
        <f t="shared" ref="D60:S60" si="17">D116</f>
        <v>44.119834576803562</v>
      </c>
      <c r="E60" s="942">
        <f t="shared" si="17"/>
        <v>47.890350699129407</v>
      </c>
      <c r="F60" s="943">
        <f t="shared" si="17"/>
        <v>56.007670225508143</v>
      </c>
      <c r="G60" s="944">
        <f t="shared" si="17"/>
        <v>61.997458617913061</v>
      </c>
      <c r="H60" s="942">
        <f t="shared" si="17"/>
        <v>52.488913691899896</v>
      </c>
      <c r="I60" s="943">
        <f t="shared" si="17"/>
        <v>60.122386347489957</v>
      </c>
      <c r="J60" s="943">
        <f t="shared" si="17"/>
        <v>66.715909867123969</v>
      </c>
      <c r="K60" s="942">
        <f t="shared" si="17"/>
        <v>54.607336276280193</v>
      </c>
      <c r="L60" s="943">
        <f t="shared" si="17"/>
        <v>62.959136369509572</v>
      </c>
      <c r="M60" s="943">
        <f t="shared" si="17"/>
        <v>70.4140353108764</v>
      </c>
      <c r="N60" s="942">
        <f t="shared" si="17"/>
        <v>59.353270179003296</v>
      </c>
      <c r="O60" s="943">
        <f t="shared" si="17"/>
        <v>67.579158587491619</v>
      </c>
      <c r="P60" s="943">
        <f t="shared" si="17"/>
        <v>77.516633471601295</v>
      </c>
      <c r="Q60" s="942">
        <f t="shared" si="17"/>
        <v>64.912677021041233</v>
      </c>
      <c r="R60" s="943">
        <f t="shared" si="17"/>
        <v>74.350656385874146</v>
      </c>
      <c r="S60" s="945">
        <f t="shared" si="17"/>
        <v>88.957808416448088</v>
      </c>
    </row>
    <row r="61" spans="1:19" s="570" customFormat="1" ht="15" thickBot="1">
      <c r="A61" s="940" t="s">
        <v>745</v>
      </c>
      <c r="B61" s="1511"/>
      <c r="C61" s="946" t="s">
        <v>814</v>
      </c>
      <c r="D61" s="947">
        <f t="shared" ref="D61:S61" si="18">D117</f>
        <v>36.741081964298523</v>
      </c>
      <c r="E61" s="947">
        <f t="shared" si="18"/>
        <v>40.826997263715064</v>
      </c>
      <c r="F61" s="948">
        <f t="shared" si="18"/>
        <v>48.564476216601115</v>
      </c>
      <c r="G61" s="949">
        <f t="shared" si="18"/>
        <v>54.551127333183729</v>
      </c>
      <c r="H61" s="947">
        <f t="shared" si="18"/>
        <v>45.511408452931768</v>
      </c>
      <c r="I61" s="948">
        <f t="shared" si="18"/>
        <v>52.805855814065211</v>
      </c>
      <c r="J61" s="948">
        <f t="shared" si="18"/>
        <v>59.075645644478655</v>
      </c>
      <c r="K61" s="947">
        <f t="shared" si="18"/>
        <v>47.586584960701543</v>
      </c>
      <c r="L61" s="948">
        <f t="shared" si="18"/>
        <v>55.344328854890648</v>
      </c>
      <c r="M61" s="948">
        <f t="shared" si="18"/>
        <v>62.530080681382813</v>
      </c>
      <c r="N61" s="947">
        <f t="shared" si="18"/>
        <v>53.660513631118512</v>
      </c>
      <c r="O61" s="948">
        <f t="shared" si="18"/>
        <v>61.747559072171278</v>
      </c>
      <c r="P61" s="948">
        <f t="shared" si="18"/>
        <v>71.464897417305608</v>
      </c>
      <c r="Q61" s="947">
        <f t="shared" si="18"/>
        <v>59.651792223134983</v>
      </c>
      <c r="R61" s="948">
        <f t="shared" si="18"/>
        <v>69.229490817095041</v>
      </c>
      <c r="S61" s="950">
        <f t="shared" si="18"/>
        <v>86.852524661592284</v>
      </c>
    </row>
    <row r="62" spans="1:19" s="570" customFormat="1" ht="15" thickBot="1">
      <c r="A62" s="940" t="s">
        <v>745</v>
      </c>
      <c r="B62" s="1512"/>
      <c r="C62" s="951" t="s">
        <v>815</v>
      </c>
      <c r="D62" s="952">
        <f t="shared" ref="D62:S62" si="19">D118</f>
        <v>40.463028675504468</v>
      </c>
      <c r="E62" s="952">
        <f t="shared" si="19"/>
        <v>44.431240108760711</v>
      </c>
      <c r="F62" s="953">
        <f t="shared" si="19"/>
        <v>52.394107555272711</v>
      </c>
      <c r="G62" s="954">
        <f t="shared" si="19"/>
        <v>58.40959962014076</v>
      </c>
      <c r="H62" s="952">
        <f t="shared" si="19"/>
        <v>49.101361875388996</v>
      </c>
      <c r="I62" s="953">
        <f t="shared" si="19"/>
        <v>56.593771520112696</v>
      </c>
      <c r="J62" s="953">
        <f t="shared" si="19"/>
        <v>63.046682260559713</v>
      </c>
      <c r="K62" s="952">
        <f t="shared" si="19"/>
        <v>51.207594440435251</v>
      </c>
      <c r="L62" s="953">
        <f t="shared" si="19"/>
        <v>59.288281770608755</v>
      </c>
      <c r="M62" s="953">
        <f t="shared" si="19"/>
        <v>66.633442600229046</v>
      </c>
      <c r="N62" s="952">
        <f t="shared" si="19"/>
        <v>56.648866462951432</v>
      </c>
      <c r="O62" s="953">
        <f t="shared" si="19"/>
        <v>64.824184778066467</v>
      </c>
      <c r="P62" s="953">
        <f t="shared" si="19"/>
        <v>74.671172154456826</v>
      </c>
      <c r="Q62" s="952">
        <f t="shared" si="19"/>
        <v>62.43482861424792</v>
      </c>
      <c r="R62" s="953">
        <f t="shared" si="19"/>
        <v>71.955391575126697</v>
      </c>
      <c r="S62" s="955">
        <f t="shared" si="19"/>
        <v>87.99793669950877</v>
      </c>
    </row>
    <row r="63" spans="1:19" s="570" customFormat="1" ht="15" thickBot="1">
      <c r="A63" s="865" t="s">
        <v>747</v>
      </c>
      <c r="B63" s="1515" t="s">
        <v>826</v>
      </c>
      <c r="C63" s="853" t="s">
        <v>809</v>
      </c>
      <c r="D63" s="806">
        <f t="shared" ref="D63:S63" si="20">D122</f>
        <v>43.881399209410709</v>
      </c>
      <c r="E63" s="806">
        <f t="shared" si="20"/>
        <v>45.523353765804494</v>
      </c>
      <c r="F63" s="800">
        <f t="shared" si="20"/>
        <v>52.162883702276005</v>
      </c>
      <c r="G63" s="805">
        <f t="shared" si="20"/>
        <v>59.546933799666377</v>
      </c>
      <c r="H63" s="806">
        <f t="shared" si="20"/>
        <v>48.636872573115426</v>
      </c>
      <c r="I63" s="800">
        <f t="shared" si="20"/>
        <v>56.478063175600802</v>
      </c>
      <c r="J63" s="800">
        <f t="shared" si="20"/>
        <v>67.659017281222575</v>
      </c>
      <c r="K63" s="806">
        <f t="shared" si="20"/>
        <v>50.723270540289342</v>
      </c>
      <c r="L63" s="800">
        <f t="shared" si="20"/>
        <v>60.200075034046144</v>
      </c>
      <c r="M63" s="800">
        <f t="shared" si="20"/>
        <v>70.832581005477223</v>
      </c>
      <c r="N63" s="806">
        <f t="shared" si="20"/>
        <v>55.705273489939124</v>
      </c>
      <c r="O63" s="800">
        <f t="shared" si="20"/>
        <v>66.689903183125168</v>
      </c>
      <c r="P63" s="800">
        <f t="shared" si="20"/>
        <v>78.852793580878313</v>
      </c>
      <c r="Q63" s="806">
        <f t="shared" si="20"/>
        <v>61.722611812792458</v>
      </c>
      <c r="R63" s="800">
        <f t="shared" si="20"/>
        <v>71.172693496635588</v>
      </c>
      <c r="S63" s="801">
        <f t="shared" si="20"/>
        <v>84.635216741751421</v>
      </c>
    </row>
    <row r="64" spans="1:19" s="570" customFormat="1" ht="15" thickBot="1">
      <c r="A64" s="865" t="s">
        <v>747</v>
      </c>
      <c r="B64" s="1516"/>
      <c r="C64" s="854" t="s">
        <v>814</v>
      </c>
      <c r="D64" s="807">
        <f t="shared" ref="D64:S64" si="21">D123</f>
        <v>36.410630689848283</v>
      </c>
      <c r="E64" s="807">
        <f t="shared" si="21"/>
        <v>37.70183646099396</v>
      </c>
      <c r="F64" s="804">
        <f t="shared" si="21"/>
        <v>43.431192797808698</v>
      </c>
      <c r="G64" s="803">
        <f t="shared" si="21"/>
        <v>50.398363887009126</v>
      </c>
      <c r="H64" s="807">
        <f t="shared" si="21"/>
        <v>40.157119058186296</v>
      </c>
      <c r="I64" s="804">
        <f t="shared" si="21"/>
        <v>47.433250782151759</v>
      </c>
      <c r="J64" s="804">
        <f t="shared" si="21"/>
        <v>58.091866060991585</v>
      </c>
      <c r="K64" s="807">
        <f t="shared" si="21"/>
        <v>42.239960539625386</v>
      </c>
      <c r="L64" s="804">
        <f t="shared" si="21"/>
        <v>50.625155229466365</v>
      </c>
      <c r="M64" s="804">
        <f t="shared" si="21"/>
        <v>60.975406925844005</v>
      </c>
      <c r="N64" s="807">
        <f t="shared" si="21"/>
        <v>48.304994573261368</v>
      </c>
      <c r="O64" s="804">
        <f t="shared" si="21"/>
        <v>59.016957539303554</v>
      </c>
      <c r="P64" s="804">
        <f t="shared" si="21"/>
        <v>70.932024672471201</v>
      </c>
      <c r="Q64" s="807">
        <f t="shared" si="21"/>
        <v>54.595278540393323</v>
      </c>
      <c r="R64" s="804">
        <f t="shared" si="21"/>
        <v>63.632630790546337</v>
      </c>
      <c r="S64" s="855">
        <f t="shared" si="21"/>
        <v>79.735458304091466</v>
      </c>
    </row>
    <row r="65" spans="1:19" s="570" customFormat="1" ht="15" thickBot="1">
      <c r="A65" s="865" t="s">
        <v>747</v>
      </c>
      <c r="B65" s="1517"/>
      <c r="C65" s="856" t="s">
        <v>815</v>
      </c>
      <c r="D65" s="811">
        <f t="shared" ref="D65:S65" si="22">D124</f>
        <v>40.172238704258838</v>
      </c>
      <c r="E65" s="811">
        <f t="shared" si="22"/>
        <v>41.636360574240591</v>
      </c>
      <c r="F65" s="810">
        <f t="shared" si="22"/>
        <v>47.835189102774692</v>
      </c>
      <c r="G65" s="809">
        <f t="shared" si="22"/>
        <v>55.050094613028101</v>
      </c>
      <c r="H65" s="811">
        <f t="shared" si="22"/>
        <v>44.416262729227007</v>
      </c>
      <c r="I65" s="810">
        <f t="shared" si="22"/>
        <v>52.01476569271793</v>
      </c>
      <c r="J65" s="810">
        <f t="shared" si="22"/>
        <v>62.990741086299771</v>
      </c>
      <c r="K65" s="811">
        <f t="shared" si="22"/>
        <v>46.519052709286555</v>
      </c>
      <c r="L65" s="810">
        <f t="shared" si="22"/>
        <v>55.478308574486448</v>
      </c>
      <c r="M65" s="810">
        <f t="shared" si="22"/>
        <v>66.02920791908484</v>
      </c>
      <c r="N65" s="811">
        <f t="shared" si="22"/>
        <v>52.112649862419943</v>
      </c>
      <c r="O65" s="810">
        <f t="shared" si="22"/>
        <v>63.003823456213922</v>
      </c>
      <c r="P65" s="810">
        <f t="shared" si="22"/>
        <v>75.080010591436206</v>
      </c>
      <c r="Q65" s="811">
        <f t="shared" si="22"/>
        <v>58.297800389712407</v>
      </c>
      <c r="R65" s="810">
        <f t="shared" si="22"/>
        <v>67.569730677026456</v>
      </c>
      <c r="S65" s="857">
        <f t="shared" si="22"/>
        <v>82.357810632091073</v>
      </c>
    </row>
    <row r="66" spans="1:19" s="570" customFormat="1" ht="15" thickBot="1">
      <c r="A66" s="940" t="s">
        <v>749</v>
      </c>
      <c r="B66" s="1510" t="s">
        <v>826</v>
      </c>
      <c r="C66" s="941" t="s">
        <v>809</v>
      </c>
      <c r="D66" s="942" t="e">
        <f t="shared" ref="D66:S66" si="23">D128</f>
        <v>#DIV/0!</v>
      </c>
      <c r="E66" s="942" t="e">
        <f t="shared" si="23"/>
        <v>#DIV/0!</v>
      </c>
      <c r="F66" s="943" t="e">
        <f t="shared" si="23"/>
        <v>#DIV/0!</v>
      </c>
      <c r="G66" s="944" t="e">
        <f t="shared" si="23"/>
        <v>#DIV/0!</v>
      </c>
      <c r="H66" s="942" t="e">
        <f t="shared" si="23"/>
        <v>#DIV/0!</v>
      </c>
      <c r="I66" s="943" t="e">
        <f t="shared" si="23"/>
        <v>#DIV/0!</v>
      </c>
      <c r="J66" s="943" t="e">
        <f t="shared" si="23"/>
        <v>#DIV/0!</v>
      </c>
      <c r="K66" s="942" t="e">
        <f t="shared" si="23"/>
        <v>#DIV/0!</v>
      </c>
      <c r="L66" s="943" t="e">
        <f t="shared" si="23"/>
        <v>#DIV/0!</v>
      </c>
      <c r="M66" s="943" t="e">
        <f t="shared" si="23"/>
        <v>#DIV/0!</v>
      </c>
      <c r="N66" s="942" t="e">
        <f t="shared" si="23"/>
        <v>#DIV/0!</v>
      </c>
      <c r="O66" s="943" t="e">
        <f t="shared" si="23"/>
        <v>#DIV/0!</v>
      </c>
      <c r="P66" s="943" t="e">
        <f t="shared" si="23"/>
        <v>#DIV/0!</v>
      </c>
      <c r="Q66" s="942" t="e">
        <f t="shared" si="23"/>
        <v>#DIV/0!</v>
      </c>
      <c r="R66" s="943" t="e">
        <f t="shared" si="23"/>
        <v>#DIV/0!</v>
      </c>
      <c r="S66" s="945" t="e">
        <f t="shared" si="23"/>
        <v>#DIV/0!</v>
      </c>
    </row>
    <row r="67" spans="1:19" s="570" customFormat="1" ht="15" thickBot="1">
      <c r="A67" s="940" t="s">
        <v>749</v>
      </c>
      <c r="B67" s="1511"/>
      <c r="C67" s="946" t="s">
        <v>814</v>
      </c>
      <c r="D67" s="947" t="e">
        <f t="shared" ref="D67:S67" si="24">D129</f>
        <v>#DIV/0!</v>
      </c>
      <c r="E67" s="947" t="e">
        <f t="shared" si="24"/>
        <v>#DIV/0!</v>
      </c>
      <c r="F67" s="948" t="e">
        <f t="shared" si="24"/>
        <v>#DIV/0!</v>
      </c>
      <c r="G67" s="949" t="e">
        <f t="shared" si="24"/>
        <v>#DIV/0!</v>
      </c>
      <c r="H67" s="947" t="e">
        <f t="shared" si="24"/>
        <v>#DIV/0!</v>
      </c>
      <c r="I67" s="948" t="e">
        <f t="shared" si="24"/>
        <v>#DIV/0!</v>
      </c>
      <c r="J67" s="948" t="e">
        <f t="shared" si="24"/>
        <v>#DIV/0!</v>
      </c>
      <c r="K67" s="947" t="e">
        <f t="shared" si="24"/>
        <v>#DIV/0!</v>
      </c>
      <c r="L67" s="948" t="e">
        <f t="shared" si="24"/>
        <v>#DIV/0!</v>
      </c>
      <c r="M67" s="948" t="e">
        <f t="shared" si="24"/>
        <v>#DIV/0!</v>
      </c>
      <c r="N67" s="947" t="e">
        <f t="shared" si="24"/>
        <v>#DIV/0!</v>
      </c>
      <c r="O67" s="948" t="e">
        <f t="shared" si="24"/>
        <v>#DIV/0!</v>
      </c>
      <c r="P67" s="948" t="e">
        <f t="shared" si="24"/>
        <v>#DIV/0!</v>
      </c>
      <c r="Q67" s="947" t="e">
        <f t="shared" si="24"/>
        <v>#DIV/0!</v>
      </c>
      <c r="R67" s="948" t="e">
        <f t="shared" si="24"/>
        <v>#DIV/0!</v>
      </c>
      <c r="S67" s="950" t="e">
        <f t="shared" si="24"/>
        <v>#DIV/0!</v>
      </c>
    </row>
    <row r="68" spans="1:19" s="570" customFormat="1" ht="15" thickBot="1">
      <c r="A68" s="940" t="s">
        <v>749</v>
      </c>
      <c r="B68" s="1512"/>
      <c r="C68" s="951" t="s">
        <v>815</v>
      </c>
      <c r="D68" s="952" t="e">
        <f t="shared" ref="D68:S68" si="25">D130</f>
        <v>#DIV/0!</v>
      </c>
      <c r="E68" s="952" t="e">
        <f t="shared" si="25"/>
        <v>#DIV/0!</v>
      </c>
      <c r="F68" s="953" t="e">
        <f t="shared" si="25"/>
        <v>#DIV/0!</v>
      </c>
      <c r="G68" s="954" t="e">
        <f t="shared" si="25"/>
        <v>#DIV/0!</v>
      </c>
      <c r="H68" s="952" t="e">
        <f t="shared" si="25"/>
        <v>#DIV/0!</v>
      </c>
      <c r="I68" s="953" t="e">
        <f t="shared" si="25"/>
        <v>#DIV/0!</v>
      </c>
      <c r="J68" s="953" t="e">
        <f t="shared" si="25"/>
        <v>#DIV/0!</v>
      </c>
      <c r="K68" s="952" t="e">
        <f t="shared" si="25"/>
        <v>#DIV/0!</v>
      </c>
      <c r="L68" s="953" t="e">
        <f t="shared" si="25"/>
        <v>#DIV/0!</v>
      </c>
      <c r="M68" s="953" t="e">
        <f t="shared" si="25"/>
        <v>#DIV/0!</v>
      </c>
      <c r="N68" s="952" t="e">
        <f t="shared" si="25"/>
        <v>#DIV/0!</v>
      </c>
      <c r="O68" s="953" t="e">
        <f t="shared" si="25"/>
        <v>#DIV/0!</v>
      </c>
      <c r="P68" s="953" t="e">
        <f t="shared" si="25"/>
        <v>#DIV/0!</v>
      </c>
      <c r="Q68" s="952" t="e">
        <f t="shared" si="25"/>
        <v>#DIV/0!</v>
      </c>
      <c r="R68" s="953" t="e">
        <f t="shared" si="25"/>
        <v>#DIV/0!</v>
      </c>
      <c r="S68" s="955" t="e">
        <f t="shared" si="25"/>
        <v>#DIV/0!</v>
      </c>
    </row>
    <row r="69" spans="1:19" s="570" customFormat="1" ht="15" thickBot="1">
      <c r="A69" s="865" t="s">
        <v>754</v>
      </c>
      <c r="B69" s="1515" t="s">
        <v>826</v>
      </c>
      <c r="C69" s="853" t="s">
        <v>809</v>
      </c>
      <c r="D69" s="806">
        <f t="shared" ref="D69:S69" si="26">D134</f>
        <v>48.203693399690529</v>
      </c>
      <c r="E69" s="806">
        <f t="shared" si="26"/>
        <v>49.984863783375104</v>
      </c>
      <c r="F69" s="800">
        <f t="shared" si="26"/>
        <v>57.716831102780468</v>
      </c>
      <c r="G69" s="805">
        <f t="shared" si="26"/>
        <v>64.796769246583295</v>
      </c>
      <c r="H69" s="806">
        <f t="shared" si="26"/>
        <v>53.843713721278739</v>
      </c>
      <c r="I69" s="800">
        <f t="shared" si="26"/>
        <v>61.905731601834624</v>
      </c>
      <c r="J69" s="800">
        <f t="shared" si="26"/>
        <v>70.333540033326031</v>
      </c>
      <c r="K69" s="806">
        <f t="shared" si="26"/>
        <v>59.908613323386547</v>
      </c>
      <c r="L69" s="800">
        <f t="shared" si="26"/>
        <v>66.091755242291143</v>
      </c>
      <c r="M69" s="800">
        <f t="shared" si="26"/>
        <v>73.829131060718254</v>
      </c>
      <c r="N69" s="806">
        <f t="shared" si="26"/>
        <v>63.397163023664142</v>
      </c>
      <c r="O69" s="800">
        <f t="shared" si="26"/>
        <v>71.465479385796115</v>
      </c>
      <c r="P69" s="800">
        <f t="shared" si="26"/>
        <v>80.91027275294546</v>
      </c>
      <c r="Q69" s="806">
        <f t="shared" si="26"/>
        <v>71.305863699784382</v>
      </c>
      <c r="R69" s="800">
        <f t="shared" si="26"/>
        <v>78.054771509404574</v>
      </c>
      <c r="S69" s="801">
        <f t="shared" si="26"/>
        <v>90.446777209276036</v>
      </c>
    </row>
    <row r="70" spans="1:19" s="570" customFormat="1" ht="15" thickBot="1">
      <c r="A70" s="865" t="s">
        <v>754</v>
      </c>
      <c r="B70" s="1516"/>
      <c r="C70" s="854" t="s">
        <v>814</v>
      </c>
      <c r="D70" s="807">
        <f t="shared" ref="D70:S70" si="27">D135</f>
        <v>42.160665334612567</v>
      </c>
      <c r="E70" s="807">
        <f t="shared" si="27"/>
        <v>43.804080628203977</v>
      </c>
      <c r="F70" s="804">
        <f t="shared" si="27"/>
        <v>51.12210430041489</v>
      </c>
      <c r="G70" s="803">
        <f t="shared" si="27"/>
        <v>58.064990809086801</v>
      </c>
      <c r="H70" s="807">
        <f t="shared" si="27"/>
        <v>47.437387091522034</v>
      </c>
      <c r="I70" s="804">
        <f t="shared" si="27"/>
        <v>55.211201854679182</v>
      </c>
      <c r="J70" s="804">
        <f t="shared" si="27"/>
        <v>63.712778566576851</v>
      </c>
      <c r="K70" s="807">
        <f t="shared" si="27"/>
        <v>47.969010410135319</v>
      </c>
      <c r="L70" s="804">
        <f t="shared" si="27"/>
        <v>59.432723248292078</v>
      </c>
      <c r="M70" s="804">
        <f t="shared" si="27"/>
        <v>66.697123378495732</v>
      </c>
      <c r="N70" s="807">
        <f t="shared" si="27"/>
        <v>58.705636287182514</v>
      </c>
      <c r="O70" s="804">
        <f t="shared" si="27"/>
        <v>66.715499642709219</v>
      </c>
      <c r="P70" s="804">
        <f t="shared" si="27"/>
        <v>75.985703542898094</v>
      </c>
      <c r="Q70" s="807">
        <f t="shared" si="27"/>
        <v>67.840624571114745</v>
      </c>
      <c r="R70" s="804">
        <f t="shared" si="27"/>
        <v>73.769096961631305</v>
      </c>
      <c r="S70" s="855">
        <f t="shared" si="27"/>
        <v>88.219809968748493</v>
      </c>
    </row>
    <row r="71" spans="1:19" s="570" customFormat="1" ht="15" thickBot="1">
      <c r="A71" s="865" t="s">
        <v>754</v>
      </c>
      <c r="B71" s="1517"/>
      <c r="C71" s="856" t="s">
        <v>815</v>
      </c>
      <c r="D71" s="811">
        <f t="shared" ref="D71:S71" si="28">D136</f>
        <v>45.28294382863232</v>
      </c>
      <c r="E71" s="811">
        <f t="shared" si="28"/>
        <v>47.000550603431613</v>
      </c>
      <c r="F71" s="810">
        <f t="shared" si="28"/>
        <v>54.550203620110409</v>
      </c>
      <c r="G71" s="809">
        <f t="shared" si="28"/>
        <v>61.583885215002084</v>
      </c>
      <c r="H71" s="811">
        <f t="shared" si="28"/>
        <v>50.759006534804847</v>
      </c>
      <c r="I71" s="810">
        <f t="shared" si="28"/>
        <v>58.702684322392507</v>
      </c>
      <c r="J71" s="810">
        <f t="shared" si="28"/>
        <v>67.191523969079199</v>
      </c>
      <c r="K71" s="811">
        <f t="shared" si="28"/>
        <v>53.874357206028222</v>
      </c>
      <c r="L71" s="810">
        <f t="shared" si="28"/>
        <v>62.919394829684826</v>
      </c>
      <c r="M71" s="810">
        <f t="shared" si="28"/>
        <v>70.439641134961093</v>
      </c>
      <c r="N71" s="811">
        <f t="shared" si="28"/>
        <v>61.19640242650155</v>
      </c>
      <c r="O71" s="810">
        <f t="shared" si="28"/>
        <v>69.246885689774786</v>
      </c>
      <c r="P71" s="810">
        <f t="shared" si="28"/>
        <v>78.61746364218186</v>
      </c>
      <c r="Q71" s="811">
        <f t="shared" si="28"/>
        <v>69.703682581618992</v>
      </c>
      <c r="R71" s="810">
        <f t="shared" si="28"/>
        <v>76.066165450893081</v>
      </c>
      <c r="S71" s="857">
        <f t="shared" si="28"/>
        <v>89.430884715509336</v>
      </c>
    </row>
    <row r="72" spans="1:19" s="570" customFormat="1" ht="15" thickBot="1">
      <c r="A72" s="940" t="s">
        <v>758</v>
      </c>
      <c r="B72" s="1510" t="s">
        <v>826</v>
      </c>
      <c r="C72" s="941" t="s">
        <v>809</v>
      </c>
      <c r="D72" s="942">
        <f t="shared" ref="D72:S72" si="29">D140</f>
        <v>56.927000742769373</v>
      </c>
      <c r="E72" s="942">
        <f t="shared" si="29"/>
        <v>59.435904769719741</v>
      </c>
      <c r="F72" s="943">
        <f t="shared" si="29"/>
        <v>65.768002353432294</v>
      </c>
      <c r="G72" s="944">
        <f t="shared" si="29"/>
        <v>73.172696718099075</v>
      </c>
      <c r="H72" s="942">
        <f t="shared" si="29"/>
        <v>65.060035554538473</v>
      </c>
      <c r="I72" s="943">
        <f t="shared" si="29"/>
        <v>73.907264883502293</v>
      </c>
      <c r="J72" s="943">
        <f t="shared" si="29"/>
        <v>82.338671133180611</v>
      </c>
      <c r="K72" s="942">
        <f t="shared" si="29"/>
        <v>67.54309915644059</v>
      </c>
      <c r="L72" s="943">
        <f t="shared" si="29"/>
        <v>77.568669397299033</v>
      </c>
      <c r="M72" s="943">
        <f t="shared" si="29"/>
        <v>86.713876555671334</v>
      </c>
      <c r="N72" s="942">
        <f t="shared" si="29"/>
        <v>73.755832981531356</v>
      </c>
      <c r="O72" s="943">
        <f t="shared" si="29"/>
        <v>85.115424136034832</v>
      </c>
      <c r="P72" s="943">
        <f t="shared" si="29"/>
        <v>96.754003520240303</v>
      </c>
      <c r="Q72" s="942">
        <f t="shared" si="29"/>
        <v>80.473130764062972</v>
      </c>
      <c r="R72" s="943">
        <f t="shared" si="29"/>
        <v>91.740836015966451</v>
      </c>
      <c r="S72" s="945">
        <f t="shared" si="29"/>
        <v>105.26959960707509</v>
      </c>
    </row>
    <row r="73" spans="1:19" s="570" customFormat="1" ht="15" thickBot="1">
      <c r="A73" s="940" t="s">
        <v>758</v>
      </c>
      <c r="B73" s="1511"/>
      <c r="C73" s="946" t="s">
        <v>814</v>
      </c>
      <c r="D73" s="947">
        <f t="shared" ref="D73:S73" si="30">D141</f>
        <v>57.504991561831467</v>
      </c>
      <c r="E73" s="947">
        <f t="shared" si="30"/>
        <v>59.27615729757359</v>
      </c>
      <c r="F73" s="948">
        <f t="shared" si="30"/>
        <v>65.727858593796938</v>
      </c>
      <c r="G73" s="949">
        <f t="shared" si="30"/>
        <v>74.098657290448912</v>
      </c>
      <c r="H73" s="947">
        <f t="shared" si="30"/>
        <v>64.577005995647511</v>
      </c>
      <c r="I73" s="948">
        <f t="shared" si="30"/>
        <v>73.870996596263581</v>
      </c>
      <c r="J73" s="948">
        <f t="shared" si="30"/>
        <v>83.32707426952517</v>
      </c>
      <c r="K73" s="947">
        <f t="shared" si="30"/>
        <v>66.782870524826095</v>
      </c>
      <c r="L73" s="948">
        <f t="shared" si="30"/>
        <v>76.871701077776308</v>
      </c>
      <c r="M73" s="948">
        <f t="shared" si="30"/>
        <v>86.887065984426982</v>
      </c>
      <c r="N73" s="947">
        <f t="shared" si="30"/>
        <v>76.33087550351128</v>
      </c>
      <c r="O73" s="948">
        <f t="shared" si="30"/>
        <v>88.729605881475493</v>
      </c>
      <c r="P73" s="948">
        <f t="shared" si="30"/>
        <v>102.31351694595141</v>
      </c>
      <c r="Q73" s="947">
        <f t="shared" si="30"/>
        <v>84.088697848590172</v>
      </c>
      <c r="R73" s="948">
        <f t="shared" si="30"/>
        <v>96.296781888845516</v>
      </c>
      <c r="S73" s="950">
        <f t="shared" si="30"/>
        <v>115.92442743456651</v>
      </c>
    </row>
    <row r="74" spans="1:19" s="570" customFormat="1" ht="15" thickBot="1">
      <c r="A74" s="940" t="s">
        <v>758</v>
      </c>
      <c r="B74" s="1512"/>
      <c r="C74" s="951" t="s">
        <v>815</v>
      </c>
      <c r="D74" s="952">
        <f t="shared" ref="D74:S74" si="31">D142</f>
        <v>57.1856522351761</v>
      </c>
      <c r="E74" s="952">
        <f t="shared" si="31"/>
        <v>59.363911983938422</v>
      </c>
      <c r="F74" s="953">
        <f t="shared" si="31"/>
        <v>65.74993159503687</v>
      </c>
      <c r="G74" s="954">
        <f t="shared" si="31"/>
        <v>73.586498932907389</v>
      </c>
      <c r="H74" s="952">
        <f t="shared" si="31"/>
        <v>64.841781032157854</v>
      </c>
      <c r="I74" s="953">
        <f t="shared" si="31"/>
        <v>73.890939748093643</v>
      </c>
      <c r="J74" s="953">
        <f t="shared" si="31"/>
        <v>82.780535240612878</v>
      </c>
      <c r="K74" s="952">
        <f t="shared" si="31"/>
        <v>67.198865291494272</v>
      </c>
      <c r="L74" s="953">
        <f t="shared" si="31"/>
        <v>77.253476015723265</v>
      </c>
      <c r="M74" s="953">
        <f t="shared" si="31"/>
        <v>86.791726281592034</v>
      </c>
      <c r="N74" s="952">
        <f t="shared" si="31"/>
        <v>74.892770429553281</v>
      </c>
      <c r="O74" s="953">
        <f t="shared" si="31"/>
        <v>86.704689940053058</v>
      </c>
      <c r="P74" s="953">
        <f t="shared" si="31"/>
        <v>99.179142503243483</v>
      </c>
      <c r="Q74" s="952">
        <f t="shared" si="31"/>
        <v>82.060900757939919</v>
      </c>
      <c r="R74" s="953">
        <f t="shared" si="31"/>
        <v>93.736502862140227</v>
      </c>
      <c r="S74" s="955">
        <f t="shared" si="31"/>
        <v>109.81143682318205</v>
      </c>
    </row>
    <row r="75" spans="1:19" s="570" customFormat="1" ht="15" thickBot="1">
      <c r="A75" s="865" t="s">
        <v>769</v>
      </c>
      <c r="B75" s="1515" t="s">
        <v>826</v>
      </c>
      <c r="C75" s="853" t="s">
        <v>809</v>
      </c>
      <c r="D75" s="806">
        <f t="shared" ref="D75:S75" si="32">D146</f>
        <v>37.505094491572336</v>
      </c>
      <c r="E75" s="806">
        <f t="shared" si="32"/>
        <v>42.934593841911529</v>
      </c>
      <c r="F75" s="800">
        <f t="shared" si="32"/>
        <v>48.893977078110453</v>
      </c>
      <c r="G75" s="805">
        <f t="shared" si="32"/>
        <v>55.241125219419885</v>
      </c>
      <c r="H75" s="806">
        <f t="shared" si="32"/>
        <v>46.293857351793974</v>
      </c>
      <c r="I75" s="800">
        <f t="shared" si="32"/>
        <v>55.326528170368384</v>
      </c>
      <c r="J75" s="800">
        <f t="shared" si="32"/>
        <v>61.38103035588081</v>
      </c>
      <c r="K75" s="806">
        <f t="shared" si="32"/>
        <v>49.604402229137314</v>
      </c>
      <c r="L75" s="800">
        <f t="shared" si="32"/>
        <v>58.623698522199689</v>
      </c>
      <c r="M75" s="800">
        <f t="shared" si="32"/>
        <v>65.862084794440435</v>
      </c>
      <c r="N75" s="806">
        <f t="shared" si="32"/>
        <v>55.627821481284194</v>
      </c>
      <c r="O75" s="800">
        <f t="shared" si="32"/>
        <v>64.061867436813898</v>
      </c>
      <c r="P75" s="800">
        <f t="shared" si="32"/>
        <v>74.404138833695384</v>
      </c>
      <c r="Q75" s="806">
        <f t="shared" si="32"/>
        <v>62.013638607156778</v>
      </c>
      <c r="R75" s="800">
        <f t="shared" si="32"/>
        <v>70.905875778298807</v>
      </c>
      <c r="S75" s="801">
        <f t="shared" si="32"/>
        <v>82.4202664465125</v>
      </c>
    </row>
    <row r="76" spans="1:19" s="570" customFormat="1" ht="15" thickBot="1">
      <c r="A76" s="865" t="s">
        <v>769</v>
      </c>
      <c r="B76" s="1516"/>
      <c r="C76" s="854" t="s">
        <v>814</v>
      </c>
      <c r="D76" s="807">
        <f t="shared" ref="D76:S76" si="33">D147</f>
        <v>32.389338437297077</v>
      </c>
      <c r="E76" s="807">
        <f t="shared" si="33"/>
        <v>37.34971915716266</v>
      </c>
      <c r="F76" s="804">
        <f t="shared" si="33"/>
        <v>42.963638940984659</v>
      </c>
      <c r="G76" s="803">
        <f t="shared" si="33"/>
        <v>49.300888207903164</v>
      </c>
      <c r="H76" s="807">
        <f t="shared" si="33"/>
        <v>40.562287968264798</v>
      </c>
      <c r="I76" s="804">
        <f t="shared" si="33"/>
        <v>49.010390396672662</v>
      </c>
      <c r="J76" s="804">
        <f t="shared" si="33"/>
        <v>55.154131263346244</v>
      </c>
      <c r="K76" s="807">
        <f t="shared" si="33"/>
        <v>43.751613554482979</v>
      </c>
      <c r="L76" s="804">
        <f t="shared" si="33"/>
        <v>52.089848011254283</v>
      </c>
      <c r="M76" s="804">
        <f t="shared" si="33"/>
        <v>59.019230034442671</v>
      </c>
      <c r="N76" s="807">
        <f t="shared" si="33"/>
        <v>51.199112624186675</v>
      </c>
      <c r="O76" s="804">
        <f t="shared" si="33"/>
        <v>59.520368101773428</v>
      </c>
      <c r="P76" s="804">
        <f t="shared" si="33"/>
        <v>69.132217570162751</v>
      </c>
      <c r="Q76" s="807">
        <f t="shared" si="33"/>
        <v>58.259826723020886</v>
      </c>
      <c r="R76" s="804">
        <f t="shared" si="33"/>
        <v>66.310985321045052</v>
      </c>
      <c r="S76" s="855">
        <f t="shared" si="33"/>
        <v>79.379779324213473</v>
      </c>
    </row>
    <row r="77" spans="1:19" s="570" customFormat="1" ht="15" thickBot="1">
      <c r="A77" s="865" t="s">
        <v>769</v>
      </c>
      <c r="B77" s="1517"/>
      <c r="C77" s="856" t="s">
        <v>815</v>
      </c>
      <c r="D77" s="811">
        <f t="shared" ref="D77:S77" si="34">D148</f>
        <v>35.016292077666243</v>
      </c>
      <c r="E77" s="811">
        <f t="shared" si="34"/>
        <v>40.22774330525484</v>
      </c>
      <c r="F77" s="810">
        <f t="shared" si="34"/>
        <v>46.034576104131361</v>
      </c>
      <c r="G77" s="809">
        <f t="shared" si="34"/>
        <v>52.399984763451556</v>
      </c>
      <c r="H77" s="811">
        <f t="shared" si="34"/>
        <v>43.526187682747825</v>
      </c>
      <c r="I77" s="810">
        <f t="shared" si="34"/>
        <v>52.293848427941192</v>
      </c>
      <c r="J77" s="810">
        <f t="shared" si="34"/>
        <v>58.413341642793988</v>
      </c>
      <c r="K77" s="811">
        <f t="shared" si="34"/>
        <v>46.787871026438374</v>
      </c>
      <c r="L77" s="810">
        <f t="shared" si="34"/>
        <v>55.491460393112803</v>
      </c>
      <c r="M77" s="810">
        <f t="shared" si="34"/>
        <v>62.596175661923041</v>
      </c>
      <c r="N77" s="811">
        <f t="shared" si="34"/>
        <v>53.543641986582422</v>
      </c>
      <c r="O77" s="810">
        <f t="shared" si="34"/>
        <v>61.935275163065782</v>
      </c>
      <c r="P77" s="810">
        <f t="shared" si="34"/>
        <v>71.935573359346236</v>
      </c>
      <c r="Q77" s="811">
        <f t="shared" si="34"/>
        <v>60.26624804855426</v>
      </c>
      <c r="R77" s="810">
        <f t="shared" si="34"/>
        <v>68.761755469638089</v>
      </c>
      <c r="S77" s="857">
        <f t="shared" si="34"/>
        <v>81.02371181370215</v>
      </c>
    </row>
    <row r="78" spans="1:19" s="570" customFormat="1">
      <c r="A78" s="548"/>
      <c r="B78" s="571"/>
    </row>
    <row r="79" spans="1:19" ht="14.4" thickBot="1">
      <c r="A79" s="868"/>
      <c r="B79" s="868"/>
      <c r="C79" s="687"/>
    </row>
    <row r="80" spans="1:19" ht="15" thickBot="1">
      <c r="A80" s="869"/>
      <c r="B80" s="869"/>
      <c r="C80" s="688"/>
      <c r="D80" s="1521" t="s">
        <v>727</v>
      </c>
      <c r="E80" s="1522"/>
      <c r="F80" s="1522"/>
      <c r="G80" s="1522"/>
      <c r="H80" s="1522"/>
      <c r="I80" s="1522"/>
      <c r="J80" s="1522"/>
      <c r="K80" s="1522"/>
      <c r="L80" s="1522"/>
      <c r="M80" s="1522"/>
      <c r="N80" s="1522"/>
      <c r="O80" s="1522"/>
      <c r="P80" s="1522"/>
      <c r="Q80" s="1522"/>
      <c r="R80" s="1522"/>
      <c r="S80" s="1523"/>
    </row>
    <row r="81" spans="1:19" ht="15" thickBot="1">
      <c r="A81" s="690"/>
      <c r="B81" s="755" t="s">
        <v>807</v>
      </c>
      <c r="C81" s="756">
        <v>0.55000000000000004</v>
      </c>
      <c r="D81" s="691">
        <v>2010</v>
      </c>
      <c r="E81" s="744">
        <v>2015</v>
      </c>
      <c r="F81" s="931">
        <v>2015</v>
      </c>
      <c r="G81" s="931">
        <v>2015</v>
      </c>
      <c r="H81" s="744">
        <v>2020</v>
      </c>
      <c r="I81" s="744">
        <v>2020</v>
      </c>
      <c r="J81" s="744">
        <v>2020</v>
      </c>
      <c r="K81" s="744">
        <v>2025</v>
      </c>
      <c r="L81" s="744">
        <v>2025</v>
      </c>
      <c r="M81" s="744">
        <v>2025</v>
      </c>
      <c r="N81" s="744">
        <v>2030</v>
      </c>
      <c r="O81" s="744">
        <v>2030</v>
      </c>
      <c r="P81" s="744">
        <v>2030</v>
      </c>
      <c r="Q81" s="744">
        <v>2045</v>
      </c>
      <c r="R81" s="744">
        <v>2045</v>
      </c>
      <c r="S81" s="744">
        <v>2045</v>
      </c>
    </row>
    <row r="82" spans="1:19" ht="15" thickBot="1">
      <c r="A82" s="688"/>
      <c r="B82" s="757" t="s">
        <v>808</v>
      </c>
      <c r="C82" s="756">
        <v>0.7</v>
      </c>
      <c r="D82" s="926" t="s">
        <v>96</v>
      </c>
      <c r="E82" s="696" t="s">
        <v>734</v>
      </c>
      <c r="F82" s="697" t="s">
        <v>735</v>
      </c>
      <c r="G82" s="698" t="s">
        <v>736</v>
      </c>
      <c r="H82" s="696" t="s">
        <v>734</v>
      </c>
      <c r="I82" s="697" t="s">
        <v>735</v>
      </c>
      <c r="J82" s="698" t="s">
        <v>736</v>
      </c>
      <c r="K82" s="696" t="s">
        <v>734</v>
      </c>
      <c r="L82" s="697" t="s">
        <v>735</v>
      </c>
      <c r="M82" s="698" t="s">
        <v>736</v>
      </c>
      <c r="N82" s="696" t="s">
        <v>734</v>
      </c>
      <c r="O82" s="697" t="s">
        <v>735</v>
      </c>
      <c r="P82" s="698" t="s">
        <v>736</v>
      </c>
      <c r="Q82" s="696" t="s">
        <v>734</v>
      </c>
      <c r="R82" s="697" t="s">
        <v>735</v>
      </c>
      <c r="S82" s="698" t="s">
        <v>736</v>
      </c>
    </row>
    <row r="83" spans="1:19" ht="15" thickBot="1">
      <c r="A83" s="865" t="s">
        <v>737</v>
      </c>
      <c r="B83" s="1515" t="s">
        <v>825</v>
      </c>
      <c r="C83" s="853" t="s">
        <v>809</v>
      </c>
      <c r="D83" s="806">
        <v>32.340000000000003</v>
      </c>
      <c r="E83" s="806">
        <v>35.51</v>
      </c>
      <c r="F83" s="800">
        <v>40.29</v>
      </c>
      <c r="G83" s="805">
        <v>43.69</v>
      </c>
      <c r="H83" s="806">
        <v>38.22</v>
      </c>
      <c r="I83" s="800">
        <v>46.8</v>
      </c>
      <c r="J83" s="800">
        <v>52.06</v>
      </c>
      <c r="K83" s="806">
        <v>39.14</v>
      </c>
      <c r="L83" s="800">
        <v>48.53</v>
      </c>
      <c r="M83" s="800">
        <v>54.46</v>
      </c>
      <c r="N83" s="806">
        <v>44.86</v>
      </c>
      <c r="O83" s="800">
        <v>53.06</v>
      </c>
      <c r="P83" s="800">
        <v>59.85</v>
      </c>
      <c r="Q83" s="806">
        <v>46.82</v>
      </c>
      <c r="R83" s="800">
        <v>56.75</v>
      </c>
      <c r="S83" s="801">
        <v>64.98</v>
      </c>
    </row>
    <row r="84" spans="1:19" ht="15" thickBot="1">
      <c r="A84" s="865" t="s">
        <v>737</v>
      </c>
      <c r="B84" s="1516"/>
      <c r="C84" s="854" t="s">
        <v>814</v>
      </c>
      <c r="D84" s="958">
        <v>45</v>
      </c>
      <c r="E84" s="958">
        <v>48.6</v>
      </c>
      <c r="F84" s="804">
        <v>55.27</v>
      </c>
      <c r="G84" s="803">
        <v>60.66</v>
      </c>
      <c r="H84" s="958">
        <v>51.78</v>
      </c>
      <c r="I84" s="804">
        <v>63.1</v>
      </c>
      <c r="J84" s="804">
        <v>73.290000000000006</v>
      </c>
      <c r="K84" s="958">
        <v>52.81</v>
      </c>
      <c r="L84" s="804">
        <v>64.88</v>
      </c>
      <c r="M84" s="804">
        <v>75.790000000000006</v>
      </c>
      <c r="N84" s="958">
        <v>62.52</v>
      </c>
      <c r="O84" s="804">
        <v>74.040000000000006</v>
      </c>
      <c r="P84" s="804">
        <v>83.47</v>
      </c>
      <c r="Q84" s="958">
        <v>63.48</v>
      </c>
      <c r="R84" s="804">
        <v>78.41</v>
      </c>
      <c r="S84" s="855">
        <v>92.75</v>
      </c>
    </row>
    <row r="85" spans="1:19" ht="15" thickBot="1">
      <c r="A85" s="865" t="s">
        <v>737</v>
      </c>
      <c r="B85" s="1517"/>
      <c r="C85" s="856" t="s">
        <v>815</v>
      </c>
      <c r="D85" s="810">
        <f t="shared" ref="D85:S85" si="35">1/(0.55/D83+0.45/D84)</f>
        <v>37.02770780856423</v>
      </c>
      <c r="E85" s="810">
        <f t="shared" si="35"/>
        <v>40.407543989042246</v>
      </c>
      <c r="F85" s="810">
        <f t="shared" si="35"/>
        <v>45.886548249500301</v>
      </c>
      <c r="G85" s="809">
        <f t="shared" si="35"/>
        <v>49.982279555291512</v>
      </c>
      <c r="H85" s="811">
        <f t="shared" si="35"/>
        <v>43.325706029160642</v>
      </c>
      <c r="I85" s="810">
        <f t="shared" si="35"/>
        <v>52.955796646642156</v>
      </c>
      <c r="J85" s="810">
        <f t="shared" si="35"/>
        <v>59.863302817067137</v>
      </c>
      <c r="K85" s="810">
        <f t="shared" si="35"/>
        <v>44.300253973016702</v>
      </c>
      <c r="L85" s="810">
        <f t="shared" si="35"/>
        <v>54.737301056108471</v>
      </c>
      <c r="M85" s="810">
        <f t="shared" si="35"/>
        <v>62.357302674814733</v>
      </c>
      <c r="N85" s="811">
        <f t="shared" si="35"/>
        <v>51.392578747732394</v>
      </c>
      <c r="O85" s="810">
        <f t="shared" si="35"/>
        <v>60.814600845214329</v>
      </c>
      <c r="P85" s="810">
        <f t="shared" si="35"/>
        <v>68.583345917821006</v>
      </c>
      <c r="Q85" s="811">
        <f t="shared" si="35"/>
        <v>53.089930871871815</v>
      </c>
      <c r="R85" s="810">
        <f t="shared" si="35"/>
        <v>64.805899829602552</v>
      </c>
      <c r="S85" s="857">
        <f t="shared" si="35"/>
        <v>75.098220015326433</v>
      </c>
    </row>
    <row r="86" spans="1:19" ht="15" thickBot="1">
      <c r="A86" s="865" t="s">
        <v>737</v>
      </c>
      <c r="B86" s="865" t="s">
        <v>826</v>
      </c>
      <c r="C86" s="853" t="s">
        <v>809</v>
      </c>
      <c r="D86" s="800">
        <f>MAX(1/(0.003259+1.1805/D83),$C$5*D83)</f>
        <v>25.14977765776808</v>
      </c>
      <c r="E86" s="800">
        <f>MAX(1/(0.003259+1.1805/E83),$C$5*E83)</f>
        <v>27.394891122048683</v>
      </c>
      <c r="F86" s="800">
        <f t="shared" ref="F86:S86" si="36">MAX(1/(0.003259+1.1805/F83),$C$5*F83)</f>
        <v>30.71340376163041</v>
      </c>
      <c r="G86" s="805">
        <f t="shared" si="36"/>
        <v>33.026284636486089</v>
      </c>
      <c r="H86" s="806">
        <f t="shared" si="36"/>
        <v>29.286032727808205</v>
      </c>
      <c r="I86" s="800">
        <f t="shared" si="36"/>
        <v>35.108218834029039</v>
      </c>
      <c r="J86" s="800">
        <f t="shared" si="36"/>
        <v>38.558291982910454</v>
      </c>
      <c r="K86" s="800">
        <f t="shared" si="36"/>
        <v>29.922237502049409</v>
      </c>
      <c r="L86" s="800">
        <f t="shared" si="36"/>
        <v>36.252690350398119</v>
      </c>
      <c r="M86" s="800">
        <f t="shared" si="36"/>
        <v>40.103531618910054</v>
      </c>
      <c r="N86" s="806">
        <f t="shared" si="36"/>
        <v>33.813252886634984</v>
      </c>
      <c r="O86" s="800">
        <f t="shared" si="36"/>
        <v>39.204312350228776</v>
      </c>
      <c r="P86" s="800">
        <f t="shared" si="36"/>
        <v>43.509832404269368</v>
      </c>
      <c r="Q86" s="806">
        <f t="shared" si="36"/>
        <v>35.121505029554044</v>
      </c>
      <c r="R86" s="800">
        <f t="shared" si="36"/>
        <v>41.56144328428411</v>
      </c>
      <c r="S86" s="801">
        <f t="shared" si="36"/>
        <v>46.671987761682573</v>
      </c>
    </row>
    <row r="87" spans="1:19" ht="15" thickBot="1">
      <c r="A87" s="865" t="s">
        <v>737</v>
      </c>
      <c r="B87" s="865" t="s">
        <v>826</v>
      </c>
      <c r="C87" s="854" t="s">
        <v>814</v>
      </c>
      <c r="D87" s="804">
        <f t="shared" ref="D87:S87" si="37">MAX(1/(0.001376+1.3466/D84),$C$5*D84)</f>
        <v>31.948428137335643</v>
      </c>
      <c r="E87" s="804">
        <f t="shared" si="37"/>
        <v>34.383380064544539</v>
      </c>
      <c r="F87" s="804">
        <f t="shared" si="37"/>
        <v>38.849991879951041</v>
      </c>
      <c r="G87" s="803">
        <f t="shared" si="37"/>
        <v>42.417558614828543</v>
      </c>
      <c r="H87" s="958">
        <f t="shared" si="37"/>
        <v>36.520101769914504</v>
      </c>
      <c r="I87" s="804">
        <f t="shared" si="37"/>
        <v>44.020422127245389</v>
      </c>
      <c r="J87" s="804">
        <f t="shared" si="37"/>
        <v>50.633976908751016</v>
      </c>
      <c r="K87" s="804">
        <f t="shared" si="37"/>
        <v>37.209359741414609</v>
      </c>
      <c r="L87" s="804">
        <f t="shared" si="37"/>
        <v>45.18499550601512</v>
      </c>
      <c r="M87" s="804">
        <f t="shared" si="37"/>
        <v>52.237009436654702</v>
      </c>
      <c r="N87" s="958">
        <f t="shared" si="37"/>
        <v>43.640094251435293</v>
      </c>
      <c r="O87" s="804">
        <f t="shared" si="37"/>
        <v>51.115686147588306</v>
      </c>
      <c r="P87" s="804">
        <f t="shared" si="37"/>
        <v>57.114325102046266</v>
      </c>
      <c r="Q87" s="958">
        <f t="shared" si="37"/>
        <v>44.269372913593102</v>
      </c>
      <c r="R87" s="804">
        <f t="shared" si="37"/>
        <v>53.908850220272079</v>
      </c>
      <c r="S87" s="855">
        <f t="shared" si="37"/>
        <v>62.914455333789171</v>
      </c>
    </row>
    <row r="88" spans="1:19" ht="15" thickBot="1">
      <c r="A88" s="865" t="s">
        <v>737</v>
      </c>
      <c r="B88" s="865" t="s">
        <v>826</v>
      </c>
      <c r="C88" s="856" t="s">
        <v>815</v>
      </c>
      <c r="D88" s="810">
        <f t="shared" ref="D88:S88" si="38">1/(0.55/D86+0.45/D87)</f>
        <v>27.813177298759815</v>
      </c>
      <c r="E88" s="810">
        <f t="shared" si="38"/>
        <v>30.152764789971105</v>
      </c>
      <c r="F88" s="810">
        <f t="shared" si="38"/>
        <v>33.909219304847568</v>
      </c>
      <c r="G88" s="809">
        <f t="shared" si="38"/>
        <v>36.680803390926243</v>
      </c>
      <c r="H88" s="811">
        <f t="shared" si="38"/>
        <v>32.151999641636557</v>
      </c>
      <c r="I88" s="810">
        <f t="shared" si="38"/>
        <v>38.627375461129169</v>
      </c>
      <c r="J88" s="810">
        <f t="shared" si="38"/>
        <v>43.193875617387249</v>
      </c>
      <c r="K88" s="810">
        <f t="shared" si="38"/>
        <v>32.814094371811393</v>
      </c>
      <c r="L88" s="810">
        <f t="shared" si="38"/>
        <v>39.79252807445468</v>
      </c>
      <c r="M88" s="810">
        <f t="shared" si="38"/>
        <v>44.784638792782559</v>
      </c>
      <c r="N88" s="811">
        <f t="shared" si="38"/>
        <v>37.625910412403826</v>
      </c>
      <c r="O88" s="810">
        <f t="shared" si="38"/>
        <v>43.796971953396302</v>
      </c>
      <c r="P88" s="810">
        <f t="shared" si="38"/>
        <v>48.733525413866992</v>
      </c>
      <c r="Q88" s="811">
        <f t="shared" si="38"/>
        <v>38.722224855181359</v>
      </c>
      <c r="R88" s="810">
        <f t="shared" si="38"/>
        <v>46.337393694723524</v>
      </c>
      <c r="S88" s="857">
        <f t="shared" si="38"/>
        <v>52.806842458422324</v>
      </c>
    </row>
    <row r="89" spans="1:19" ht="14.4">
      <c r="A89" s="1518" t="s">
        <v>741</v>
      </c>
      <c r="B89" s="1518" t="s">
        <v>825</v>
      </c>
      <c r="C89" s="858" t="s">
        <v>809</v>
      </c>
      <c r="D89" s="829">
        <v>39.660599999999995</v>
      </c>
      <c r="E89" s="829">
        <v>40.9542</v>
      </c>
      <c r="F89" s="818">
        <v>44.619300000000003</v>
      </c>
      <c r="G89" s="859">
        <v>48.008749999999999</v>
      </c>
      <c r="H89" s="829">
        <v>42.108750000000001</v>
      </c>
      <c r="I89" s="818">
        <v>51.877975000000006</v>
      </c>
      <c r="J89" s="818">
        <v>59.709949999999999</v>
      </c>
      <c r="K89" s="829">
        <v>44.167400000000001</v>
      </c>
      <c r="L89" s="818">
        <v>54.637124999999997</v>
      </c>
      <c r="M89" s="818">
        <v>62.038249999999998</v>
      </c>
      <c r="N89" s="829">
        <v>52.3429</v>
      </c>
      <c r="O89" s="818">
        <v>63.123000000000005</v>
      </c>
      <c r="P89" s="818">
        <v>70.605199999999996</v>
      </c>
      <c r="Q89" s="829">
        <v>56.568550000000002</v>
      </c>
      <c r="R89" s="818">
        <v>66.20967499999999</v>
      </c>
      <c r="S89" s="819">
        <v>74.883700000000005</v>
      </c>
    </row>
    <row r="90" spans="1:19" ht="14.4">
      <c r="A90" s="1519"/>
      <c r="B90" s="1519"/>
      <c r="C90" s="860" t="s">
        <v>814</v>
      </c>
      <c r="D90" s="959">
        <v>54.262599999999999</v>
      </c>
      <c r="E90" s="959">
        <v>55.487599999999993</v>
      </c>
      <c r="F90" s="825">
        <v>60.904800000000002</v>
      </c>
      <c r="G90" s="824">
        <v>66.167500000000004</v>
      </c>
      <c r="H90" s="959">
        <v>56.716299999999997</v>
      </c>
      <c r="I90" s="825">
        <v>69.048225000000002</v>
      </c>
      <c r="J90" s="825">
        <v>81.59</v>
      </c>
      <c r="K90" s="959">
        <v>58.577950000000001</v>
      </c>
      <c r="L90" s="825">
        <v>71.797450000000012</v>
      </c>
      <c r="M90" s="825">
        <v>83.639700000000005</v>
      </c>
      <c r="N90" s="959">
        <v>71.235199999999992</v>
      </c>
      <c r="O90" s="825">
        <v>82.278250000000014</v>
      </c>
      <c r="P90" s="825">
        <v>92.813599999999994</v>
      </c>
      <c r="Q90" s="959">
        <v>72.358099999999993</v>
      </c>
      <c r="R90" s="825">
        <v>86.635325000000009</v>
      </c>
      <c r="S90" s="861">
        <v>101.30095</v>
      </c>
    </row>
    <row r="91" spans="1:19" ht="15" thickBot="1">
      <c r="A91" s="1519"/>
      <c r="B91" s="1520"/>
      <c r="C91" s="862" t="s">
        <v>815</v>
      </c>
      <c r="D91" s="840">
        <f t="shared" ref="D91:S103" si="39">1/(0.55/D89+0.45/D90)</f>
        <v>45.124985554299798</v>
      </c>
      <c r="E91" s="840">
        <f t="shared" si="39"/>
        <v>46.426212126975855</v>
      </c>
      <c r="F91" s="841">
        <f t="shared" si="39"/>
        <v>50.722582085277402</v>
      </c>
      <c r="G91" s="863">
        <f t="shared" si="39"/>
        <v>54.773010937164919</v>
      </c>
      <c r="H91" s="840">
        <f t="shared" si="39"/>
        <v>47.628924105958959</v>
      </c>
      <c r="I91" s="841">
        <f t="shared" si="39"/>
        <v>58.414675418790971</v>
      </c>
      <c r="J91" s="841">
        <f t="shared" si="39"/>
        <v>67.904442857241904</v>
      </c>
      <c r="K91" s="840">
        <f t="shared" si="39"/>
        <v>49.665515358361773</v>
      </c>
      <c r="L91" s="841">
        <f t="shared" si="39"/>
        <v>61.221812785105207</v>
      </c>
      <c r="M91" s="841">
        <f t="shared" si="39"/>
        <v>70.196529771639703</v>
      </c>
      <c r="N91" s="840">
        <f t="shared" si="39"/>
        <v>59.436300271632469</v>
      </c>
      <c r="O91" s="841">
        <f t="shared" si="39"/>
        <v>70.509960250623195</v>
      </c>
      <c r="P91" s="841">
        <f t="shared" si="39"/>
        <v>79.12505473593157</v>
      </c>
      <c r="Q91" s="840">
        <f t="shared" si="39"/>
        <v>62.728229914033186</v>
      </c>
      <c r="R91" s="841">
        <f t="shared" si="39"/>
        <v>74.067879003319263</v>
      </c>
      <c r="S91" s="864">
        <f t="shared" si="39"/>
        <v>84.839721763805812</v>
      </c>
    </row>
    <row r="92" spans="1:19" ht="14.4">
      <c r="A92" s="1519"/>
      <c r="B92" s="1518" t="s">
        <v>826</v>
      </c>
      <c r="C92" s="858" t="s">
        <v>809</v>
      </c>
      <c r="D92" s="829">
        <f t="shared" ref="D92:S92" si="40">MAX(1/(0.003259+1.1805/D89),$C$5*D89)</f>
        <v>30.280955940877437</v>
      </c>
      <c r="E92" s="829">
        <f t="shared" si="40"/>
        <v>31.168297733074315</v>
      </c>
      <c r="F92" s="818">
        <f t="shared" si="40"/>
        <v>33.651722470861984</v>
      </c>
      <c r="G92" s="859">
        <f t="shared" si="40"/>
        <v>35.90887645258087</v>
      </c>
      <c r="H92" s="829">
        <f t="shared" si="40"/>
        <v>31.955463401160745</v>
      </c>
      <c r="I92" s="818">
        <f t="shared" si="40"/>
        <v>38.44036447083306</v>
      </c>
      <c r="J92" s="818">
        <f t="shared" si="40"/>
        <v>43.422426706628535</v>
      </c>
      <c r="K92" s="829">
        <f t="shared" si="40"/>
        <v>33.347941840018215</v>
      </c>
      <c r="L92" s="818">
        <f t="shared" si="40"/>
        <v>40.216868497970616</v>
      </c>
      <c r="M92" s="818">
        <f t="shared" si="40"/>
        <v>44.868032224994487</v>
      </c>
      <c r="N92" s="829">
        <f t="shared" si="40"/>
        <v>38.741367270961618</v>
      </c>
      <c r="O92" s="818">
        <f t="shared" si="40"/>
        <v>45.536132492628823</v>
      </c>
      <c r="P92" s="818">
        <f t="shared" si="40"/>
        <v>50.053227374936895</v>
      </c>
      <c r="Q92" s="829">
        <f t="shared" si="40"/>
        <v>41.446506088340129</v>
      </c>
      <c r="R92" s="818">
        <f t="shared" si="40"/>
        <v>47.418713702728056</v>
      </c>
      <c r="S92" s="819">
        <f t="shared" si="40"/>
        <v>52.566713283177705</v>
      </c>
    </row>
    <row r="93" spans="1:19" ht="14.4">
      <c r="A93" s="1519"/>
      <c r="B93" s="1519"/>
      <c r="C93" s="860" t="s">
        <v>814</v>
      </c>
      <c r="D93" s="959">
        <f t="shared" ref="D93:S93" si="41">MAX(1/(0.001376+1.3466/D90),$C$5*D90)</f>
        <v>38.179077871293046</v>
      </c>
      <c r="E93" s="959">
        <f t="shared" si="41"/>
        <v>38.994738703772434</v>
      </c>
      <c r="F93" s="825">
        <f t="shared" si="41"/>
        <v>42.578710082544589</v>
      </c>
      <c r="G93" s="824">
        <f t="shared" si="41"/>
        <v>46.024875322617568</v>
      </c>
      <c r="H93" s="959">
        <f t="shared" si="41"/>
        <v>39.81092427277526</v>
      </c>
      <c r="I93" s="825">
        <f t="shared" si="41"/>
        <v>47.896593303444234</v>
      </c>
      <c r="J93" s="825">
        <f t="shared" si="41"/>
        <v>55.926930296852667</v>
      </c>
      <c r="K93" s="959">
        <f t="shared" si="41"/>
        <v>41.043873479405519</v>
      </c>
      <c r="L93" s="825">
        <f t="shared" si="41"/>
        <v>49.673296837009708</v>
      </c>
      <c r="M93" s="825">
        <f t="shared" si="41"/>
        <v>57.221299620247777</v>
      </c>
      <c r="N93" s="959">
        <f t="shared" si="41"/>
        <v>49.310696230525664</v>
      </c>
      <c r="O93" s="825">
        <f t="shared" si="41"/>
        <v>56.362112469285769</v>
      </c>
      <c r="P93" s="825">
        <f t="shared" si="41"/>
        <v>62.953859577048341</v>
      </c>
      <c r="Q93" s="959">
        <f t="shared" si="41"/>
        <v>50.034479280560326</v>
      </c>
      <c r="R93" s="825">
        <f t="shared" si="41"/>
        <v>59.104053563313194</v>
      </c>
      <c r="S93" s="861">
        <f t="shared" si="41"/>
        <v>68.170675907713743</v>
      </c>
    </row>
    <row r="94" spans="1:19" ht="15" thickBot="1">
      <c r="A94" s="1519"/>
      <c r="B94" s="1520"/>
      <c r="C94" s="862" t="s">
        <v>815</v>
      </c>
      <c r="D94" s="840">
        <f t="shared" ref="D94:S106" si="42">1/(0.55/D92+0.45/D93)</f>
        <v>33.389214318164413</v>
      </c>
      <c r="E94" s="840">
        <f t="shared" si="42"/>
        <v>34.262822395834995</v>
      </c>
      <c r="F94" s="841">
        <f t="shared" si="42"/>
        <v>37.157384832332447</v>
      </c>
      <c r="G94" s="863">
        <f t="shared" si="42"/>
        <v>39.850372048237205</v>
      </c>
      <c r="H94" s="840">
        <f t="shared" si="42"/>
        <v>35.069403877066506</v>
      </c>
      <c r="I94" s="841">
        <f t="shared" si="42"/>
        <v>42.188544143066444</v>
      </c>
      <c r="J94" s="841">
        <f t="shared" si="42"/>
        <v>48.280073201153499</v>
      </c>
      <c r="K94" s="840">
        <f t="shared" si="42"/>
        <v>36.421049932380114</v>
      </c>
      <c r="L94" s="841">
        <f t="shared" si="42"/>
        <v>43.984954546570364</v>
      </c>
      <c r="M94" s="841">
        <f t="shared" si="42"/>
        <v>49.695922550976348</v>
      </c>
      <c r="N94" s="840">
        <f t="shared" si="42"/>
        <v>42.877012878318553</v>
      </c>
      <c r="O94" s="841">
        <f t="shared" si="42"/>
        <v>49.844467130128137</v>
      </c>
      <c r="P94" s="841">
        <f t="shared" si="42"/>
        <v>55.137750027758152</v>
      </c>
      <c r="Q94" s="840">
        <f t="shared" si="42"/>
        <v>44.915729488616506</v>
      </c>
      <c r="R94" s="841">
        <f t="shared" si="42"/>
        <v>52.049481471648697</v>
      </c>
      <c r="S94" s="864">
        <f t="shared" si="42"/>
        <v>58.602996963150709</v>
      </c>
    </row>
    <row r="95" spans="1:19" ht="15" thickBot="1">
      <c r="A95" s="1515" t="s">
        <v>742</v>
      </c>
      <c r="B95" s="1515" t="s">
        <v>825</v>
      </c>
      <c r="C95" s="853" t="s">
        <v>809</v>
      </c>
      <c r="D95" s="829"/>
      <c r="E95" s="806"/>
      <c r="F95" s="800"/>
      <c r="G95" s="805"/>
      <c r="H95" s="806"/>
      <c r="I95" s="800"/>
      <c r="J95" s="800"/>
      <c r="K95" s="806"/>
      <c r="L95" s="800"/>
      <c r="M95" s="800"/>
      <c r="N95" s="806"/>
      <c r="O95" s="800"/>
      <c r="P95" s="800"/>
      <c r="Q95" s="806"/>
      <c r="R95" s="800"/>
      <c r="S95" s="801"/>
    </row>
    <row r="96" spans="1:19" ht="15" thickBot="1">
      <c r="A96" s="1516"/>
      <c r="B96" s="1516"/>
      <c r="C96" s="854" t="s">
        <v>814</v>
      </c>
      <c r="D96" s="829"/>
      <c r="E96" s="958"/>
      <c r="F96" s="804"/>
      <c r="G96" s="803"/>
      <c r="H96" s="958"/>
      <c r="I96" s="804"/>
      <c r="J96" s="804"/>
      <c r="K96" s="958"/>
      <c r="L96" s="804"/>
      <c r="M96" s="804"/>
      <c r="N96" s="958"/>
      <c r="O96" s="804"/>
      <c r="P96" s="804"/>
      <c r="Q96" s="958"/>
      <c r="R96" s="804"/>
      <c r="S96" s="855"/>
    </row>
    <row r="97" spans="1:19" ht="15" thickBot="1">
      <c r="A97" s="1516"/>
      <c r="B97" s="1517"/>
      <c r="C97" s="856" t="s">
        <v>815</v>
      </c>
      <c r="D97" s="829" t="e">
        <f t="shared" ref="D97" si="43">1/(0.55/D95+0.45/D96)</f>
        <v>#DIV/0!</v>
      </c>
      <c r="E97" s="811" t="e">
        <f t="shared" si="39"/>
        <v>#DIV/0!</v>
      </c>
      <c r="F97" s="810" t="e">
        <f t="shared" si="39"/>
        <v>#DIV/0!</v>
      </c>
      <c r="G97" s="809" t="e">
        <f t="shared" si="39"/>
        <v>#DIV/0!</v>
      </c>
      <c r="H97" s="811" t="e">
        <f t="shared" si="39"/>
        <v>#DIV/0!</v>
      </c>
      <c r="I97" s="810" t="e">
        <f t="shared" si="39"/>
        <v>#DIV/0!</v>
      </c>
      <c r="J97" s="810" t="e">
        <f t="shared" si="39"/>
        <v>#DIV/0!</v>
      </c>
      <c r="K97" s="811" t="e">
        <f t="shared" si="39"/>
        <v>#DIV/0!</v>
      </c>
      <c r="L97" s="810" t="e">
        <f t="shared" si="39"/>
        <v>#DIV/0!</v>
      </c>
      <c r="M97" s="810" t="e">
        <f t="shared" si="39"/>
        <v>#DIV/0!</v>
      </c>
      <c r="N97" s="811" t="e">
        <f t="shared" si="39"/>
        <v>#DIV/0!</v>
      </c>
      <c r="O97" s="810" t="e">
        <f t="shared" si="39"/>
        <v>#DIV/0!</v>
      </c>
      <c r="P97" s="810" t="e">
        <f t="shared" si="39"/>
        <v>#DIV/0!</v>
      </c>
      <c r="Q97" s="811" t="e">
        <f t="shared" si="39"/>
        <v>#DIV/0!</v>
      </c>
      <c r="R97" s="810" t="e">
        <f t="shared" si="39"/>
        <v>#DIV/0!</v>
      </c>
      <c r="S97" s="857" t="e">
        <f t="shared" si="39"/>
        <v>#DIV/0!</v>
      </c>
    </row>
    <row r="98" spans="1:19" ht="15" thickBot="1">
      <c r="A98" s="1516"/>
      <c r="B98" s="1515" t="s">
        <v>826</v>
      </c>
      <c r="C98" s="853" t="s">
        <v>809</v>
      </c>
      <c r="D98" s="829" t="e">
        <f t="shared" ref="D98:S98" si="44">MAX(1/(0.003259+1.1805/D95),$C$5*D95)</f>
        <v>#DIV/0!</v>
      </c>
      <c r="E98" s="806" t="e">
        <f t="shared" si="44"/>
        <v>#DIV/0!</v>
      </c>
      <c r="F98" s="800" t="e">
        <f t="shared" si="44"/>
        <v>#DIV/0!</v>
      </c>
      <c r="G98" s="805" t="e">
        <f t="shared" si="44"/>
        <v>#DIV/0!</v>
      </c>
      <c r="H98" s="806" t="e">
        <f t="shared" si="44"/>
        <v>#DIV/0!</v>
      </c>
      <c r="I98" s="800" t="e">
        <f t="shared" si="44"/>
        <v>#DIV/0!</v>
      </c>
      <c r="J98" s="800" t="e">
        <f t="shared" si="44"/>
        <v>#DIV/0!</v>
      </c>
      <c r="K98" s="806" t="e">
        <f t="shared" si="44"/>
        <v>#DIV/0!</v>
      </c>
      <c r="L98" s="800" t="e">
        <f t="shared" si="44"/>
        <v>#DIV/0!</v>
      </c>
      <c r="M98" s="800" t="e">
        <f t="shared" si="44"/>
        <v>#DIV/0!</v>
      </c>
      <c r="N98" s="806" t="e">
        <f t="shared" si="44"/>
        <v>#DIV/0!</v>
      </c>
      <c r="O98" s="800" t="e">
        <f t="shared" si="44"/>
        <v>#DIV/0!</v>
      </c>
      <c r="P98" s="800" t="e">
        <f t="shared" si="44"/>
        <v>#DIV/0!</v>
      </c>
      <c r="Q98" s="806" t="e">
        <f t="shared" si="44"/>
        <v>#DIV/0!</v>
      </c>
      <c r="R98" s="800" t="e">
        <f t="shared" si="44"/>
        <v>#DIV/0!</v>
      </c>
      <c r="S98" s="801" t="e">
        <f t="shared" si="44"/>
        <v>#DIV/0!</v>
      </c>
    </row>
    <row r="99" spans="1:19" ht="15" thickBot="1">
      <c r="A99" s="1516"/>
      <c r="B99" s="1516"/>
      <c r="C99" s="854" t="s">
        <v>814</v>
      </c>
      <c r="D99" s="829" t="e">
        <f t="shared" ref="D99:S99" si="45">MAX(1/(0.001376+1.3466/D96),$C$5*D96)</f>
        <v>#DIV/0!</v>
      </c>
      <c r="E99" s="958" t="e">
        <f t="shared" si="45"/>
        <v>#DIV/0!</v>
      </c>
      <c r="F99" s="804" t="e">
        <f t="shared" si="45"/>
        <v>#DIV/0!</v>
      </c>
      <c r="G99" s="803" t="e">
        <f t="shared" si="45"/>
        <v>#DIV/0!</v>
      </c>
      <c r="H99" s="958" t="e">
        <f t="shared" si="45"/>
        <v>#DIV/0!</v>
      </c>
      <c r="I99" s="804" t="e">
        <f t="shared" si="45"/>
        <v>#DIV/0!</v>
      </c>
      <c r="J99" s="804" t="e">
        <f t="shared" si="45"/>
        <v>#DIV/0!</v>
      </c>
      <c r="K99" s="958" t="e">
        <f t="shared" si="45"/>
        <v>#DIV/0!</v>
      </c>
      <c r="L99" s="804" t="e">
        <f t="shared" si="45"/>
        <v>#DIV/0!</v>
      </c>
      <c r="M99" s="804" t="e">
        <f t="shared" si="45"/>
        <v>#DIV/0!</v>
      </c>
      <c r="N99" s="958" t="e">
        <f t="shared" si="45"/>
        <v>#DIV/0!</v>
      </c>
      <c r="O99" s="804" t="e">
        <f t="shared" si="45"/>
        <v>#DIV/0!</v>
      </c>
      <c r="P99" s="804" t="e">
        <f t="shared" si="45"/>
        <v>#DIV/0!</v>
      </c>
      <c r="Q99" s="958" t="e">
        <f t="shared" si="45"/>
        <v>#DIV/0!</v>
      </c>
      <c r="R99" s="804" t="e">
        <f t="shared" si="45"/>
        <v>#DIV/0!</v>
      </c>
      <c r="S99" s="855" t="e">
        <f t="shared" si="45"/>
        <v>#DIV/0!</v>
      </c>
    </row>
    <row r="100" spans="1:19" ht="15" thickBot="1">
      <c r="A100" s="1516"/>
      <c r="B100" s="1517"/>
      <c r="C100" s="856" t="s">
        <v>815</v>
      </c>
      <c r="D100" s="829" t="e">
        <f t="shared" ref="D100" si="46">1/(0.55/D98+0.45/D99)</f>
        <v>#DIV/0!</v>
      </c>
      <c r="E100" s="811" t="e">
        <f t="shared" si="42"/>
        <v>#DIV/0!</v>
      </c>
      <c r="F100" s="810" t="e">
        <f t="shared" si="42"/>
        <v>#DIV/0!</v>
      </c>
      <c r="G100" s="809" t="e">
        <f t="shared" si="42"/>
        <v>#DIV/0!</v>
      </c>
      <c r="H100" s="811" t="e">
        <f t="shared" si="42"/>
        <v>#DIV/0!</v>
      </c>
      <c r="I100" s="810" t="e">
        <f t="shared" si="42"/>
        <v>#DIV/0!</v>
      </c>
      <c r="J100" s="810" t="e">
        <f t="shared" si="42"/>
        <v>#DIV/0!</v>
      </c>
      <c r="K100" s="811" t="e">
        <f t="shared" si="42"/>
        <v>#DIV/0!</v>
      </c>
      <c r="L100" s="810" t="e">
        <f t="shared" si="42"/>
        <v>#DIV/0!</v>
      </c>
      <c r="M100" s="810" t="e">
        <f t="shared" si="42"/>
        <v>#DIV/0!</v>
      </c>
      <c r="N100" s="811" t="e">
        <f t="shared" si="42"/>
        <v>#DIV/0!</v>
      </c>
      <c r="O100" s="810" t="e">
        <f t="shared" si="42"/>
        <v>#DIV/0!</v>
      </c>
      <c r="P100" s="810" t="e">
        <f t="shared" si="42"/>
        <v>#DIV/0!</v>
      </c>
      <c r="Q100" s="811" t="e">
        <f t="shared" si="42"/>
        <v>#DIV/0!</v>
      </c>
      <c r="R100" s="810" t="e">
        <f t="shared" si="42"/>
        <v>#DIV/0!</v>
      </c>
      <c r="S100" s="857" t="e">
        <f t="shared" si="42"/>
        <v>#DIV/0!</v>
      </c>
    </row>
    <row r="101" spans="1:19" ht="15" thickBot="1">
      <c r="A101" s="1515" t="s">
        <v>743</v>
      </c>
      <c r="B101" s="1515" t="s">
        <v>825</v>
      </c>
      <c r="C101" s="853" t="s">
        <v>809</v>
      </c>
      <c r="D101" s="829">
        <v>37.54</v>
      </c>
      <c r="E101" s="806">
        <v>42.53</v>
      </c>
      <c r="F101" s="800">
        <v>49.65</v>
      </c>
      <c r="G101" s="805">
        <v>54.75</v>
      </c>
      <c r="H101" s="806">
        <v>47.96</v>
      </c>
      <c r="I101" s="800">
        <v>60.35</v>
      </c>
      <c r="J101" s="800">
        <v>67.88</v>
      </c>
      <c r="K101" s="806">
        <v>49.1</v>
      </c>
      <c r="L101" s="800">
        <v>62.42</v>
      </c>
      <c r="M101" s="800">
        <v>70.459999999999994</v>
      </c>
      <c r="N101" s="806">
        <v>57.86</v>
      </c>
      <c r="O101" s="800">
        <v>67.47</v>
      </c>
      <c r="P101" s="800">
        <v>76.62</v>
      </c>
      <c r="Q101" s="806">
        <v>59.17</v>
      </c>
      <c r="R101" s="800">
        <v>71.75</v>
      </c>
      <c r="S101" s="801">
        <v>82.8</v>
      </c>
    </row>
    <row r="102" spans="1:19" ht="14.4">
      <c r="A102" s="1516"/>
      <c r="B102" s="1516"/>
      <c r="C102" s="854" t="s">
        <v>814</v>
      </c>
      <c r="D102" s="829">
        <v>49.69</v>
      </c>
      <c r="E102" s="958">
        <v>54.32</v>
      </c>
      <c r="F102" s="804">
        <v>62.4</v>
      </c>
      <c r="G102" s="803">
        <v>69.180000000000007</v>
      </c>
      <c r="H102" s="958">
        <v>59.14</v>
      </c>
      <c r="I102" s="804">
        <v>73.2</v>
      </c>
      <c r="J102" s="804">
        <v>85.39</v>
      </c>
      <c r="K102" s="958">
        <v>60.11</v>
      </c>
      <c r="L102" s="804">
        <v>74.91</v>
      </c>
      <c r="M102" s="804">
        <v>88.38</v>
      </c>
      <c r="N102" s="958">
        <v>72.63</v>
      </c>
      <c r="O102" s="804">
        <v>86.17</v>
      </c>
      <c r="P102" s="804">
        <v>97.88</v>
      </c>
      <c r="Q102" s="958">
        <v>74.05</v>
      </c>
      <c r="R102" s="804">
        <v>91.18</v>
      </c>
      <c r="S102" s="855">
        <v>108.75</v>
      </c>
    </row>
    <row r="103" spans="1:19" ht="15" thickBot="1">
      <c r="A103" s="1516"/>
      <c r="B103" s="1517"/>
      <c r="C103" s="856" t="s">
        <v>815</v>
      </c>
      <c r="D103" s="811">
        <f t="shared" ref="D103" si="47">1/(0.55/D101+0.45/D102)</f>
        <v>42.181301373735081</v>
      </c>
      <c r="E103" s="811">
        <f t="shared" si="39"/>
        <v>47.133595160615734</v>
      </c>
      <c r="F103" s="810">
        <f t="shared" si="39"/>
        <v>54.677432164129712</v>
      </c>
      <c r="G103" s="809">
        <f t="shared" si="39"/>
        <v>60.421382594338489</v>
      </c>
      <c r="H103" s="811">
        <f t="shared" si="39"/>
        <v>52.419272209798741</v>
      </c>
      <c r="I103" s="810">
        <f t="shared" si="39"/>
        <v>65.526309934364221</v>
      </c>
      <c r="J103" s="810">
        <f t="shared" si="39"/>
        <v>74.780490385173607</v>
      </c>
      <c r="K103" s="811">
        <f t="shared" si="39"/>
        <v>53.510547452203305</v>
      </c>
      <c r="L103" s="810">
        <f t="shared" si="39"/>
        <v>67.483272357283568</v>
      </c>
      <c r="M103" s="810">
        <f t="shared" si="39"/>
        <v>77.534424025100833</v>
      </c>
      <c r="N103" s="811">
        <f t="shared" si="39"/>
        <v>63.688222055513869</v>
      </c>
      <c r="O103" s="810">
        <f t="shared" si="39"/>
        <v>74.771910488071498</v>
      </c>
      <c r="P103" s="810">
        <f t="shared" si="39"/>
        <v>84.920290330981842</v>
      </c>
      <c r="Q103" s="811">
        <f t="shared" si="39"/>
        <v>65.052387386049816</v>
      </c>
      <c r="R103" s="810">
        <f t="shared" si="39"/>
        <v>79.360052889193497</v>
      </c>
      <c r="S103" s="857">
        <f t="shared" si="39"/>
        <v>92.760565556671551</v>
      </c>
    </row>
    <row r="104" spans="1:19" ht="14.4">
      <c r="A104" s="1516"/>
      <c r="B104" s="1515" t="s">
        <v>826</v>
      </c>
      <c r="C104" s="853" t="s">
        <v>809</v>
      </c>
      <c r="D104" s="806">
        <f t="shared" ref="D104:S104" si="48">MAX(1/(0.003259+1.1805/D101),$C$5*D101)</f>
        <v>28.813912370061267</v>
      </c>
      <c r="E104" s="806">
        <f t="shared" si="48"/>
        <v>32.241551123512679</v>
      </c>
      <c r="F104" s="800">
        <f t="shared" si="48"/>
        <v>36.988493002749323</v>
      </c>
      <c r="G104" s="805">
        <f t="shared" si="48"/>
        <v>40.289043532587485</v>
      </c>
      <c r="H104" s="806">
        <f t="shared" si="48"/>
        <v>35.87667651275472</v>
      </c>
      <c r="I104" s="800">
        <f t="shared" si="48"/>
        <v>43.821411519251299</v>
      </c>
      <c r="J104" s="800">
        <f t="shared" si="48"/>
        <v>48.426187432516869</v>
      </c>
      <c r="K104" s="806">
        <f t="shared" si="48"/>
        <v>36.627662060806543</v>
      </c>
      <c r="L104" s="800">
        <f t="shared" si="48"/>
        <v>45.103542255320761</v>
      </c>
      <c r="M104" s="800">
        <f t="shared" si="48"/>
        <v>49.967054790456984</v>
      </c>
      <c r="N104" s="806">
        <f t="shared" si="48"/>
        <v>42.262397129300744</v>
      </c>
      <c r="O104" s="800">
        <f t="shared" si="48"/>
        <v>48.179617039954437</v>
      </c>
      <c r="P104" s="800">
        <f t="shared" si="48"/>
        <v>53.572755304699136</v>
      </c>
      <c r="Q104" s="806">
        <f t="shared" si="48"/>
        <v>43.084898227637865</v>
      </c>
      <c r="R104" s="800">
        <f t="shared" si="48"/>
        <v>50.730618119880859</v>
      </c>
      <c r="S104" s="801">
        <f t="shared" si="48"/>
        <v>57.089856952675817</v>
      </c>
    </row>
    <row r="105" spans="1:19" ht="14.4">
      <c r="A105" s="1516"/>
      <c r="B105" s="1516"/>
      <c r="C105" s="854" t="s">
        <v>814</v>
      </c>
      <c r="D105" s="958">
        <f t="shared" ref="D105:S105" si="49">MAX(1/(0.001376+1.3466/D102),$C$5*D102)</f>
        <v>35.117266936120018</v>
      </c>
      <c r="E105" s="958">
        <f t="shared" si="49"/>
        <v>38.217340608924374</v>
      </c>
      <c r="F105" s="804">
        <f t="shared" si="49"/>
        <v>43.561352814566021</v>
      </c>
      <c r="G105" s="803">
        <f t="shared" si="49"/>
        <v>47.981966437758892</v>
      </c>
      <c r="H105" s="958">
        <f t="shared" si="49"/>
        <v>41.415243319386519</v>
      </c>
      <c r="I105" s="804">
        <f t="shared" si="49"/>
        <v>50.57612563662353</v>
      </c>
      <c r="J105" s="804">
        <f t="shared" si="49"/>
        <v>58.322652799749612</v>
      </c>
      <c r="K105" s="958">
        <f t="shared" si="49"/>
        <v>42.055217416028938</v>
      </c>
      <c r="L105" s="804">
        <f t="shared" si="49"/>
        <v>51.673609642583898</v>
      </c>
      <c r="M105" s="804">
        <f t="shared" si="49"/>
        <v>60.195712485116573</v>
      </c>
      <c r="N105" s="958">
        <f t="shared" si="49"/>
        <v>50.209504220170004</v>
      </c>
      <c r="O105" s="804">
        <f t="shared" si="49"/>
        <v>58.812291205104728</v>
      </c>
      <c r="P105" s="804">
        <f t="shared" si="49"/>
        <v>66.07785813334992</v>
      </c>
      <c r="Q105" s="958">
        <f t="shared" si="49"/>
        <v>51.12210430041489</v>
      </c>
      <c r="R105" s="804">
        <f t="shared" si="49"/>
        <v>61.940255193307948</v>
      </c>
      <c r="S105" s="855">
        <f t="shared" si="49"/>
        <v>72.682190022990966</v>
      </c>
    </row>
    <row r="106" spans="1:19" ht="15" thickBot="1">
      <c r="A106" s="1516"/>
      <c r="B106" s="1517"/>
      <c r="C106" s="856" t="s">
        <v>815</v>
      </c>
      <c r="D106" s="811">
        <f t="shared" ref="D106" si="50">1/(0.55/D104+0.45/D105)</f>
        <v>31.345790317690778</v>
      </c>
      <c r="E106" s="811">
        <f t="shared" si="42"/>
        <v>34.681889748773806</v>
      </c>
      <c r="F106" s="810">
        <f t="shared" si="42"/>
        <v>39.682938138240985</v>
      </c>
      <c r="G106" s="809">
        <f t="shared" si="42"/>
        <v>43.421854722065753</v>
      </c>
      <c r="H106" s="811">
        <f t="shared" si="42"/>
        <v>38.17397304842244</v>
      </c>
      <c r="I106" s="810">
        <f t="shared" si="42"/>
        <v>46.623479112805825</v>
      </c>
      <c r="J106" s="810">
        <f t="shared" si="42"/>
        <v>52.429615465050446</v>
      </c>
      <c r="K106" s="811">
        <f t="shared" si="42"/>
        <v>38.886006812511695</v>
      </c>
      <c r="L106" s="810">
        <f t="shared" si="42"/>
        <v>47.840775116479655</v>
      </c>
      <c r="M106" s="810">
        <f t="shared" si="42"/>
        <v>54.104156832492968</v>
      </c>
      <c r="N106" s="811">
        <f t="shared" si="42"/>
        <v>45.503400631425095</v>
      </c>
      <c r="O106" s="810">
        <f t="shared" si="42"/>
        <v>52.446421935009155</v>
      </c>
      <c r="P106" s="810">
        <f t="shared" si="42"/>
        <v>58.559801859380322</v>
      </c>
      <c r="Q106" s="811">
        <f t="shared" si="42"/>
        <v>46.36509623926888</v>
      </c>
      <c r="R106" s="810">
        <f t="shared" si="42"/>
        <v>55.228345279155867</v>
      </c>
      <c r="S106" s="857">
        <f t="shared" si="42"/>
        <v>63.190061385039328</v>
      </c>
    </row>
    <row r="107" spans="1:19" ht="15" thickBot="1">
      <c r="A107" s="1518" t="s">
        <v>744</v>
      </c>
      <c r="B107" s="1518" t="s">
        <v>825</v>
      </c>
      <c r="C107" s="858" t="s">
        <v>809</v>
      </c>
      <c r="D107" s="829">
        <v>33.799999999999997</v>
      </c>
      <c r="E107" s="829">
        <v>35.31</v>
      </c>
      <c r="F107" s="818">
        <v>38.090000000000003</v>
      </c>
      <c r="G107" s="859">
        <v>40.46</v>
      </c>
      <c r="H107" s="829">
        <v>35.89</v>
      </c>
      <c r="I107" s="818">
        <v>42.43</v>
      </c>
      <c r="J107" s="818">
        <v>47.53</v>
      </c>
      <c r="K107" s="829">
        <v>36.17</v>
      </c>
      <c r="L107" s="818">
        <v>43.75</v>
      </c>
      <c r="M107" s="818">
        <v>48.75</v>
      </c>
      <c r="N107" s="829">
        <v>41.18</v>
      </c>
      <c r="O107" s="818">
        <v>47.8</v>
      </c>
      <c r="P107" s="818">
        <v>53.38</v>
      </c>
      <c r="Q107" s="829">
        <v>43.34</v>
      </c>
      <c r="R107" s="818">
        <v>50.8</v>
      </c>
      <c r="S107" s="819">
        <v>56.74</v>
      </c>
    </row>
    <row r="108" spans="1:19" ht="14.4">
      <c r="A108" s="1519"/>
      <c r="B108" s="1519"/>
      <c r="C108" s="860" t="s">
        <v>814</v>
      </c>
      <c r="D108" s="829">
        <v>46.69</v>
      </c>
      <c r="E108" s="959">
        <v>48.14</v>
      </c>
      <c r="F108" s="825">
        <v>52.23</v>
      </c>
      <c r="G108" s="824">
        <v>56.01</v>
      </c>
      <c r="H108" s="959">
        <v>48.75</v>
      </c>
      <c r="I108" s="825">
        <v>56.95</v>
      </c>
      <c r="J108" s="825">
        <v>64.67</v>
      </c>
      <c r="K108" s="959">
        <v>49.03</v>
      </c>
      <c r="L108" s="825">
        <v>58.17</v>
      </c>
      <c r="M108" s="825">
        <v>66.239999999999995</v>
      </c>
      <c r="N108" s="959">
        <v>57.05</v>
      </c>
      <c r="O108" s="825">
        <v>64.92</v>
      </c>
      <c r="P108" s="825">
        <v>72.239999999999995</v>
      </c>
      <c r="Q108" s="959">
        <v>58</v>
      </c>
      <c r="R108" s="825">
        <v>68.290000000000006</v>
      </c>
      <c r="S108" s="861">
        <v>78.3</v>
      </c>
    </row>
    <row r="109" spans="1:19" ht="15" thickBot="1">
      <c r="A109" s="1519"/>
      <c r="B109" s="1520"/>
      <c r="C109" s="862" t="s">
        <v>815</v>
      </c>
      <c r="D109" s="840">
        <f t="shared" ref="D109:S121" si="51">1/(0.55/D107+0.45/D108)</f>
        <v>38.594798175570737</v>
      </c>
      <c r="E109" s="840">
        <f t="shared" si="51"/>
        <v>40.121874594313908</v>
      </c>
      <c r="F109" s="841">
        <f t="shared" si="51"/>
        <v>43.374118647393558</v>
      </c>
      <c r="G109" s="863">
        <f t="shared" si="51"/>
        <v>46.236462127008409</v>
      </c>
      <c r="H109" s="840">
        <f t="shared" si="51"/>
        <v>40.724286013546539</v>
      </c>
      <c r="I109" s="841">
        <f t="shared" si="51"/>
        <v>47.929000714059029</v>
      </c>
      <c r="J109" s="841">
        <f t="shared" si="51"/>
        <v>53.966415014835761</v>
      </c>
      <c r="K109" s="840">
        <f t="shared" si="51"/>
        <v>41.010454871308653</v>
      </c>
      <c r="L109" s="841">
        <f t="shared" si="51"/>
        <v>49.243193823648916</v>
      </c>
      <c r="M109" s="841">
        <f t="shared" si="51"/>
        <v>55.3234137691774</v>
      </c>
      <c r="N109" s="840">
        <f t="shared" si="51"/>
        <v>47.072522716571321</v>
      </c>
      <c r="O109" s="841">
        <f t="shared" si="51"/>
        <v>54.236157718120793</v>
      </c>
      <c r="P109" s="841">
        <f t="shared" si="51"/>
        <v>60.486113594654356</v>
      </c>
      <c r="Q109" s="840">
        <f t="shared" si="51"/>
        <v>48.90220415150867</v>
      </c>
      <c r="R109" s="841">
        <f t="shared" si="51"/>
        <v>57.417423182912799</v>
      </c>
      <c r="S109" s="864">
        <f t="shared" si="51"/>
        <v>64.764891104696929</v>
      </c>
    </row>
    <row r="110" spans="1:19" ht="15" thickBot="1">
      <c r="A110" s="1519"/>
      <c r="B110" s="1518" t="s">
        <v>826</v>
      </c>
      <c r="C110" s="858" t="s">
        <v>809</v>
      </c>
      <c r="D110" s="829">
        <f t="shared" ref="D110:S110" si="52">MAX(1/(0.003259+1.1805/D107),$C$5*D107)</f>
        <v>26.188269483801314</v>
      </c>
      <c r="E110" s="829">
        <f t="shared" si="52"/>
        <v>27.254301832199964</v>
      </c>
      <c r="F110" s="818">
        <f t="shared" si="52"/>
        <v>29.195898430803624</v>
      </c>
      <c r="G110" s="859">
        <f t="shared" si="52"/>
        <v>30.829975398350179</v>
      </c>
      <c r="H110" s="829">
        <f t="shared" si="52"/>
        <v>27.661621617980426</v>
      </c>
      <c r="I110" s="818">
        <f t="shared" si="52"/>
        <v>32.17369103976808</v>
      </c>
      <c r="J110" s="818">
        <f t="shared" si="52"/>
        <v>35.592324689285853</v>
      </c>
      <c r="K110" s="829">
        <f t="shared" si="52"/>
        <v>27.857834285751121</v>
      </c>
      <c r="L110" s="818">
        <f t="shared" si="52"/>
        <v>33.066752325301259</v>
      </c>
      <c r="M110" s="818">
        <f t="shared" si="52"/>
        <v>36.397539526328018</v>
      </c>
      <c r="N110" s="829">
        <f t="shared" si="52"/>
        <v>31.322601328805455</v>
      </c>
      <c r="O110" s="818">
        <f t="shared" si="52"/>
        <v>35.770940855069163</v>
      </c>
      <c r="P110" s="818">
        <f t="shared" si="52"/>
        <v>39.410382289420127</v>
      </c>
      <c r="Q110" s="829">
        <f t="shared" si="52"/>
        <v>32.789984477036747</v>
      </c>
      <c r="R110" s="818">
        <f t="shared" si="52"/>
        <v>37.739852362886204</v>
      </c>
      <c r="S110" s="819">
        <f t="shared" si="52"/>
        <v>41.55511150355489</v>
      </c>
    </row>
    <row r="111" spans="1:19" ht="15" thickBot="1">
      <c r="A111" s="1519"/>
      <c r="B111" s="1519"/>
      <c r="C111" s="860" t="s">
        <v>814</v>
      </c>
      <c r="D111" s="829">
        <f t="shared" ref="D111:S111" si="53">MAX(1/(0.001376+1.3466/D108),$C$5*D108)</f>
        <v>33.09363214159022</v>
      </c>
      <c r="E111" s="959">
        <f t="shared" si="53"/>
        <v>34.073198800396909</v>
      </c>
      <c r="F111" s="825">
        <f t="shared" si="53"/>
        <v>36.821403320854898</v>
      </c>
      <c r="G111" s="824">
        <f t="shared" si="53"/>
        <v>39.341988973622648</v>
      </c>
      <c r="H111" s="959">
        <f t="shared" si="53"/>
        <v>34.484466074359119</v>
      </c>
      <c r="I111" s="825">
        <f t="shared" si="53"/>
        <v>39.965944383686541</v>
      </c>
      <c r="J111" s="825">
        <f t="shared" si="53"/>
        <v>45.047808772044796</v>
      </c>
      <c r="K111" s="959">
        <f t="shared" si="53"/>
        <v>34.673081005142848</v>
      </c>
      <c r="L111" s="825">
        <f t="shared" si="53"/>
        <v>40.774071744646342</v>
      </c>
      <c r="M111" s="825">
        <f t="shared" si="53"/>
        <v>46.072107968093171</v>
      </c>
      <c r="N111" s="959">
        <f t="shared" si="53"/>
        <v>40.032255963929011</v>
      </c>
      <c r="O111" s="825">
        <f t="shared" si="53"/>
        <v>45.211120052432648</v>
      </c>
      <c r="P111" s="825">
        <f t="shared" si="53"/>
        <v>49.958428833415915</v>
      </c>
      <c r="Q111" s="959">
        <f t="shared" si="53"/>
        <v>40.661577893562011</v>
      </c>
      <c r="R111" s="825">
        <f t="shared" si="53"/>
        <v>47.404944097568702</v>
      </c>
      <c r="S111" s="861">
        <f t="shared" si="53"/>
        <v>53.838825122694765</v>
      </c>
    </row>
    <row r="112" spans="1:19" ht="15" thickBot="1">
      <c r="A112" s="1519"/>
      <c r="B112" s="1520"/>
      <c r="C112" s="862" t="s">
        <v>815</v>
      </c>
      <c r="D112" s="829">
        <f t="shared" ref="D112:S124" si="54">1/(0.55/D110+0.45/D111)</f>
        <v>28.902108608439619</v>
      </c>
      <c r="E112" s="840">
        <f t="shared" si="54"/>
        <v>29.951632795010205</v>
      </c>
      <c r="F112" s="841">
        <f t="shared" si="54"/>
        <v>32.196356097377652</v>
      </c>
      <c r="G112" s="863">
        <f t="shared" si="54"/>
        <v>34.155406611934694</v>
      </c>
      <c r="H112" s="840">
        <f t="shared" si="54"/>
        <v>30.365143001068137</v>
      </c>
      <c r="I112" s="841">
        <f t="shared" si="54"/>
        <v>35.268020738377217</v>
      </c>
      <c r="J112" s="841">
        <f t="shared" si="54"/>
        <v>39.304843683675401</v>
      </c>
      <c r="K112" s="840">
        <f t="shared" si="54"/>
        <v>30.560976459241949</v>
      </c>
      <c r="L112" s="841">
        <f t="shared" si="54"/>
        <v>36.140946623859968</v>
      </c>
      <c r="M112" s="841">
        <f t="shared" si="54"/>
        <v>40.19581897341061</v>
      </c>
      <c r="N112" s="840">
        <f t="shared" si="54"/>
        <v>34.722052196834042</v>
      </c>
      <c r="O112" s="841">
        <f t="shared" si="54"/>
        <v>39.480573818194522</v>
      </c>
      <c r="P112" s="841">
        <f t="shared" si="54"/>
        <v>43.547932959331654</v>
      </c>
      <c r="Q112" s="840">
        <f t="shared" si="54"/>
        <v>35.919058873603731</v>
      </c>
      <c r="R112" s="841">
        <f t="shared" si="54"/>
        <v>41.55216503437444</v>
      </c>
      <c r="S112" s="864">
        <f t="shared" si="54"/>
        <v>46.309768991815893</v>
      </c>
    </row>
    <row r="113" spans="1:19" ht="15" thickBot="1">
      <c r="A113" s="1515" t="s">
        <v>745</v>
      </c>
      <c r="B113" s="1515" t="s">
        <v>825</v>
      </c>
      <c r="C113" s="853" t="s">
        <v>809</v>
      </c>
      <c r="D113" s="829">
        <v>60.83</v>
      </c>
      <c r="E113" s="806">
        <v>66.989999999999995</v>
      </c>
      <c r="F113" s="800">
        <v>80.88</v>
      </c>
      <c r="G113" s="805">
        <v>91.72</v>
      </c>
      <c r="H113" s="806">
        <v>74.75</v>
      </c>
      <c r="I113" s="800">
        <v>88.27</v>
      </c>
      <c r="J113" s="800">
        <v>100.64</v>
      </c>
      <c r="K113" s="806">
        <v>78.42</v>
      </c>
      <c r="L113" s="800">
        <v>93.51</v>
      </c>
      <c r="M113" s="800">
        <v>107.88</v>
      </c>
      <c r="N113" s="806">
        <v>86.87</v>
      </c>
      <c r="O113" s="800">
        <v>102.31</v>
      </c>
      <c r="P113" s="800">
        <v>122.44</v>
      </c>
      <c r="Q113" s="806">
        <v>97.19</v>
      </c>
      <c r="R113" s="800">
        <v>115.84</v>
      </c>
      <c r="S113" s="801">
        <v>147.88999999999999</v>
      </c>
    </row>
    <row r="114" spans="1:19" ht="15" thickBot="1">
      <c r="A114" s="1516"/>
      <c r="B114" s="1516"/>
      <c r="C114" s="854" t="s">
        <v>814</v>
      </c>
      <c r="D114" s="829">
        <v>52.11</v>
      </c>
      <c r="E114" s="958">
        <v>58.25</v>
      </c>
      <c r="F114" s="804">
        <v>70.08</v>
      </c>
      <c r="G114" s="803">
        <v>79.42</v>
      </c>
      <c r="H114" s="958">
        <v>65.38</v>
      </c>
      <c r="I114" s="804">
        <v>76.680000000000007</v>
      </c>
      <c r="J114" s="804">
        <v>86.59</v>
      </c>
      <c r="K114" s="958">
        <v>68.569999999999993</v>
      </c>
      <c r="L114" s="804">
        <v>80.67</v>
      </c>
      <c r="M114" s="804">
        <v>92.13</v>
      </c>
      <c r="N114" s="958">
        <v>78.02</v>
      </c>
      <c r="O114" s="804">
        <v>90.87</v>
      </c>
      <c r="P114" s="804">
        <v>106.73</v>
      </c>
      <c r="Q114" s="958">
        <v>87.51</v>
      </c>
      <c r="R114" s="804">
        <v>103.04</v>
      </c>
      <c r="S114" s="855">
        <v>132.83000000000001</v>
      </c>
    </row>
    <row r="115" spans="1:19" ht="15" thickBot="1">
      <c r="A115" s="1516"/>
      <c r="B115" s="1517"/>
      <c r="C115" s="856" t="s">
        <v>815</v>
      </c>
      <c r="D115" s="829">
        <f t="shared" ref="D115" si="55">1/(0.55/D113+0.45/D114)</f>
        <v>56.57014134275618</v>
      </c>
      <c r="E115" s="811">
        <f t="shared" si="51"/>
        <v>62.752963028480451</v>
      </c>
      <c r="F115" s="810">
        <f t="shared" si="51"/>
        <v>75.634779823859077</v>
      </c>
      <c r="G115" s="809">
        <f t="shared" si="51"/>
        <v>85.744245777176147</v>
      </c>
      <c r="H115" s="811">
        <f t="shared" si="51"/>
        <v>70.22127549517576</v>
      </c>
      <c r="I115" s="810">
        <f t="shared" si="51"/>
        <v>82.64854112863344</v>
      </c>
      <c r="J115" s="810">
        <f t="shared" si="51"/>
        <v>93.791659895062551</v>
      </c>
      <c r="K115" s="811">
        <f t="shared" si="51"/>
        <v>73.658565117632961</v>
      </c>
      <c r="L115" s="810">
        <f t="shared" si="51"/>
        <v>87.259990977234864</v>
      </c>
      <c r="M115" s="810">
        <f t="shared" si="51"/>
        <v>100.17370322775719</v>
      </c>
      <c r="N115" s="811">
        <f t="shared" si="51"/>
        <v>82.651106978445767</v>
      </c>
      <c r="O115" s="810">
        <f t="shared" si="51"/>
        <v>96.824654752233954</v>
      </c>
      <c r="P115" s="810">
        <f t="shared" si="51"/>
        <v>114.83373125540975</v>
      </c>
      <c r="Q115" s="811">
        <f t="shared" si="51"/>
        <v>92.581552478610135</v>
      </c>
      <c r="R115" s="810">
        <f t="shared" si="51"/>
        <v>109.70729411764707</v>
      </c>
      <c r="S115" s="857">
        <f t="shared" si="51"/>
        <v>140.71091492546932</v>
      </c>
    </row>
    <row r="116" spans="1:19" ht="15" thickBot="1">
      <c r="A116" s="1516"/>
      <c r="B116" s="1515" t="s">
        <v>826</v>
      </c>
      <c r="C116" s="853" t="s">
        <v>809</v>
      </c>
      <c r="D116" s="829">
        <f t="shared" ref="D116:S116" si="56">MAX(1/(0.003259+1.1805/D113),$C$5*D113)</f>
        <v>44.119834576803562</v>
      </c>
      <c r="E116" s="806">
        <f t="shared" si="56"/>
        <v>47.890350699129407</v>
      </c>
      <c r="F116" s="800">
        <f t="shared" si="56"/>
        <v>56.007670225508143</v>
      </c>
      <c r="G116" s="805">
        <f t="shared" si="56"/>
        <v>61.997458617913061</v>
      </c>
      <c r="H116" s="806">
        <f t="shared" si="56"/>
        <v>52.488913691899896</v>
      </c>
      <c r="I116" s="800">
        <f t="shared" si="56"/>
        <v>60.122386347489957</v>
      </c>
      <c r="J116" s="800">
        <f t="shared" si="56"/>
        <v>66.715909867123969</v>
      </c>
      <c r="K116" s="806">
        <f t="shared" si="56"/>
        <v>54.607336276280193</v>
      </c>
      <c r="L116" s="800">
        <f t="shared" si="56"/>
        <v>62.959136369509572</v>
      </c>
      <c r="M116" s="800">
        <f t="shared" si="56"/>
        <v>70.4140353108764</v>
      </c>
      <c r="N116" s="806">
        <f t="shared" si="56"/>
        <v>59.353270179003296</v>
      </c>
      <c r="O116" s="800">
        <f t="shared" si="56"/>
        <v>67.579158587491619</v>
      </c>
      <c r="P116" s="800">
        <f t="shared" si="56"/>
        <v>77.516633471601295</v>
      </c>
      <c r="Q116" s="806">
        <f t="shared" si="56"/>
        <v>64.912677021041233</v>
      </c>
      <c r="R116" s="800">
        <f t="shared" si="56"/>
        <v>74.350656385874146</v>
      </c>
      <c r="S116" s="801">
        <f t="shared" si="56"/>
        <v>88.957808416448088</v>
      </c>
    </row>
    <row r="117" spans="1:19" ht="15" thickBot="1">
      <c r="A117" s="1516"/>
      <c r="B117" s="1516"/>
      <c r="C117" s="854" t="s">
        <v>814</v>
      </c>
      <c r="D117" s="829">
        <f t="shared" ref="D117:S117" si="57">MAX(1/(0.001376+1.3466/D114),$C$5*D114)</f>
        <v>36.741081964298523</v>
      </c>
      <c r="E117" s="958">
        <f t="shared" si="57"/>
        <v>40.826997263715064</v>
      </c>
      <c r="F117" s="804">
        <f t="shared" si="57"/>
        <v>48.564476216601115</v>
      </c>
      <c r="G117" s="803">
        <f t="shared" si="57"/>
        <v>54.551127333183729</v>
      </c>
      <c r="H117" s="958">
        <f t="shared" si="57"/>
        <v>45.511408452931768</v>
      </c>
      <c r="I117" s="804">
        <f t="shared" si="57"/>
        <v>52.805855814065211</v>
      </c>
      <c r="J117" s="804">
        <f t="shared" si="57"/>
        <v>59.075645644478655</v>
      </c>
      <c r="K117" s="958">
        <f t="shared" si="57"/>
        <v>47.586584960701543</v>
      </c>
      <c r="L117" s="804">
        <f t="shared" si="57"/>
        <v>55.344328854890648</v>
      </c>
      <c r="M117" s="804">
        <f t="shared" si="57"/>
        <v>62.530080681382813</v>
      </c>
      <c r="N117" s="958">
        <f t="shared" si="57"/>
        <v>53.660513631118512</v>
      </c>
      <c r="O117" s="804">
        <f t="shared" si="57"/>
        <v>61.747559072171278</v>
      </c>
      <c r="P117" s="804">
        <f t="shared" si="57"/>
        <v>71.464897417305608</v>
      </c>
      <c r="Q117" s="958">
        <f t="shared" si="57"/>
        <v>59.651792223134983</v>
      </c>
      <c r="R117" s="804">
        <f t="shared" si="57"/>
        <v>69.229490817095041</v>
      </c>
      <c r="S117" s="855">
        <f t="shared" si="57"/>
        <v>86.852524661592284</v>
      </c>
    </row>
    <row r="118" spans="1:19" ht="15" thickBot="1">
      <c r="A118" s="1516"/>
      <c r="B118" s="1517"/>
      <c r="C118" s="856" t="s">
        <v>815</v>
      </c>
      <c r="D118" s="829">
        <f t="shared" ref="D118" si="58">1/(0.55/D116+0.45/D117)</f>
        <v>40.463028675504468</v>
      </c>
      <c r="E118" s="811">
        <f t="shared" si="54"/>
        <v>44.431240108760711</v>
      </c>
      <c r="F118" s="810">
        <f t="shared" si="54"/>
        <v>52.394107555272711</v>
      </c>
      <c r="G118" s="809">
        <f t="shared" si="54"/>
        <v>58.40959962014076</v>
      </c>
      <c r="H118" s="811">
        <f t="shared" si="54"/>
        <v>49.101361875388996</v>
      </c>
      <c r="I118" s="810">
        <f t="shared" si="54"/>
        <v>56.593771520112696</v>
      </c>
      <c r="J118" s="810">
        <f t="shared" si="54"/>
        <v>63.046682260559713</v>
      </c>
      <c r="K118" s="811">
        <f t="shared" si="54"/>
        <v>51.207594440435251</v>
      </c>
      <c r="L118" s="810">
        <f t="shared" si="54"/>
        <v>59.288281770608755</v>
      </c>
      <c r="M118" s="810">
        <f t="shared" si="54"/>
        <v>66.633442600229046</v>
      </c>
      <c r="N118" s="811">
        <f t="shared" si="54"/>
        <v>56.648866462951432</v>
      </c>
      <c r="O118" s="810">
        <f t="shared" si="54"/>
        <v>64.824184778066467</v>
      </c>
      <c r="P118" s="810">
        <f t="shared" si="54"/>
        <v>74.671172154456826</v>
      </c>
      <c r="Q118" s="811">
        <f t="shared" si="54"/>
        <v>62.43482861424792</v>
      </c>
      <c r="R118" s="810">
        <f t="shared" si="54"/>
        <v>71.955391575126697</v>
      </c>
      <c r="S118" s="857">
        <f t="shared" si="54"/>
        <v>87.99793669950877</v>
      </c>
    </row>
    <row r="119" spans="1:19" ht="15" thickBot="1">
      <c r="A119" s="1518" t="s">
        <v>747</v>
      </c>
      <c r="B119" s="1518" t="s">
        <v>825</v>
      </c>
      <c r="C119" s="858" t="s">
        <v>809</v>
      </c>
      <c r="D119" s="829">
        <v>60.446399999999997</v>
      </c>
      <c r="E119" s="829">
        <v>63.102199999999996</v>
      </c>
      <c r="F119" s="818">
        <v>74.190600000000003</v>
      </c>
      <c r="G119" s="859">
        <v>87.221699999999998</v>
      </c>
      <c r="H119" s="829">
        <v>68.230949999999993</v>
      </c>
      <c r="I119" s="818">
        <v>81.712524999999999</v>
      </c>
      <c r="J119" s="818">
        <v>102.46510000000001</v>
      </c>
      <c r="K119" s="829">
        <v>71.737549999999999</v>
      </c>
      <c r="L119" s="818">
        <v>88.411900000000003</v>
      </c>
      <c r="M119" s="818">
        <v>108.7137</v>
      </c>
      <c r="N119" s="829">
        <v>80.34644999999999</v>
      </c>
      <c r="O119" s="818">
        <v>100.58987500000001</v>
      </c>
      <c r="P119" s="818">
        <v>125.28045</v>
      </c>
      <c r="Q119" s="829">
        <v>91.210999999999999</v>
      </c>
      <c r="R119" s="818">
        <v>109.39335</v>
      </c>
      <c r="S119" s="819">
        <v>137.9667</v>
      </c>
    </row>
    <row r="120" spans="1:19" ht="15" thickBot="1">
      <c r="A120" s="1519"/>
      <c r="B120" s="1519"/>
      <c r="C120" s="860" t="s">
        <v>814</v>
      </c>
      <c r="D120" s="829">
        <v>51.616599999999998</v>
      </c>
      <c r="E120" s="959">
        <v>53.547199999999997</v>
      </c>
      <c r="F120" s="825">
        <v>62.201699999999995</v>
      </c>
      <c r="G120" s="824">
        <v>72.923550000000006</v>
      </c>
      <c r="H120" s="959">
        <v>57.238349999999997</v>
      </c>
      <c r="I120" s="825">
        <v>68.333624999999998</v>
      </c>
      <c r="J120" s="825">
        <v>85.022750000000002</v>
      </c>
      <c r="K120" s="959">
        <v>60.390349999999998</v>
      </c>
      <c r="L120" s="825">
        <v>73.276274999999998</v>
      </c>
      <c r="M120" s="825">
        <v>89.629599999999996</v>
      </c>
      <c r="N120" s="959">
        <v>69.678899999999999</v>
      </c>
      <c r="O120" s="825">
        <v>86.496375000000015</v>
      </c>
      <c r="P120" s="825">
        <v>105.84809999999999</v>
      </c>
      <c r="Q120" s="959">
        <v>79.489500000000007</v>
      </c>
      <c r="R120" s="825">
        <v>93.910350000000008</v>
      </c>
      <c r="S120" s="861">
        <v>120.60395</v>
      </c>
    </row>
    <row r="121" spans="1:19" ht="15" thickBot="1">
      <c r="A121" s="1519"/>
      <c r="B121" s="1520"/>
      <c r="C121" s="862" t="s">
        <v>815</v>
      </c>
      <c r="D121" s="829">
        <f t="shared" ref="D121" si="59">1/(0.55/D119+0.45/D120)</f>
        <v>56.125869562534703</v>
      </c>
      <c r="E121" s="840">
        <f t="shared" si="51"/>
        <v>58.411828520604793</v>
      </c>
      <c r="F121" s="841">
        <f t="shared" si="51"/>
        <v>68.26932531726213</v>
      </c>
      <c r="G121" s="863">
        <f t="shared" si="51"/>
        <v>80.14993628105546</v>
      </c>
      <c r="H121" s="840">
        <f t="shared" si="51"/>
        <v>62.803340690933268</v>
      </c>
      <c r="I121" s="841">
        <f t="shared" si="51"/>
        <v>75.096205700384431</v>
      </c>
      <c r="J121" s="841">
        <f t="shared" si="51"/>
        <v>93.805265726361583</v>
      </c>
      <c r="K121" s="840">
        <f t="shared" si="51"/>
        <v>66.144752767166963</v>
      </c>
      <c r="L121" s="841">
        <f t="shared" si="51"/>
        <v>80.892903020726834</v>
      </c>
      <c r="M121" s="841">
        <f t="shared" si="51"/>
        <v>99.20809328241026</v>
      </c>
      <c r="N121" s="840">
        <f t="shared" si="51"/>
        <v>75.167898232458484</v>
      </c>
      <c r="O121" s="841">
        <f t="shared" si="51"/>
        <v>93.718276739897377</v>
      </c>
      <c r="P121" s="841">
        <f t="shared" si="51"/>
        <v>115.72030781854413</v>
      </c>
      <c r="Q121" s="840">
        <f t="shared" si="51"/>
        <v>85.535154261809311</v>
      </c>
      <c r="R121" s="841">
        <f t="shared" si="51"/>
        <v>101.83784707792208</v>
      </c>
      <c r="S121" s="864">
        <f t="shared" si="51"/>
        <v>129.57244518740919</v>
      </c>
    </row>
    <row r="122" spans="1:19" ht="15" thickBot="1">
      <c r="A122" s="1519"/>
      <c r="B122" s="1518" t="s">
        <v>826</v>
      </c>
      <c r="C122" s="858" t="s">
        <v>809</v>
      </c>
      <c r="D122" s="829">
        <f t="shared" ref="D122:S122" si="60">MAX(1/(0.003259+1.1805/D119),$C$5*D119)</f>
        <v>43.881399209410709</v>
      </c>
      <c r="E122" s="829">
        <f t="shared" si="60"/>
        <v>45.523353765804494</v>
      </c>
      <c r="F122" s="818">
        <f t="shared" si="60"/>
        <v>52.162883702276005</v>
      </c>
      <c r="G122" s="859">
        <f t="shared" si="60"/>
        <v>59.546933799666377</v>
      </c>
      <c r="H122" s="829">
        <f t="shared" si="60"/>
        <v>48.636872573115426</v>
      </c>
      <c r="I122" s="818">
        <f t="shared" si="60"/>
        <v>56.478063175600802</v>
      </c>
      <c r="J122" s="818">
        <f t="shared" si="60"/>
        <v>67.659017281222575</v>
      </c>
      <c r="K122" s="829">
        <f t="shared" si="60"/>
        <v>50.723270540289342</v>
      </c>
      <c r="L122" s="818">
        <f t="shared" si="60"/>
        <v>60.200075034046144</v>
      </c>
      <c r="M122" s="818">
        <f t="shared" si="60"/>
        <v>70.832581005477223</v>
      </c>
      <c r="N122" s="829">
        <f t="shared" si="60"/>
        <v>55.705273489939124</v>
      </c>
      <c r="O122" s="818">
        <f t="shared" si="60"/>
        <v>66.689903183125168</v>
      </c>
      <c r="P122" s="818">
        <f t="shared" si="60"/>
        <v>78.852793580878313</v>
      </c>
      <c r="Q122" s="829">
        <f t="shared" si="60"/>
        <v>61.722611812792458</v>
      </c>
      <c r="R122" s="818">
        <f t="shared" si="60"/>
        <v>71.172693496635588</v>
      </c>
      <c r="S122" s="819">
        <f t="shared" si="60"/>
        <v>84.635216741751421</v>
      </c>
    </row>
    <row r="123" spans="1:19" ht="15" thickBot="1">
      <c r="A123" s="1519"/>
      <c r="B123" s="1519"/>
      <c r="C123" s="860" t="s">
        <v>814</v>
      </c>
      <c r="D123" s="829">
        <f t="shared" ref="D123:S123" si="61">MAX(1/(0.001376+1.3466/D120),$C$5*D120)</f>
        <v>36.410630689848283</v>
      </c>
      <c r="E123" s="959">
        <f t="shared" si="61"/>
        <v>37.70183646099396</v>
      </c>
      <c r="F123" s="825">
        <f t="shared" si="61"/>
        <v>43.431192797808698</v>
      </c>
      <c r="G123" s="824">
        <f t="shared" si="61"/>
        <v>50.398363887009126</v>
      </c>
      <c r="H123" s="959">
        <f t="shared" si="61"/>
        <v>40.157119058186296</v>
      </c>
      <c r="I123" s="825">
        <f t="shared" si="61"/>
        <v>47.433250782151759</v>
      </c>
      <c r="J123" s="825">
        <f t="shared" si="61"/>
        <v>58.091866060991585</v>
      </c>
      <c r="K123" s="959">
        <f t="shared" si="61"/>
        <v>42.239960539625386</v>
      </c>
      <c r="L123" s="825">
        <f t="shared" si="61"/>
        <v>50.625155229466365</v>
      </c>
      <c r="M123" s="825">
        <f t="shared" si="61"/>
        <v>60.975406925844005</v>
      </c>
      <c r="N123" s="959">
        <f t="shared" si="61"/>
        <v>48.304994573261368</v>
      </c>
      <c r="O123" s="825">
        <f t="shared" si="61"/>
        <v>59.016957539303554</v>
      </c>
      <c r="P123" s="825">
        <f t="shared" si="61"/>
        <v>70.932024672471201</v>
      </c>
      <c r="Q123" s="959">
        <f t="shared" si="61"/>
        <v>54.595278540393323</v>
      </c>
      <c r="R123" s="825">
        <f t="shared" si="61"/>
        <v>63.632630790546337</v>
      </c>
      <c r="S123" s="861">
        <f t="shared" si="61"/>
        <v>79.735458304091466</v>
      </c>
    </row>
    <row r="124" spans="1:19" ht="15" thickBot="1">
      <c r="A124" s="1519"/>
      <c r="B124" s="1520"/>
      <c r="C124" s="862" t="s">
        <v>815</v>
      </c>
      <c r="D124" s="829">
        <f t="shared" ref="D124" si="62">1/(0.55/D122+0.45/D123)</f>
        <v>40.172238704258838</v>
      </c>
      <c r="E124" s="840">
        <f t="shared" si="54"/>
        <v>41.636360574240591</v>
      </c>
      <c r="F124" s="841">
        <f t="shared" si="54"/>
        <v>47.835189102774692</v>
      </c>
      <c r="G124" s="863">
        <f t="shared" si="54"/>
        <v>55.050094613028101</v>
      </c>
      <c r="H124" s="840">
        <f t="shared" si="54"/>
        <v>44.416262729227007</v>
      </c>
      <c r="I124" s="841">
        <f t="shared" si="54"/>
        <v>52.01476569271793</v>
      </c>
      <c r="J124" s="841">
        <f t="shared" si="54"/>
        <v>62.990741086299771</v>
      </c>
      <c r="K124" s="840">
        <f t="shared" si="54"/>
        <v>46.519052709286555</v>
      </c>
      <c r="L124" s="841">
        <f t="shared" si="54"/>
        <v>55.478308574486448</v>
      </c>
      <c r="M124" s="841">
        <f t="shared" si="54"/>
        <v>66.02920791908484</v>
      </c>
      <c r="N124" s="840">
        <f t="shared" si="54"/>
        <v>52.112649862419943</v>
      </c>
      <c r="O124" s="841">
        <f t="shared" si="54"/>
        <v>63.003823456213922</v>
      </c>
      <c r="P124" s="841">
        <f t="shared" si="54"/>
        <v>75.080010591436206</v>
      </c>
      <c r="Q124" s="840">
        <f t="shared" si="54"/>
        <v>58.297800389712407</v>
      </c>
      <c r="R124" s="841">
        <f t="shared" si="54"/>
        <v>67.569730677026456</v>
      </c>
      <c r="S124" s="864">
        <f t="shared" si="54"/>
        <v>82.357810632091073</v>
      </c>
    </row>
    <row r="125" spans="1:19" ht="15" thickBot="1">
      <c r="A125" s="1515" t="s">
        <v>749</v>
      </c>
      <c r="B125" s="1515" t="s">
        <v>825</v>
      </c>
      <c r="C125" s="853" t="s">
        <v>809</v>
      </c>
      <c r="D125" s="829"/>
      <c r="E125" s="806"/>
      <c r="F125" s="800"/>
      <c r="G125" s="805"/>
      <c r="H125" s="806"/>
      <c r="I125" s="800"/>
      <c r="J125" s="800"/>
      <c r="K125" s="806"/>
      <c r="L125" s="800"/>
      <c r="M125" s="800"/>
      <c r="N125" s="806"/>
      <c r="O125" s="800"/>
      <c r="P125" s="800"/>
      <c r="Q125" s="806"/>
      <c r="R125" s="800"/>
      <c r="S125" s="801"/>
    </row>
    <row r="126" spans="1:19" ht="15" thickBot="1">
      <c r="A126" s="1516"/>
      <c r="B126" s="1516"/>
      <c r="C126" s="854" t="s">
        <v>814</v>
      </c>
      <c r="D126" s="829"/>
      <c r="E126" s="958"/>
      <c r="F126" s="804"/>
      <c r="G126" s="803"/>
      <c r="H126" s="958"/>
      <c r="I126" s="804"/>
      <c r="J126" s="804"/>
      <c r="K126" s="958"/>
      <c r="L126" s="804"/>
      <c r="M126" s="804"/>
      <c r="N126" s="958"/>
      <c r="O126" s="804"/>
      <c r="P126" s="804"/>
      <c r="Q126" s="958"/>
      <c r="R126" s="804"/>
      <c r="S126" s="855"/>
    </row>
    <row r="127" spans="1:19" ht="15" thickBot="1">
      <c r="A127" s="1516"/>
      <c r="B127" s="1517"/>
      <c r="C127" s="856" t="s">
        <v>815</v>
      </c>
      <c r="D127" s="829" t="e">
        <f t="shared" ref="D127:S139" si="63">1/(0.55/D125+0.45/D126)</f>
        <v>#DIV/0!</v>
      </c>
      <c r="E127" s="811" t="e">
        <f t="shared" si="63"/>
        <v>#DIV/0!</v>
      </c>
      <c r="F127" s="810" t="e">
        <f t="shared" si="63"/>
        <v>#DIV/0!</v>
      </c>
      <c r="G127" s="809" t="e">
        <f t="shared" si="63"/>
        <v>#DIV/0!</v>
      </c>
      <c r="H127" s="811" t="e">
        <f t="shared" si="63"/>
        <v>#DIV/0!</v>
      </c>
      <c r="I127" s="810" t="e">
        <f t="shared" si="63"/>
        <v>#DIV/0!</v>
      </c>
      <c r="J127" s="810" t="e">
        <f t="shared" si="63"/>
        <v>#DIV/0!</v>
      </c>
      <c r="K127" s="811" t="e">
        <f t="shared" si="63"/>
        <v>#DIV/0!</v>
      </c>
      <c r="L127" s="810" t="e">
        <f t="shared" si="63"/>
        <v>#DIV/0!</v>
      </c>
      <c r="M127" s="810" t="e">
        <f t="shared" si="63"/>
        <v>#DIV/0!</v>
      </c>
      <c r="N127" s="811" t="e">
        <f t="shared" si="63"/>
        <v>#DIV/0!</v>
      </c>
      <c r="O127" s="810" t="e">
        <f t="shared" si="63"/>
        <v>#DIV/0!</v>
      </c>
      <c r="P127" s="810" t="e">
        <f t="shared" si="63"/>
        <v>#DIV/0!</v>
      </c>
      <c r="Q127" s="811" t="e">
        <f t="shared" si="63"/>
        <v>#DIV/0!</v>
      </c>
      <c r="R127" s="810" t="e">
        <f t="shared" si="63"/>
        <v>#DIV/0!</v>
      </c>
      <c r="S127" s="857" t="e">
        <f t="shared" si="63"/>
        <v>#DIV/0!</v>
      </c>
    </row>
    <row r="128" spans="1:19" ht="15" thickBot="1">
      <c r="A128" s="1516"/>
      <c r="B128" s="1515" t="s">
        <v>826</v>
      </c>
      <c r="C128" s="853" t="s">
        <v>809</v>
      </c>
      <c r="D128" s="829" t="e">
        <f t="shared" ref="D128:S128" si="64">MAX(1/(0.003259+1.1805/D125),$C$5*D125)</f>
        <v>#DIV/0!</v>
      </c>
      <c r="E128" s="806" t="e">
        <f t="shared" si="64"/>
        <v>#DIV/0!</v>
      </c>
      <c r="F128" s="800" t="e">
        <f t="shared" si="64"/>
        <v>#DIV/0!</v>
      </c>
      <c r="G128" s="805" t="e">
        <f t="shared" si="64"/>
        <v>#DIV/0!</v>
      </c>
      <c r="H128" s="806" t="e">
        <f t="shared" si="64"/>
        <v>#DIV/0!</v>
      </c>
      <c r="I128" s="800" t="e">
        <f t="shared" si="64"/>
        <v>#DIV/0!</v>
      </c>
      <c r="J128" s="800" t="e">
        <f t="shared" si="64"/>
        <v>#DIV/0!</v>
      </c>
      <c r="K128" s="806" t="e">
        <f t="shared" si="64"/>
        <v>#DIV/0!</v>
      </c>
      <c r="L128" s="800" t="e">
        <f t="shared" si="64"/>
        <v>#DIV/0!</v>
      </c>
      <c r="M128" s="800" t="e">
        <f t="shared" si="64"/>
        <v>#DIV/0!</v>
      </c>
      <c r="N128" s="806" t="e">
        <f t="shared" si="64"/>
        <v>#DIV/0!</v>
      </c>
      <c r="O128" s="800" t="e">
        <f t="shared" si="64"/>
        <v>#DIV/0!</v>
      </c>
      <c r="P128" s="800" t="e">
        <f t="shared" si="64"/>
        <v>#DIV/0!</v>
      </c>
      <c r="Q128" s="806" t="e">
        <f t="shared" si="64"/>
        <v>#DIV/0!</v>
      </c>
      <c r="R128" s="800" t="e">
        <f t="shared" si="64"/>
        <v>#DIV/0!</v>
      </c>
      <c r="S128" s="801" t="e">
        <f t="shared" si="64"/>
        <v>#DIV/0!</v>
      </c>
    </row>
    <row r="129" spans="1:19" ht="15" thickBot="1">
      <c r="A129" s="1516"/>
      <c r="B129" s="1516"/>
      <c r="C129" s="854" t="s">
        <v>814</v>
      </c>
      <c r="D129" s="829" t="e">
        <f t="shared" ref="D129:S129" si="65">MAX(1/(0.001376+1.3466/D126),$C$5*D126)</f>
        <v>#DIV/0!</v>
      </c>
      <c r="E129" s="958" t="e">
        <f t="shared" si="65"/>
        <v>#DIV/0!</v>
      </c>
      <c r="F129" s="804" t="e">
        <f t="shared" si="65"/>
        <v>#DIV/0!</v>
      </c>
      <c r="G129" s="803" t="e">
        <f t="shared" si="65"/>
        <v>#DIV/0!</v>
      </c>
      <c r="H129" s="958" t="e">
        <f t="shared" si="65"/>
        <v>#DIV/0!</v>
      </c>
      <c r="I129" s="804" t="e">
        <f t="shared" si="65"/>
        <v>#DIV/0!</v>
      </c>
      <c r="J129" s="804" t="e">
        <f t="shared" si="65"/>
        <v>#DIV/0!</v>
      </c>
      <c r="K129" s="958" t="e">
        <f t="shared" si="65"/>
        <v>#DIV/0!</v>
      </c>
      <c r="L129" s="804" t="e">
        <f t="shared" si="65"/>
        <v>#DIV/0!</v>
      </c>
      <c r="M129" s="804" t="e">
        <f t="shared" si="65"/>
        <v>#DIV/0!</v>
      </c>
      <c r="N129" s="958" t="e">
        <f t="shared" si="65"/>
        <v>#DIV/0!</v>
      </c>
      <c r="O129" s="804" t="e">
        <f t="shared" si="65"/>
        <v>#DIV/0!</v>
      </c>
      <c r="P129" s="804" t="e">
        <f t="shared" si="65"/>
        <v>#DIV/0!</v>
      </c>
      <c r="Q129" s="958" t="e">
        <f t="shared" si="65"/>
        <v>#DIV/0!</v>
      </c>
      <c r="R129" s="804" t="e">
        <f t="shared" si="65"/>
        <v>#DIV/0!</v>
      </c>
      <c r="S129" s="855" t="e">
        <f t="shared" si="65"/>
        <v>#DIV/0!</v>
      </c>
    </row>
    <row r="130" spans="1:19" ht="15" thickBot="1">
      <c r="A130" s="1516"/>
      <c r="B130" s="1517"/>
      <c r="C130" s="856" t="s">
        <v>815</v>
      </c>
      <c r="D130" s="829" t="e">
        <f t="shared" ref="D130:S142" si="66">1/(0.55/D128+0.45/D129)</f>
        <v>#DIV/0!</v>
      </c>
      <c r="E130" s="811" t="e">
        <f t="shared" si="66"/>
        <v>#DIV/0!</v>
      </c>
      <c r="F130" s="810" t="e">
        <f t="shared" si="66"/>
        <v>#DIV/0!</v>
      </c>
      <c r="G130" s="809" t="e">
        <f t="shared" si="66"/>
        <v>#DIV/0!</v>
      </c>
      <c r="H130" s="811" t="e">
        <f t="shared" si="66"/>
        <v>#DIV/0!</v>
      </c>
      <c r="I130" s="810" t="e">
        <f t="shared" si="66"/>
        <v>#DIV/0!</v>
      </c>
      <c r="J130" s="810" t="e">
        <f t="shared" si="66"/>
        <v>#DIV/0!</v>
      </c>
      <c r="K130" s="811" t="e">
        <f t="shared" si="66"/>
        <v>#DIV/0!</v>
      </c>
      <c r="L130" s="810" t="e">
        <f t="shared" si="66"/>
        <v>#DIV/0!</v>
      </c>
      <c r="M130" s="810" t="e">
        <f t="shared" si="66"/>
        <v>#DIV/0!</v>
      </c>
      <c r="N130" s="811" t="e">
        <f t="shared" si="66"/>
        <v>#DIV/0!</v>
      </c>
      <c r="O130" s="810" t="e">
        <f t="shared" si="66"/>
        <v>#DIV/0!</v>
      </c>
      <c r="P130" s="810" t="e">
        <f t="shared" si="66"/>
        <v>#DIV/0!</v>
      </c>
      <c r="Q130" s="811" t="e">
        <f t="shared" si="66"/>
        <v>#DIV/0!</v>
      </c>
      <c r="R130" s="810" t="e">
        <f t="shared" si="66"/>
        <v>#DIV/0!</v>
      </c>
      <c r="S130" s="857" t="e">
        <f t="shared" si="66"/>
        <v>#DIV/0!</v>
      </c>
    </row>
    <row r="131" spans="1:19" ht="15" thickBot="1">
      <c r="A131" s="1518" t="s">
        <v>754</v>
      </c>
      <c r="B131" s="1518" t="s">
        <v>825</v>
      </c>
      <c r="C131" s="858" t="s">
        <v>809</v>
      </c>
      <c r="D131" s="829">
        <v>67.510000000000005</v>
      </c>
      <c r="E131" s="829">
        <v>70.489999999999995</v>
      </c>
      <c r="F131" s="818">
        <v>83.92</v>
      </c>
      <c r="G131" s="859">
        <v>96.97</v>
      </c>
      <c r="H131" s="829">
        <v>77.09</v>
      </c>
      <c r="I131" s="818">
        <v>91.55</v>
      </c>
      <c r="J131" s="818">
        <v>107.72</v>
      </c>
      <c r="K131" s="829">
        <v>87.88</v>
      </c>
      <c r="L131" s="818">
        <v>99.44</v>
      </c>
      <c r="M131" s="818">
        <v>114.77</v>
      </c>
      <c r="N131" s="829">
        <v>94.33</v>
      </c>
      <c r="O131" s="818">
        <v>109.98</v>
      </c>
      <c r="P131" s="818">
        <v>129.72</v>
      </c>
      <c r="Q131" s="829">
        <v>109.66</v>
      </c>
      <c r="R131" s="818">
        <v>123.58</v>
      </c>
      <c r="S131" s="819">
        <v>151.4</v>
      </c>
    </row>
    <row r="132" spans="1:19" ht="15" thickBot="1">
      <c r="A132" s="1519"/>
      <c r="B132" s="1519"/>
      <c r="C132" s="860" t="s">
        <v>814</v>
      </c>
      <c r="D132" s="829">
        <v>60.27</v>
      </c>
      <c r="E132" s="959">
        <v>62.77</v>
      </c>
      <c r="F132" s="825">
        <v>74.05</v>
      </c>
      <c r="G132" s="824">
        <v>84.98</v>
      </c>
      <c r="H132" s="959">
        <v>68.34</v>
      </c>
      <c r="I132" s="825">
        <v>80.459999999999994</v>
      </c>
      <c r="J132" s="825">
        <v>94.04</v>
      </c>
      <c r="K132" s="959">
        <v>69.16</v>
      </c>
      <c r="L132" s="825">
        <v>87.16</v>
      </c>
      <c r="M132" s="825">
        <v>98.89</v>
      </c>
      <c r="N132" s="959">
        <v>86</v>
      </c>
      <c r="O132" s="825">
        <v>98.92</v>
      </c>
      <c r="P132" s="825">
        <v>114.27</v>
      </c>
      <c r="Q132" s="959">
        <v>100.76</v>
      </c>
      <c r="R132" s="825">
        <v>110.56</v>
      </c>
      <c r="S132" s="861">
        <v>135.21</v>
      </c>
    </row>
    <row r="133" spans="1:19" ht="15" thickBot="1">
      <c r="A133" s="1519"/>
      <c r="B133" s="1520"/>
      <c r="C133" s="862" t="s">
        <v>815</v>
      </c>
      <c r="D133" s="829">
        <f t="shared" ref="D133" si="67">1/(0.55/D131+0.45/D132)</f>
        <v>64.047785228560642</v>
      </c>
      <c r="E133" s="840">
        <f t="shared" si="63"/>
        <v>66.793329207173471</v>
      </c>
      <c r="F133" s="841">
        <f t="shared" si="63"/>
        <v>79.171324283521145</v>
      </c>
      <c r="G133" s="863">
        <f t="shared" si="63"/>
        <v>91.180802319212617</v>
      </c>
      <c r="H133" s="840">
        <f t="shared" si="63"/>
        <v>72.890326865207015</v>
      </c>
      <c r="I133" s="841">
        <f t="shared" si="63"/>
        <v>86.203275580599282</v>
      </c>
      <c r="J133" s="841">
        <f t="shared" si="63"/>
        <v>101.10172861192063</v>
      </c>
      <c r="K133" s="840">
        <f t="shared" si="63"/>
        <v>78.338069705093829</v>
      </c>
      <c r="L133" s="841">
        <f t="shared" si="63"/>
        <v>93.511322098267257</v>
      </c>
      <c r="M133" s="841">
        <f t="shared" si="63"/>
        <v>107.03539646912368</v>
      </c>
      <c r="N133" s="840">
        <f t="shared" si="63"/>
        <v>90.390145796308559</v>
      </c>
      <c r="O133" s="841">
        <f t="shared" si="63"/>
        <v>104.71160476240892</v>
      </c>
      <c r="P133" s="841">
        <f t="shared" si="63"/>
        <v>122.28014106292147</v>
      </c>
      <c r="Q133" s="840">
        <f t="shared" si="63"/>
        <v>105.46787190378465</v>
      </c>
      <c r="R133" s="841">
        <f t="shared" si="63"/>
        <v>117.36060952250062</v>
      </c>
      <c r="S133" s="864">
        <f t="shared" si="63"/>
        <v>143.65923134414771</v>
      </c>
    </row>
    <row r="134" spans="1:19" ht="15" thickBot="1">
      <c r="A134" s="1519"/>
      <c r="B134" s="1518" t="s">
        <v>826</v>
      </c>
      <c r="C134" s="858" t="s">
        <v>809</v>
      </c>
      <c r="D134" s="829">
        <f t="shared" ref="D134:S134" si="68">MAX(1/(0.003259+1.1805/D131),$C$5*D131)</f>
        <v>48.203693399690529</v>
      </c>
      <c r="E134" s="829">
        <f t="shared" si="68"/>
        <v>49.984863783375104</v>
      </c>
      <c r="F134" s="818">
        <f t="shared" si="68"/>
        <v>57.716831102780468</v>
      </c>
      <c r="G134" s="859">
        <f t="shared" si="68"/>
        <v>64.796769246583295</v>
      </c>
      <c r="H134" s="829">
        <f t="shared" si="68"/>
        <v>53.843713721278739</v>
      </c>
      <c r="I134" s="818">
        <f t="shared" si="68"/>
        <v>61.905731601834624</v>
      </c>
      <c r="J134" s="818">
        <f t="shared" si="68"/>
        <v>70.333540033326031</v>
      </c>
      <c r="K134" s="829">
        <f t="shared" si="68"/>
        <v>59.908613323386547</v>
      </c>
      <c r="L134" s="818">
        <f t="shared" si="68"/>
        <v>66.091755242291143</v>
      </c>
      <c r="M134" s="818">
        <f t="shared" si="68"/>
        <v>73.829131060718254</v>
      </c>
      <c r="N134" s="829">
        <f t="shared" si="68"/>
        <v>63.397163023664142</v>
      </c>
      <c r="O134" s="818">
        <f t="shared" si="68"/>
        <v>71.465479385796115</v>
      </c>
      <c r="P134" s="818">
        <f t="shared" si="68"/>
        <v>80.91027275294546</v>
      </c>
      <c r="Q134" s="829">
        <f t="shared" si="68"/>
        <v>71.305863699784382</v>
      </c>
      <c r="R134" s="818">
        <f t="shared" si="68"/>
        <v>78.054771509404574</v>
      </c>
      <c r="S134" s="819">
        <f t="shared" si="68"/>
        <v>90.446777209276036</v>
      </c>
    </row>
    <row r="135" spans="1:19" ht="15" thickBot="1">
      <c r="A135" s="1519"/>
      <c r="B135" s="1519"/>
      <c r="C135" s="860" t="s">
        <v>814</v>
      </c>
      <c r="D135" s="829">
        <f t="shared" ref="D135:S135" si="69">MAX(1/(0.001376+1.3466/D132),$C$5*D132)</f>
        <v>42.160665334612567</v>
      </c>
      <c r="E135" s="959">
        <f t="shared" si="69"/>
        <v>43.804080628203977</v>
      </c>
      <c r="F135" s="825">
        <f t="shared" si="69"/>
        <v>51.12210430041489</v>
      </c>
      <c r="G135" s="824">
        <f t="shared" si="69"/>
        <v>58.064990809086801</v>
      </c>
      <c r="H135" s="959">
        <f t="shared" si="69"/>
        <v>47.437387091522034</v>
      </c>
      <c r="I135" s="825">
        <f t="shared" si="69"/>
        <v>55.211201854679182</v>
      </c>
      <c r="J135" s="825">
        <f t="shared" si="69"/>
        <v>63.712778566576851</v>
      </c>
      <c r="K135" s="959">
        <f t="shared" si="69"/>
        <v>47.969010410135319</v>
      </c>
      <c r="L135" s="825">
        <f t="shared" si="69"/>
        <v>59.432723248292078</v>
      </c>
      <c r="M135" s="825">
        <f t="shared" si="69"/>
        <v>66.697123378495732</v>
      </c>
      <c r="N135" s="959">
        <f t="shared" si="69"/>
        <v>58.705636287182514</v>
      </c>
      <c r="O135" s="825">
        <f t="shared" si="69"/>
        <v>66.715499642709219</v>
      </c>
      <c r="P135" s="825">
        <f t="shared" si="69"/>
        <v>75.985703542898094</v>
      </c>
      <c r="Q135" s="959">
        <f t="shared" si="69"/>
        <v>67.840624571114745</v>
      </c>
      <c r="R135" s="825">
        <f t="shared" si="69"/>
        <v>73.769096961631305</v>
      </c>
      <c r="S135" s="861">
        <f t="shared" si="69"/>
        <v>88.219809968748493</v>
      </c>
    </row>
    <row r="136" spans="1:19" ht="15" thickBot="1">
      <c r="A136" s="1519"/>
      <c r="B136" s="1520"/>
      <c r="C136" s="862" t="s">
        <v>815</v>
      </c>
      <c r="D136" s="829">
        <f t="shared" ref="D136" si="70">1/(0.55/D134+0.45/D135)</f>
        <v>45.28294382863232</v>
      </c>
      <c r="E136" s="840">
        <f t="shared" si="66"/>
        <v>47.000550603431613</v>
      </c>
      <c r="F136" s="841">
        <f t="shared" si="66"/>
        <v>54.550203620110409</v>
      </c>
      <c r="G136" s="863">
        <f t="shared" si="66"/>
        <v>61.583885215002084</v>
      </c>
      <c r="H136" s="840">
        <f t="shared" si="66"/>
        <v>50.759006534804847</v>
      </c>
      <c r="I136" s="841">
        <f t="shared" si="66"/>
        <v>58.702684322392507</v>
      </c>
      <c r="J136" s="841">
        <f t="shared" si="66"/>
        <v>67.191523969079199</v>
      </c>
      <c r="K136" s="840">
        <f t="shared" si="66"/>
        <v>53.874357206028222</v>
      </c>
      <c r="L136" s="841">
        <f t="shared" si="66"/>
        <v>62.919394829684826</v>
      </c>
      <c r="M136" s="841">
        <f t="shared" si="66"/>
        <v>70.439641134961093</v>
      </c>
      <c r="N136" s="840">
        <f t="shared" si="66"/>
        <v>61.19640242650155</v>
      </c>
      <c r="O136" s="841">
        <f t="shared" si="66"/>
        <v>69.246885689774786</v>
      </c>
      <c r="P136" s="841">
        <f t="shared" si="66"/>
        <v>78.61746364218186</v>
      </c>
      <c r="Q136" s="840">
        <f t="shared" si="66"/>
        <v>69.703682581618992</v>
      </c>
      <c r="R136" s="841">
        <f t="shared" si="66"/>
        <v>76.066165450893081</v>
      </c>
      <c r="S136" s="864">
        <f t="shared" si="66"/>
        <v>89.430884715509336</v>
      </c>
    </row>
    <row r="137" spans="1:19" ht="15" thickBot="1">
      <c r="A137" s="1515" t="s">
        <v>758</v>
      </c>
      <c r="B137" s="1515" t="s">
        <v>825</v>
      </c>
      <c r="C137" s="853" t="s">
        <v>809</v>
      </c>
      <c r="D137" s="829">
        <v>82.51</v>
      </c>
      <c r="E137" s="806">
        <v>87.02</v>
      </c>
      <c r="F137" s="800">
        <v>98.82</v>
      </c>
      <c r="G137" s="805">
        <v>113.43</v>
      </c>
      <c r="H137" s="806">
        <v>97.47</v>
      </c>
      <c r="I137" s="800">
        <v>114.93</v>
      </c>
      <c r="J137" s="800">
        <v>132.85</v>
      </c>
      <c r="K137" s="806">
        <v>102.24</v>
      </c>
      <c r="L137" s="800">
        <v>122.55</v>
      </c>
      <c r="M137" s="800">
        <v>142.69</v>
      </c>
      <c r="N137" s="806">
        <v>114.62</v>
      </c>
      <c r="O137" s="800">
        <v>139.05000000000001</v>
      </c>
      <c r="P137" s="800">
        <v>166.82</v>
      </c>
      <c r="Q137" s="806">
        <v>128.77000000000001</v>
      </c>
      <c r="R137" s="800">
        <v>154.49</v>
      </c>
      <c r="S137" s="801">
        <v>189.17</v>
      </c>
    </row>
    <row r="138" spans="1:19" ht="15" thickBot="1">
      <c r="A138" s="1516"/>
      <c r="B138" s="1516"/>
      <c r="C138" s="854" t="s">
        <v>814</v>
      </c>
      <c r="D138" s="829">
        <v>84.09</v>
      </c>
      <c r="E138" s="958">
        <v>86.91</v>
      </c>
      <c r="F138" s="804">
        <v>97.31</v>
      </c>
      <c r="G138" s="803">
        <v>111.11</v>
      </c>
      <c r="H138" s="958">
        <v>95.44</v>
      </c>
      <c r="I138" s="804">
        <v>110.73</v>
      </c>
      <c r="J138" s="804">
        <v>126.74</v>
      </c>
      <c r="K138" s="958">
        <v>99.03</v>
      </c>
      <c r="L138" s="804">
        <v>115.76</v>
      </c>
      <c r="M138" s="804">
        <v>132.88999999999999</v>
      </c>
      <c r="N138" s="958">
        <v>114.85</v>
      </c>
      <c r="O138" s="804">
        <v>136.1</v>
      </c>
      <c r="P138" s="804">
        <v>160.35</v>
      </c>
      <c r="Q138" s="958">
        <v>128.05000000000001</v>
      </c>
      <c r="R138" s="804">
        <v>149.47999999999999</v>
      </c>
      <c r="S138" s="855">
        <v>185.73</v>
      </c>
    </row>
    <row r="139" spans="1:19" ht="15" thickBot="1">
      <c r="A139" s="1516"/>
      <c r="B139" s="1517"/>
      <c r="C139" s="856" t="s">
        <v>815</v>
      </c>
      <c r="D139" s="829">
        <f t="shared" ref="D139" si="71">1/(0.55/D137+0.45/D138)</f>
        <v>83.213589752815452</v>
      </c>
      <c r="E139" s="811">
        <f t="shared" si="63"/>
        <v>86.970465561554505</v>
      </c>
      <c r="F139" s="810">
        <f t="shared" si="63"/>
        <v>98.134740967144424</v>
      </c>
      <c r="G139" s="809">
        <f t="shared" si="63"/>
        <v>112.37412218913279</v>
      </c>
      <c r="H139" s="811">
        <f t="shared" si="63"/>
        <v>96.545914782545523</v>
      </c>
      <c r="I139" s="810">
        <f t="shared" si="63"/>
        <v>113.00123335109218</v>
      </c>
      <c r="J139" s="810">
        <f t="shared" si="63"/>
        <v>130.02914522026882</v>
      </c>
      <c r="K139" s="811">
        <f t="shared" si="63"/>
        <v>100.77011779108132</v>
      </c>
      <c r="L139" s="810">
        <f t="shared" si="63"/>
        <v>119.3984623218351</v>
      </c>
      <c r="M139" s="810">
        <f t="shared" si="63"/>
        <v>138.1068761835397</v>
      </c>
      <c r="N139" s="811">
        <f t="shared" si="63"/>
        <v>114.72338589848056</v>
      </c>
      <c r="O139" s="810">
        <f t="shared" si="63"/>
        <v>137.70682723617907</v>
      </c>
      <c r="P139" s="810">
        <f t="shared" si="63"/>
        <v>163.84504001249528</v>
      </c>
      <c r="Q139" s="811">
        <f t="shared" si="63"/>
        <v>128.44500054528174</v>
      </c>
      <c r="R139" s="810">
        <f t="shared" si="63"/>
        <v>152.19455825800989</v>
      </c>
      <c r="S139" s="857">
        <f t="shared" si="63"/>
        <v>187.60636113157977</v>
      </c>
    </row>
    <row r="140" spans="1:19" ht="15" thickBot="1">
      <c r="A140" s="1516"/>
      <c r="B140" s="1515" t="s">
        <v>826</v>
      </c>
      <c r="C140" s="853" t="s">
        <v>809</v>
      </c>
      <c r="D140" s="829">
        <f t="shared" ref="D140:S140" si="72">MAX(1/(0.003259+1.1805/D137),$C$5*D137)</f>
        <v>56.927000742769373</v>
      </c>
      <c r="E140" s="806">
        <f t="shared" si="72"/>
        <v>59.435904769719741</v>
      </c>
      <c r="F140" s="800">
        <f t="shared" si="72"/>
        <v>65.768002353432294</v>
      </c>
      <c r="G140" s="805">
        <f t="shared" si="72"/>
        <v>73.172696718099075</v>
      </c>
      <c r="H140" s="806">
        <f t="shared" si="72"/>
        <v>65.060035554538473</v>
      </c>
      <c r="I140" s="800">
        <f t="shared" si="72"/>
        <v>73.907264883502293</v>
      </c>
      <c r="J140" s="800">
        <f t="shared" si="72"/>
        <v>82.338671133180611</v>
      </c>
      <c r="K140" s="806">
        <f t="shared" si="72"/>
        <v>67.54309915644059</v>
      </c>
      <c r="L140" s="800">
        <f t="shared" si="72"/>
        <v>77.568669397299033</v>
      </c>
      <c r="M140" s="800">
        <f t="shared" si="72"/>
        <v>86.713876555671334</v>
      </c>
      <c r="N140" s="806">
        <f t="shared" si="72"/>
        <v>73.755832981531356</v>
      </c>
      <c r="O140" s="800">
        <f t="shared" si="72"/>
        <v>85.115424136034832</v>
      </c>
      <c r="P140" s="800">
        <f t="shared" si="72"/>
        <v>96.754003520240303</v>
      </c>
      <c r="Q140" s="806">
        <f t="shared" si="72"/>
        <v>80.473130764062972</v>
      </c>
      <c r="R140" s="800">
        <f t="shared" si="72"/>
        <v>91.740836015966451</v>
      </c>
      <c r="S140" s="801">
        <f t="shared" si="72"/>
        <v>105.26959960707509</v>
      </c>
    </row>
    <row r="141" spans="1:19" ht="15" thickBot="1">
      <c r="A141" s="1516"/>
      <c r="B141" s="1516"/>
      <c r="C141" s="854" t="s">
        <v>814</v>
      </c>
      <c r="D141" s="829">
        <f t="shared" ref="D141:S141" si="73">MAX(1/(0.001376+1.3466/D138),$C$5*D138)</f>
        <v>57.504991561831467</v>
      </c>
      <c r="E141" s="958">
        <f t="shared" si="73"/>
        <v>59.27615729757359</v>
      </c>
      <c r="F141" s="804">
        <f t="shared" si="73"/>
        <v>65.727858593796938</v>
      </c>
      <c r="G141" s="803">
        <f t="shared" si="73"/>
        <v>74.098657290448912</v>
      </c>
      <c r="H141" s="958">
        <f t="shared" si="73"/>
        <v>64.577005995647511</v>
      </c>
      <c r="I141" s="804">
        <f t="shared" si="73"/>
        <v>73.870996596263581</v>
      </c>
      <c r="J141" s="804">
        <f t="shared" si="73"/>
        <v>83.32707426952517</v>
      </c>
      <c r="K141" s="958">
        <f t="shared" si="73"/>
        <v>66.782870524826095</v>
      </c>
      <c r="L141" s="804">
        <f t="shared" si="73"/>
        <v>76.871701077776308</v>
      </c>
      <c r="M141" s="804">
        <f t="shared" si="73"/>
        <v>86.887065984426982</v>
      </c>
      <c r="N141" s="958">
        <f t="shared" si="73"/>
        <v>76.33087550351128</v>
      </c>
      <c r="O141" s="804">
        <f t="shared" si="73"/>
        <v>88.729605881475493</v>
      </c>
      <c r="P141" s="804">
        <f t="shared" si="73"/>
        <v>102.31351694595141</v>
      </c>
      <c r="Q141" s="958">
        <f t="shared" si="73"/>
        <v>84.088697848590172</v>
      </c>
      <c r="R141" s="804">
        <f t="shared" si="73"/>
        <v>96.296781888845516</v>
      </c>
      <c r="S141" s="855">
        <f t="shared" si="73"/>
        <v>115.92442743456651</v>
      </c>
    </row>
    <row r="142" spans="1:19" ht="15" thickBot="1">
      <c r="A142" s="1516"/>
      <c r="B142" s="1517"/>
      <c r="C142" s="856" t="s">
        <v>815</v>
      </c>
      <c r="D142" s="829">
        <f t="shared" ref="D142" si="74">1/(0.55/D140+0.45/D141)</f>
        <v>57.1856522351761</v>
      </c>
      <c r="E142" s="811">
        <f t="shared" si="66"/>
        <v>59.363911983938422</v>
      </c>
      <c r="F142" s="810">
        <f t="shared" si="66"/>
        <v>65.74993159503687</v>
      </c>
      <c r="G142" s="809">
        <f t="shared" si="66"/>
        <v>73.586498932907389</v>
      </c>
      <c r="H142" s="811">
        <f t="shared" si="66"/>
        <v>64.841781032157854</v>
      </c>
      <c r="I142" s="810">
        <f t="shared" si="66"/>
        <v>73.890939748093643</v>
      </c>
      <c r="J142" s="810">
        <f t="shared" si="66"/>
        <v>82.780535240612878</v>
      </c>
      <c r="K142" s="811">
        <f t="shared" si="66"/>
        <v>67.198865291494272</v>
      </c>
      <c r="L142" s="810">
        <f t="shared" si="66"/>
        <v>77.253476015723265</v>
      </c>
      <c r="M142" s="810">
        <f t="shared" si="66"/>
        <v>86.791726281592034</v>
      </c>
      <c r="N142" s="811">
        <f t="shared" si="66"/>
        <v>74.892770429553281</v>
      </c>
      <c r="O142" s="810">
        <f t="shared" si="66"/>
        <v>86.704689940053058</v>
      </c>
      <c r="P142" s="810">
        <f t="shared" si="66"/>
        <v>99.179142503243483</v>
      </c>
      <c r="Q142" s="811">
        <f t="shared" si="66"/>
        <v>82.060900757939919</v>
      </c>
      <c r="R142" s="810">
        <f t="shared" si="66"/>
        <v>93.736502862140227</v>
      </c>
      <c r="S142" s="857">
        <f t="shared" si="66"/>
        <v>109.81143682318205</v>
      </c>
    </row>
    <row r="143" spans="1:19" ht="15" thickBot="1">
      <c r="A143" s="1518" t="s">
        <v>769</v>
      </c>
      <c r="B143" s="1518" t="s">
        <v>825</v>
      </c>
      <c r="C143" s="858" t="s">
        <v>809</v>
      </c>
      <c r="D143" s="829">
        <v>50.44</v>
      </c>
      <c r="E143" s="829">
        <v>58.93</v>
      </c>
      <c r="F143" s="818">
        <v>68.66</v>
      </c>
      <c r="G143" s="859">
        <v>79.53</v>
      </c>
      <c r="H143" s="829">
        <v>64.36</v>
      </c>
      <c r="I143" s="818">
        <v>79.680000000000007</v>
      </c>
      <c r="J143" s="818">
        <v>90.58</v>
      </c>
      <c r="K143" s="829">
        <v>69.849999999999994</v>
      </c>
      <c r="L143" s="818">
        <v>85.55</v>
      </c>
      <c r="M143" s="818">
        <v>99</v>
      </c>
      <c r="N143" s="829">
        <v>80.209999999999994</v>
      </c>
      <c r="O143" s="818">
        <v>95.58</v>
      </c>
      <c r="P143" s="818">
        <v>115.95</v>
      </c>
      <c r="Q143" s="829">
        <v>91.75</v>
      </c>
      <c r="R143" s="818">
        <v>108.86</v>
      </c>
      <c r="S143" s="819">
        <v>133.03</v>
      </c>
    </row>
    <row r="144" spans="1:19" ht="15" thickBot="1">
      <c r="A144" s="1519"/>
      <c r="B144" s="1519"/>
      <c r="C144" s="860" t="s">
        <v>814</v>
      </c>
      <c r="D144" s="829">
        <v>45.65</v>
      </c>
      <c r="E144" s="959">
        <v>53.02</v>
      </c>
      <c r="F144" s="825">
        <v>61.49</v>
      </c>
      <c r="G144" s="824">
        <v>71.22</v>
      </c>
      <c r="H144" s="959">
        <v>57.85</v>
      </c>
      <c r="I144" s="825">
        <v>70.77</v>
      </c>
      <c r="J144" s="825">
        <v>80.37</v>
      </c>
      <c r="K144" s="959">
        <v>62.69</v>
      </c>
      <c r="L144" s="825">
        <v>75.56</v>
      </c>
      <c r="M144" s="825">
        <v>86.5</v>
      </c>
      <c r="N144" s="959">
        <v>74.17</v>
      </c>
      <c r="O144" s="825">
        <v>87.3</v>
      </c>
      <c r="P144" s="825">
        <v>102.88</v>
      </c>
      <c r="Q144" s="959">
        <v>85.29</v>
      </c>
      <c r="R144" s="825">
        <v>98.26</v>
      </c>
      <c r="S144" s="861">
        <v>120</v>
      </c>
    </row>
    <row r="145" spans="1:19" ht="15" thickBot="1">
      <c r="A145" s="1519"/>
      <c r="B145" s="1520"/>
      <c r="C145" s="862" t="s">
        <v>815</v>
      </c>
      <c r="D145" s="829">
        <f t="shared" ref="D145:S145" si="75">1/(0.55/D143+0.45/D144)</f>
        <v>48.165713150160542</v>
      </c>
      <c r="E145" s="840">
        <f t="shared" si="75"/>
        <v>56.115241695776724</v>
      </c>
      <c r="F145" s="841">
        <f t="shared" si="75"/>
        <v>65.236893218885442</v>
      </c>
      <c r="G145" s="863">
        <f t="shared" si="75"/>
        <v>75.562491745542587</v>
      </c>
      <c r="H145" s="840">
        <f t="shared" si="75"/>
        <v>61.257924135604938</v>
      </c>
      <c r="I145" s="841">
        <f t="shared" si="75"/>
        <v>75.407746775520025</v>
      </c>
      <c r="J145" s="841">
        <f t="shared" si="75"/>
        <v>85.681838885652226</v>
      </c>
      <c r="K145" s="840">
        <f t="shared" si="75"/>
        <v>66.435497329773014</v>
      </c>
      <c r="L145" s="841">
        <f t="shared" si="75"/>
        <v>80.745957491989941</v>
      </c>
      <c r="M145" s="841">
        <f t="shared" si="75"/>
        <v>92.955223880597018</v>
      </c>
      <c r="N145" s="840">
        <f t="shared" si="75"/>
        <v>77.374566902507539</v>
      </c>
      <c r="O145" s="841">
        <f t="shared" si="75"/>
        <v>91.667589479928807</v>
      </c>
      <c r="P145" s="841">
        <f t="shared" si="75"/>
        <v>109.67976719703202</v>
      </c>
      <c r="Q145" s="840">
        <f t="shared" si="75"/>
        <v>88.725892037144106</v>
      </c>
      <c r="R145" s="841">
        <f t="shared" si="75"/>
        <v>103.82008735319808</v>
      </c>
      <c r="S145" s="864">
        <f t="shared" si="75"/>
        <v>126.83264012203695</v>
      </c>
    </row>
    <row r="146" spans="1:19" ht="15" thickBot="1">
      <c r="A146" s="1519"/>
      <c r="B146" s="1518" t="s">
        <v>826</v>
      </c>
      <c r="C146" s="858" t="s">
        <v>809</v>
      </c>
      <c r="D146" s="829">
        <f t="shared" ref="D146:S146" si="76">MAX(1/(0.003259+1.1805/D143),$C$5*D143)</f>
        <v>37.505094491572336</v>
      </c>
      <c r="E146" s="829">
        <f t="shared" si="76"/>
        <v>42.934593841911529</v>
      </c>
      <c r="F146" s="818">
        <f t="shared" si="76"/>
        <v>48.893977078110453</v>
      </c>
      <c r="G146" s="859">
        <f t="shared" si="76"/>
        <v>55.241125219419885</v>
      </c>
      <c r="H146" s="829">
        <f t="shared" si="76"/>
        <v>46.293857351793974</v>
      </c>
      <c r="I146" s="818">
        <f t="shared" si="76"/>
        <v>55.326528170368384</v>
      </c>
      <c r="J146" s="818">
        <f t="shared" si="76"/>
        <v>61.38103035588081</v>
      </c>
      <c r="K146" s="829">
        <f t="shared" si="76"/>
        <v>49.604402229137314</v>
      </c>
      <c r="L146" s="818">
        <f t="shared" si="76"/>
        <v>58.623698522199689</v>
      </c>
      <c r="M146" s="818">
        <f t="shared" si="76"/>
        <v>65.862084794440435</v>
      </c>
      <c r="N146" s="829">
        <f t="shared" si="76"/>
        <v>55.627821481284194</v>
      </c>
      <c r="O146" s="818">
        <f t="shared" si="76"/>
        <v>64.061867436813898</v>
      </c>
      <c r="P146" s="818">
        <f t="shared" si="76"/>
        <v>74.404138833695384</v>
      </c>
      <c r="Q146" s="829">
        <f t="shared" si="76"/>
        <v>62.013638607156778</v>
      </c>
      <c r="R146" s="818">
        <f t="shared" si="76"/>
        <v>70.905875778298807</v>
      </c>
      <c r="S146" s="819">
        <f t="shared" si="76"/>
        <v>82.4202664465125</v>
      </c>
    </row>
    <row r="147" spans="1:19" ht="15" thickBot="1">
      <c r="A147" s="1519"/>
      <c r="B147" s="1519"/>
      <c r="C147" s="860" t="s">
        <v>814</v>
      </c>
      <c r="D147" s="829">
        <f t="shared" ref="D147:S147" si="77">MAX(1/(0.001376+1.3466/D144),$C$5*D144)</f>
        <v>32.389338437297077</v>
      </c>
      <c r="E147" s="959">
        <f t="shared" si="77"/>
        <v>37.34971915716266</v>
      </c>
      <c r="F147" s="825">
        <f t="shared" si="77"/>
        <v>42.963638940984659</v>
      </c>
      <c r="G147" s="824">
        <f t="shared" si="77"/>
        <v>49.300888207903164</v>
      </c>
      <c r="H147" s="959">
        <f t="shared" si="77"/>
        <v>40.562287968264798</v>
      </c>
      <c r="I147" s="825">
        <f t="shared" si="77"/>
        <v>49.010390396672662</v>
      </c>
      <c r="J147" s="825">
        <f t="shared" si="77"/>
        <v>55.154131263346244</v>
      </c>
      <c r="K147" s="959">
        <f t="shared" si="77"/>
        <v>43.751613554482979</v>
      </c>
      <c r="L147" s="825">
        <f t="shared" si="77"/>
        <v>52.089848011254283</v>
      </c>
      <c r="M147" s="825">
        <f t="shared" si="77"/>
        <v>59.019230034442671</v>
      </c>
      <c r="N147" s="959">
        <f t="shared" si="77"/>
        <v>51.199112624186675</v>
      </c>
      <c r="O147" s="825">
        <f t="shared" si="77"/>
        <v>59.520368101773428</v>
      </c>
      <c r="P147" s="825">
        <f t="shared" si="77"/>
        <v>69.132217570162751</v>
      </c>
      <c r="Q147" s="959">
        <f t="shared" si="77"/>
        <v>58.259826723020886</v>
      </c>
      <c r="R147" s="825">
        <f t="shared" si="77"/>
        <v>66.310985321045052</v>
      </c>
      <c r="S147" s="861">
        <f t="shared" si="77"/>
        <v>79.379779324213473</v>
      </c>
    </row>
    <row r="148" spans="1:19" ht="15" thickBot="1">
      <c r="A148" s="1519"/>
      <c r="B148" s="1520"/>
      <c r="C148" s="862" t="s">
        <v>815</v>
      </c>
      <c r="D148" s="829">
        <f t="shared" ref="D148:S148" si="78">1/(0.55/D146+0.45/D147)</f>
        <v>35.016292077666243</v>
      </c>
      <c r="E148" s="840">
        <f t="shared" si="78"/>
        <v>40.22774330525484</v>
      </c>
      <c r="F148" s="841">
        <f t="shared" si="78"/>
        <v>46.034576104131361</v>
      </c>
      <c r="G148" s="863">
        <f t="shared" si="78"/>
        <v>52.399984763451556</v>
      </c>
      <c r="H148" s="840">
        <f t="shared" si="78"/>
        <v>43.526187682747825</v>
      </c>
      <c r="I148" s="841">
        <f t="shared" si="78"/>
        <v>52.293848427941192</v>
      </c>
      <c r="J148" s="841">
        <f t="shared" si="78"/>
        <v>58.413341642793988</v>
      </c>
      <c r="K148" s="840">
        <f t="shared" si="78"/>
        <v>46.787871026438374</v>
      </c>
      <c r="L148" s="841">
        <f t="shared" si="78"/>
        <v>55.491460393112803</v>
      </c>
      <c r="M148" s="841">
        <f t="shared" si="78"/>
        <v>62.596175661923041</v>
      </c>
      <c r="N148" s="840">
        <f t="shared" si="78"/>
        <v>53.543641986582422</v>
      </c>
      <c r="O148" s="841">
        <f t="shared" si="78"/>
        <v>61.935275163065782</v>
      </c>
      <c r="P148" s="841">
        <f t="shared" si="78"/>
        <v>71.935573359346236</v>
      </c>
      <c r="Q148" s="840">
        <f t="shared" si="78"/>
        <v>60.26624804855426</v>
      </c>
      <c r="R148" s="841">
        <f t="shared" si="78"/>
        <v>68.761755469638089</v>
      </c>
      <c r="S148" s="864">
        <f t="shared" si="78"/>
        <v>81.02371181370215</v>
      </c>
    </row>
    <row r="149" spans="1:19" ht="13.8">
      <c r="A149" s="730"/>
      <c r="B149" s="730"/>
      <c r="C149" s="730"/>
      <c r="D149" s="730"/>
      <c r="E149" s="730"/>
      <c r="F149" s="730"/>
      <c r="G149" s="730"/>
      <c r="H149" s="730"/>
      <c r="I149" s="730"/>
      <c r="J149" s="730"/>
      <c r="K149" s="730"/>
      <c r="L149" s="730"/>
      <c r="M149" s="730"/>
      <c r="N149" s="730"/>
      <c r="O149" s="730"/>
      <c r="P149" s="730"/>
      <c r="Q149" s="730"/>
      <c r="R149" s="730"/>
      <c r="S149" s="730"/>
    </row>
    <row r="150" spans="1:19" ht="13.8">
      <c r="A150" s="730" t="s">
        <v>827</v>
      </c>
      <c r="B150" s="730"/>
      <c r="C150" s="730"/>
      <c r="D150" s="730"/>
      <c r="E150" s="730"/>
      <c r="F150" s="730"/>
      <c r="G150" s="730"/>
      <c r="H150" s="730"/>
      <c r="I150" s="730"/>
      <c r="J150" s="730"/>
      <c r="K150" s="730"/>
      <c r="L150" s="730"/>
      <c r="M150" s="730"/>
      <c r="N150" s="730"/>
      <c r="O150" s="730"/>
      <c r="P150" s="730"/>
      <c r="Q150" s="730"/>
      <c r="R150" s="730"/>
      <c r="S150" s="730"/>
    </row>
    <row r="153" spans="1:19" ht="14.4">
      <c r="A153" s="1513" t="s">
        <v>828</v>
      </c>
      <c r="B153" s="1513"/>
      <c r="C153" s="1513"/>
      <c r="D153" s="1513"/>
      <c r="E153" s="1513"/>
      <c r="F153" s="1513"/>
      <c r="G153" s="1513"/>
      <c r="H153" s="1513"/>
    </row>
    <row r="154" spans="1:19" ht="14.4">
      <c r="A154" s="866" t="s">
        <v>829</v>
      </c>
      <c r="B154" s="1514" t="s">
        <v>830</v>
      </c>
      <c r="C154" s="1514"/>
      <c r="D154" s="1514"/>
      <c r="E154" s="1514"/>
      <c r="F154" s="1514"/>
      <c r="G154" s="1514"/>
      <c r="H154" s="1514"/>
    </row>
    <row r="155" spans="1:19" ht="14.4">
      <c r="A155" s="867" t="s">
        <v>809</v>
      </c>
      <c r="B155" s="1509" t="s">
        <v>831</v>
      </c>
      <c r="C155" s="1509"/>
      <c r="D155" s="1509"/>
      <c r="E155" s="1509"/>
      <c r="F155" s="1509"/>
      <c r="G155" s="1509"/>
      <c r="H155" s="1509"/>
    </row>
    <row r="156" spans="1:19" ht="14.4">
      <c r="A156" s="867" t="s">
        <v>814</v>
      </c>
      <c r="B156" s="1509" t="s">
        <v>832</v>
      </c>
      <c r="C156" s="1509"/>
      <c r="D156" s="1509"/>
      <c r="E156" s="1509"/>
      <c r="F156" s="1509"/>
      <c r="G156" s="1509"/>
      <c r="H156" s="1509"/>
    </row>
    <row r="157" spans="1:19" ht="14.4">
      <c r="A157" s="867" t="s">
        <v>825</v>
      </c>
      <c r="B157" s="1509" t="s">
        <v>833</v>
      </c>
      <c r="C157" s="1509"/>
      <c r="D157" s="1509"/>
      <c r="E157" s="1509"/>
      <c r="F157" s="1509"/>
      <c r="G157" s="1509"/>
      <c r="H157" s="1509"/>
    </row>
    <row r="158" spans="1:19" ht="14.4">
      <c r="A158" s="867" t="s">
        <v>826</v>
      </c>
      <c r="B158" s="1509" t="s">
        <v>834</v>
      </c>
      <c r="C158" s="1509"/>
      <c r="D158" s="1509"/>
      <c r="E158" s="1509"/>
      <c r="F158" s="1509"/>
      <c r="G158" s="1509"/>
      <c r="H158" s="1509"/>
    </row>
  </sheetData>
  <mergeCells count="63">
    <mergeCell ref="B158:H158"/>
    <mergeCell ref="A137:A142"/>
    <mergeCell ref="B137:B139"/>
    <mergeCell ref="B140:B142"/>
    <mergeCell ref="A143:A148"/>
    <mergeCell ref="B143:B145"/>
    <mergeCell ref="B146:B148"/>
    <mergeCell ref="A153:H153"/>
    <mergeCell ref="B154:H154"/>
    <mergeCell ref="B155:H155"/>
    <mergeCell ref="B156:H156"/>
    <mergeCell ref="B157:H157"/>
    <mergeCell ref="A125:A130"/>
    <mergeCell ref="B125:B127"/>
    <mergeCell ref="B128:B130"/>
    <mergeCell ref="A131:A136"/>
    <mergeCell ref="B131:B133"/>
    <mergeCell ref="B134:B136"/>
    <mergeCell ref="A113:A118"/>
    <mergeCell ref="B113:B115"/>
    <mergeCell ref="B116:B118"/>
    <mergeCell ref="A119:A124"/>
    <mergeCell ref="B119:B121"/>
    <mergeCell ref="B122:B124"/>
    <mergeCell ref="A95:A100"/>
    <mergeCell ref="A101:A106"/>
    <mergeCell ref="B101:B103"/>
    <mergeCell ref="B104:B106"/>
    <mergeCell ref="A107:A112"/>
    <mergeCell ref="B107:B109"/>
    <mergeCell ref="B110:B112"/>
    <mergeCell ref="B95:B97"/>
    <mergeCell ref="B98:B100"/>
    <mergeCell ref="A89:A94"/>
    <mergeCell ref="B89:B91"/>
    <mergeCell ref="B92:B94"/>
    <mergeCell ref="B51:B53"/>
    <mergeCell ref="B57:B59"/>
    <mergeCell ref="B54:B56"/>
    <mergeCell ref="D42:S42"/>
    <mergeCell ref="B45:B47"/>
    <mergeCell ref="B48:B50"/>
    <mergeCell ref="D80:S80"/>
    <mergeCell ref="B83:B85"/>
    <mergeCell ref="B72:B74"/>
    <mergeCell ref="B75:B77"/>
    <mergeCell ref="B66:B68"/>
    <mergeCell ref="B69:B71"/>
    <mergeCell ref="B60:B62"/>
    <mergeCell ref="B63:B65"/>
    <mergeCell ref="D8:Q8"/>
    <mergeCell ref="B11:B13"/>
    <mergeCell ref="B14:B16"/>
    <mergeCell ref="B17:B19"/>
    <mergeCell ref="B20:B22"/>
    <mergeCell ref="B38:F38"/>
    <mergeCell ref="B39:F39"/>
    <mergeCell ref="B40:F40"/>
    <mergeCell ref="B23:B25"/>
    <mergeCell ref="B26:B28"/>
    <mergeCell ref="A35:F35"/>
    <mergeCell ref="B36:F36"/>
    <mergeCell ref="B37:F37"/>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2:S65"/>
  <sheetViews>
    <sheetView workbookViewId="0">
      <selection activeCell="F16" sqref="F16"/>
    </sheetView>
  </sheetViews>
  <sheetFormatPr defaultColWidth="9.109375" defaultRowHeight="13.8"/>
  <cols>
    <col min="1" max="1" width="9.109375" style="792"/>
    <col min="2" max="2" width="29.44140625" style="792" customWidth="1"/>
    <col min="3" max="3" width="9.44140625" style="792" bestFit="1" customWidth="1"/>
    <col min="4" max="4" width="9.109375" style="851"/>
    <col min="5" max="5" width="20.5546875" style="852" bestFit="1" customWidth="1"/>
    <col min="6" max="19" width="10.6640625" style="852" customWidth="1"/>
    <col min="20" max="16384" width="9.109375" style="570"/>
  </cols>
  <sheetData>
    <row r="2" spans="1:19" ht="18">
      <c r="A2" s="871" t="s">
        <v>836</v>
      </c>
    </row>
    <row r="4" spans="1:19" ht="14.4">
      <c r="A4" s="751" t="s">
        <v>817</v>
      </c>
      <c r="C4" s="793"/>
      <c r="D4" s="794"/>
      <c r="E4" s="795"/>
      <c r="F4" s="795"/>
      <c r="G4" s="795"/>
      <c r="H4" s="795"/>
      <c r="I4" s="795"/>
      <c r="J4" s="795"/>
      <c r="K4" s="795"/>
      <c r="L4" s="795"/>
      <c r="M4" s="795"/>
      <c r="N4" s="795"/>
      <c r="O4" s="795"/>
      <c r="P4" s="795"/>
      <c r="Q4" s="795"/>
      <c r="R4" s="795"/>
      <c r="S4" s="795"/>
    </row>
    <row r="5" spans="1:19" ht="14.4">
      <c r="A5" s="751" t="s">
        <v>818</v>
      </c>
      <c r="C5" s="793"/>
      <c r="D5" s="794"/>
      <c r="E5" s="795"/>
      <c r="F5" s="795"/>
      <c r="G5" s="795"/>
      <c r="H5" s="795"/>
      <c r="I5" s="795"/>
      <c r="J5" s="795"/>
      <c r="K5" s="795"/>
      <c r="L5" s="795"/>
      <c r="M5" s="795"/>
      <c r="N5" s="795"/>
      <c r="O5" s="795"/>
      <c r="P5" s="795"/>
      <c r="Q5" s="795"/>
      <c r="R5" s="795"/>
      <c r="S5" s="795"/>
    </row>
    <row r="6" spans="1:19" ht="14.4">
      <c r="A6" s="751"/>
      <c r="C6" s="796"/>
      <c r="D6" s="797"/>
      <c r="E6" s="798"/>
      <c r="F6" s="798"/>
      <c r="G6" s="798"/>
      <c r="H6" s="798"/>
      <c r="I6" s="798"/>
      <c r="J6" s="798"/>
      <c r="K6" s="798"/>
      <c r="L6" s="798"/>
      <c r="M6" s="798"/>
      <c r="N6" s="798"/>
      <c r="O6" s="798"/>
      <c r="P6" s="798"/>
      <c r="Q6" s="798"/>
      <c r="R6" s="798"/>
      <c r="S6" s="798"/>
    </row>
    <row r="7" spans="1:19" ht="14.4">
      <c r="A7" s="870" t="s">
        <v>819</v>
      </c>
      <c r="C7" s="796"/>
      <c r="D7" s="797"/>
      <c r="E7" s="798"/>
      <c r="F7" s="798"/>
      <c r="G7" s="798"/>
      <c r="H7" s="798"/>
      <c r="I7" s="798"/>
      <c r="J7" s="798"/>
      <c r="K7" s="798"/>
      <c r="L7" s="798"/>
      <c r="M7" s="798"/>
      <c r="N7" s="798"/>
      <c r="O7" s="798"/>
      <c r="P7" s="798"/>
      <c r="Q7" s="798"/>
      <c r="R7" s="798"/>
      <c r="S7" s="798"/>
    </row>
    <row r="8" spans="1:19" ht="13.2">
      <c r="A8" s="570"/>
      <c r="B8" s="570"/>
      <c r="C8" s="570"/>
      <c r="D8" s="570"/>
      <c r="E8" s="570"/>
      <c r="F8" s="570"/>
      <c r="G8" s="570"/>
      <c r="H8" s="570"/>
      <c r="I8" s="570"/>
      <c r="J8" s="570"/>
      <c r="K8" s="570"/>
      <c r="L8" s="570"/>
      <c r="M8" s="570"/>
      <c r="N8" s="570"/>
      <c r="O8" s="570"/>
      <c r="P8" s="570"/>
      <c r="Q8" s="570"/>
      <c r="R8" s="570"/>
      <c r="S8" s="570"/>
    </row>
    <row r="9" spans="1:19" ht="13.2">
      <c r="A9" s="548" t="s">
        <v>976</v>
      </c>
      <c r="B9" s="570"/>
      <c r="C9" s="570"/>
      <c r="D9" s="570"/>
      <c r="E9" s="570"/>
      <c r="F9" s="570"/>
      <c r="G9" s="570"/>
      <c r="H9" s="570"/>
      <c r="I9" s="570"/>
      <c r="J9" s="570"/>
      <c r="K9" s="570"/>
      <c r="L9" s="570"/>
      <c r="M9" s="570"/>
      <c r="N9" s="570"/>
      <c r="O9" s="570"/>
      <c r="P9" s="570"/>
      <c r="Q9" s="570"/>
      <c r="R9" s="570"/>
      <c r="S9" s="570"/>
    </row>
    <row r="10" spans="1:19" ht="13.2">
      <c r="A10" s="570"/>
      <c r="B10" s="570"/>
      <c r="C10" s="570"/>
      <c r="D10" s="570"/>
      <c r="E10" s="570"/>
      <c r="F10" s="570"/>
      <c r="G10" s="570"/>
      <c r="H10" s="570"/>
      <c r="I10" s="570"/>
      <c r="J10" s="570"/>
      <c r="K10" s="570"/>
      <c r="L10" s="570"/>
      <c r="M10" s="570"/>
      <c r="N10" s="570"/>
      <c r="O10" s="570"/>
      <c r="P10" s="570"/>
      <c r="Q10" s="570"/>
      <c r="R10" s="570"/>
      <c r="S10" s="570"/>
    </row>
    <row r="11" spans="1:19" ht="13.2">
      <c r="A11" s="548" t="s">
        <v>973</v>
      </c>
      <c r="B11" s="571"/>
      <c r="C11" s="570"/>
      <c r="D11" s="570"/>
      <c r="E11" s="570"/>
      <c r="F11" s="570"/>
      <c r="G11" s="570"/>
      <c r="H11" s="570"/>
      <c r="I11" s="570"/>
      <c r="J11" s="570"/>
      <c r="K11" s="570"/>
      <c r="L11" s="570"/>
      <c r="M11" s="570"/>
      <c r="N11" s="570"/>
      <c r="O11" s="570"/>
      <c r="P11" s="570"/>
      <c r="Q11" s="570"/>
      <c r="R11" s="570"/>
      <c r="S11" s="570"/>
    </row>
    <row r="12" spans="1:19" ht="13.2">
      <c r="A12" s="548"/>
      <c r="B12" s="571"/>
      <c r="C12" s="570"/>
      <c r="D12" s="570"/>
      <c r="E12" s="570"/>
      <c r="F12" s="570"/>
      <c r="G12" s="570"/>
      <c r="H12" s="570"/>
      <c r="I12" s="570"/>
      <c r="J12" s="570"/>
      <c r="K12" s="570"/>
      <c r="L12" s="570"/>
      <c r="M12" s="570"/>
      <c r="N12" s="570"/>
      <c r="O12" s="570"/>
      <c r="P12" s="570"/>
      <c r="Q12" s="570"/>
      <c r="R12" s="570"/>
      <c r="S12" s="570"/>
    </row>
    <row r="13" spans="1:19" thickBot="1">
      <c r="A13" s="548"/>
      <c r="B13" s="570"/>
      <c r="C13" s="570"/>
      <c r="D13" s="570"/>
      <c r="E13" s="570"/>
      <c r="F13" s="570"/>
      <c r="G13" s="570"/>
      <c r="H13" s="570"/>
      <c r="I13" s="570"/>
      <c r="J13" s="570"/>
      <c r="K13" s="570"/>
      <c r="L13" s="570"/>
      <c r="M13" s="570"/>
      <c r="N13" s="570"/>
      <c r="O13" s="570"/>
      <c r="P13" s="570"/>
      <c r="Q13" s="570"/>
      <c r="R13" s="570"/>
      <c r="S13" s="570"/>
    </row>
    <row r="14" spans="1:19" ht="18.600000000000001" thickBot="1">
      <c r="A14" s="548"/>
      <c r="B14" s="571"/>
      <c r="C14" s="570"/>
      <c r="D14" s="570"/>
      <c r="E14" s="570"/>
      <c r="F14" s="1492" t="s">
        <v>971</v>
      </c>
      <c r="G14" s="1493"/>
      <c r="H14" s="1493"/>
      <c r="I14" s="1493"/>
      <c r="J14" s="1493"/>
      <c r="K14" s="1493"/>
      <c r="L14" s="1493"/>
      <c r="M14" s="1493"/>
      <c r="N14" s="1493"/>
      <c r="O14" s="1493"/>
      <c r="P14" s="1493"/>
      <c r="Q14" s="1493"/>
      <c r="R14" s="1493"/>
      <c r="S14" s="1493"/>
    </row>
    <row r="15" spans="1:19" ht="15" thickBot="1">
      <c r="A15" s="548"/>
      <c r="B15" s="571"/>
      <c r="C15" s="570"/>
      <c r="D15" s="570"/>
      <c r="E15" s="570"/>
      <c r="F15" s="691">
        <v>2010</v>
      </c>
      <c r="G15" s="931">
        <v>2015</v>
      </c>
      <c r="H15" s="744">
        <v>2020</v>
      </c>
      <c r="I15" s="744">
        <v>2020</v>
      </c>
      <c r="J15" s="744">
        <v>2020</v>
      </c>
      <c r="K15" s="744">
        <v>2025</v>
      </c>
      <c r="L15" s="744">
        <v>2025</v>
      </c>
      <c r="M15" s="744">
        <v>2025</v>
      </c>
      <c r="N15" s="744">
        <v>2030</v>
      </c>
      <c r="O15" s="744">
        <v>2030</v>
      </c>
      <c r="P15" s="744">
        <v>2030</v>
      </c>
      <c r="Q15" s="744">
        <v>2045</v>
      </c>
      <c r="R15" s="744">
        <v>2045</v>
      </c>
      <c r="S15" s="744">
        <v>2045</v>
      </c>
    </row>
    <row r="16" spans="1:19" ht="15" thickBot="1">
      <c r="A16" s="548"/>
      <c r="B16" s="571"/>
      <c r="C16" s="570"/>
      <c r="D16" s="570"/>
      <c r="E16" s="570"/>
      <c r="F16" s="926" t="s">
        <v>96</v>
      </c>
      <c r="G16" s="697" t="s">
        <v>735</v>
      </c>
      <c r="H16" s="696" t="s">
        <v>734</v>
      </c>
      <c r="I16" s="697" t="s">
        <v>735</v>
      </c>
      <c r="J16" s="698" t="s">
        <v>736</v>
      </c>
      <c r="K16" s="696" t="s">
        <v>734</v>
      </c>
      <c r="L16" s="697" t="s">
        <v>735</v>
      </c>
      <c r="M16" s="698" t="s">
        <v>736</v>
      </c>
      <c r="N16" s="696" t="s">
        <v>734</v>
      </c>
      <c r="O16" s="697" t="s">
        <v>735</v>
      </c>
      <c r="P16" s="698" t="s">
        <v>736</v>
      </c>
      <c r="Q16" s="696" t="s">
        <v>734</v>
      </c>
      <c r="R16" s="697" t="s">
        <v>735</v>
      </c>
      <c r="S16" s="698" t="s">
        <v>736</v>
      </c>
    </row>
    <row r="17" spans="1:19" ht="15" hidden="1" thickBot="1">
      <c r="A17" s="548"/>
      <c r="B17" s="571"/>
      <c r="C17" s="570"/>
      <c r="D17" s="570"/>
      <c r="E17" s="570"/>
      <c r="F17" s="926" t="s">
        <v>96</v>
      </c>
      <c r="G17" s="697" t="s">
        <v>735</v>
      </c>
      <c r="H17" s="696" t="s">
        <v>734</v>
      </c>
      <c r="I17" s="697" t="s">
        <v>735</v>
      </c>
      <c r="J17" s="698" t="s">
        <v>736</v>
      </c>
      <c r="K17" s="696" t="s">
        <v>734</v>
      </c>
      <c r="L17" s="697" t="s">
        <v>735</v>
      </c>
      <c r="M17" s="698" t="s">
        <v>736</v>
      </c>
      <c r="N17" s="696" t="s">
        <v>734</v>
      </c>
      <c r="O17" s="697" t="s">
        <v>735</v>
      </c>
      <c r="P17" s="698" t="s">
        <v>736</v>
      </c>
      <c r="Q17" s="696" t="s">
        <v>734</v>
      </c>
      <c r="R17" s="697" t="s">
        <v>735</v>
      </c>
      <c r="S17" s="698" t="s">
        <v>736</v>
      </c>
    </row>
    <row r="18" spans="1:19" ht="15" hidden="1" thickBot="1">
      <c r="A18" s="548"/>
      <c r="B18" s="927" t="e">
        <f>#REF!</f>
        <v>#REF!</v>
      </c>
      <c r="C18" s="929" t="s">
        <v>815</v>
      </c>
      <c r="D18" s="927" t="s">
        <v>824</v>
      </c>
      <c r="E18" s="929" t="s">
        <v>811</v>
      </c>
      <c r="F18" s="812" t="e">
        <f>#REF!</f>
        <v>#REF!</v>
      </c>
      <c r="G18" s="1199" t="e">
        <f>#REF!</f>
        <v>#REF!</v>
      </c>
      <c r="H18" s="1200" t="e">
        <f>#REF!</f>
        <v>#REF!</v>
      </c>
      <c r="I18" s="1199" t="e">
        <f>#REF!</f>
        <v>#REF!</v>
      </c>
      <c r="J18" s="1201" t="e">
        <f>#REF!</f>
        <v>#REF!</v>
      </c>
      <c r="K18" s="1200" t="e">
        <f>#REF!</f>
        <v>#REF!</v>
      </c>
      <c r="L18" s="1199" t="e">
        <f>#REF!</f>
        <v>#REF!</v>
      </c>
      <c r="M18" s="1201" t="e">
        <f>#REF!</f>
        <v>#REF!</v>
      </c>
      <c r="N18" s="1200" t="e">
        <f>#REF!</f>
        <v>#REF!</v>
      </c>
      <c r="O18" s="1199" t="e">
        <f>#REF!</f>
        <v>#REF!</v>
      </c>
      <c r="P18" s="1201" t="e">
        <f>#REF!</f>
        <v>#REF!</v>
      </c>
      <c r="Q18" s="1200" t="e">
        <f>#REF!</f>
        <v>#REF!</v>
      </c>
      <c r="R18" s="1199" t="e">
        <f>#REF!</f>
        <v>#REF!</v>
      </c>
      <c r="S18" s="1199" t="e">
        <f>#REF!</f>
        <v>#REF!</v>
      </c>
    </row>
    <row r="19" spans="1:19" ht="15" hidden="1" thickBot="1">
      <c r="A19" s="548"/>
      <c r="B19" s="930" t="e">
        <f t="shared" ref="B19:D20" si="0">B18</f>
        <v>#REF!</v>
      </c>
      <c r="C19" s="802" t="str">
        <f t="shared" si="0"/>
        <v>Combined</v>
      </c>
      <c r="D19" s="930" t="str">
        <f t="shared" si="0"/>
        <v>CD+CS</v>
      </c>
      <c r="E19" s="802" t="s">
        <v>821</v>
      </c>
      <c r="F19" s="812" t="e">
        <f>#REF!</f>
        <v>#REF!</v>
      </c>
      <c r="G19" s="1199" t="e">
        <f>#REF!</f>
        <v>#REF!</v>
      </c>
      <c r="H19" s="1200" t="e">
        <f>#REF!</f>
        <v>#REF!</v>
      </c>
      <c r="I19" s="1199" t="e">
        <f>#REF!</f>
        <v>#REF!</v>
      </c>
      <c r="J19" s="1201" t="e">
        <f>#REF!</f>
        <v>#REF!</v>
      </c>
      <c r="K19" s="1200" t="e">
        <f>#REF!</f>
        <v>#REF!</v>
      </c>
      <c r="L19" s="1199" t="e">
        <f>#REF!</f>
        <v>#REF!</v>
      </c>
      <c r="M19" s="1201" t="e">
        <f>#REF!</f>
        <v>#REF!</v>
      </c>
      <c r="N19" s="1200" t="e">
        <f>#REF!</f>
        <v>#REF!</v>
      </c>
      <c r="O19" s="1199" t="e">
        <f>#REF!</f>
        <v>#REF!</v>
      </c>
      <c r="P19" s="1201" t="e">
        <f>#REF!</f>
        <v>#REF!</v>
      </c>
      <c r="Q19" s="1200" t="e">
        <f>#REF!</f>
        <v>#REF!</v>
      </c>
      <c r="R19" s="1199" t="e">
        <f>#REF!</f>
        <v>#REF!</v>
      </c>
      <c r="S19" s="1199" t="e">
        <f>#REF!</f>
        <v>#REF!</v>
      </c>
    </row>
    <row r="20" spans="1:19" ht="15" hidden="1" thickBot="1">
      <c r="A20" s="548"/>
      <c r="B20" s="928" t="e">
        <f t="shared" si="0"/>
        <v>#REF!</v>
      </c>
      <c r="C20" s="808" t="str">
        <f t="shared" si="0"/>
        <v>Combined</v>
      </c>
      <c r="D20" s="928" t="str">
        <f t="shared" si="0"/>
        <v>CD+CS</v>
      </c>
      <c r="E20" s="808" t="s">
        <v>822</v>
      </c>
      <c r="F20" s="813" t="e">
        <f>#REF!</f>
        <v>#REF!</v>
      </c>
      <c r="G20" s="1199" t="e">
        <f>#REF!</f>
        <v>#REF!</v>
      </c>
      <c r="H20" s="1200" t="e">
        <f>#REF!</f>
        <v>#REF!</v>
      </c>
      <c r="I20" s="1199" t="e">
        <f>#REF!</f>
        <v>#REF!</v>
      </c>
      <c r="J20" s="1201" t="e">
        <f>#REF!</f>
        <v>#REF!</v>
      </c>
      <c r="K20" s="1200" t="e">
        <f>#REF!</f>
        <v>#REF!</v>
      </c>
      <c r="L20" s="1199" t="e">
        <f>#REF!</f>
        <v>#REF!</v>
      </c>
      <c r="M20" s="1201" t="e">
        <f>#REF!</f>
        <v>#REF!</v>
      </c>
      <c r="N20" s="1200" t="e">
        <f>#REF!</f>
        <v>#REF!</v>
      </c>
      <c r="O20" s="1199" t="e">
        <f>#REF!</f>
        <v>#REF!</v>
      </c>
      <c r="P20" s="1201" t="e">
        <f>#REF!</f>
        <v>#REF!</v>
      </c>
      <c r="Q20" s="1200" t="e">
        <f>#REF!</f>
        <v>#REF!</v>
      </c>
      <c r="R20" s="1199" t="e">
        <f>#REF!</f>
        <v>#REF!</v>
      </c>
      <c r="S20" s="1199" t="e">
        <f>#REF!</f>
        <v>#REF!</v>
      </c>
    </row>
    <row r="21" spans="1:19" ht="14.4">
      <c r="A21" s="548"/>
      <c r="B21" s="812" t="str">
        <f>$B$41</f>
        <v>SI Erev HEV PHEV40</v>
      </c>
      <c r="C21" s="929" t="s">
        <v>815</v>
      </c>
      <c r="D21" s="927" t="s">
        <v>824</v>
      </c>
      <c r="E21" s="929" t="s">
        <v>811</v>
      </c>
      <c r="F21" s="812">
        <f t="shared" ref="F21:S23" si="1">F63</f>
        <v>158.33300000000003</v>
      </c>
      <c r="G21" s="812">
        <f t="shared" si="1"/>
        <v>125.65900000000001</v>
      </c>
      <c r="H21" s="812">
        <f t="shared" si="1"/>
        <v>140.31650000000002</v>
      </c>
      <c r="I21" s="812">
        <f t="shared" si="1"/>
        <v>115.96000000000001</v>
      </c>
      <c r="J21" s="812">
        <f t="shared" si="1"/>
        <v>99.345499999999987</v>
      </c>
      <c r="K21" s="812">
        <f t="shared" si="1"/>
        <v>133.31850000000003</v>
      </c>
      <c r="L21" s="812">
        <f t="shared" si="1"/>
        <v>109.8115</v>
      </c>
      <c r="M21" s="812">
        <f t="shared" si="1"/>
        <v>92.456000000000003</v>
      </c>
      <c r="N21" s="812">
        <f t="shared" si="1"/>
        <v>116.4915</v>
      </c>
      <c r="O21" s="812">
        <f t="shared" si="1"/>
        <v>96.480999999999995</v>
      </c>
      <c r="P21" s="812">
        <f t="shared" si="1"/>
        <v>81.260999999999996</v>
      </c>
      <c r="Q21" s="812">
        <f t="shared" si="1"/>
        <v>106.3535</v>
      </c>
      <c r="R21" s="812">
        <f t="shared" si="1"/>
        <v>91.045999999999992</v>
      </c>
      <c r="S21" s="812">
        <f t="shared" si="1"/>
        <v>74.038000000000011</v>
      </c>
    </row>
    <row r="22" spans="1:19" ht="14.4">
      <c r="A22" s="548"/>
      <c r="B22" s="812" t="str">
        <f>$B$41</f>
        <v>SI Erev HEV PHEV40</v>
      </c>
      <c r="C22" s="802" t="str">
        <f t="shared" ref="C22:D23" si="2">C21</f>
        <v>Combined</v>
      </c>
      <c r="D22" s="930" t="str">
        <f t="shared" si="2"/>
        <v>CD+CS</v>
      </c>
      <c r="E22" s="802" t="s">
        <v>821</v>
      </c>
      <c r="F22" s="812">
        <f t="shared" si="1"/>
        <v>132.08500924509781</v>
      </c>
      <c r="G22" s="812">
        <f t="shared" si="1"/>
        <v>173.24288637794723</v>
      </c>
      <c r="H22" s="812">
        <f t="shared" si="1"/>
        <v>153.31548636287303</v>
      </c>
      <c r="I22" s="812">
        <f t="shared" si="1"/>
        <v>201.62251937159667</v>
      </c>
      <c r="J22" s="812">
        <f t="shared" si="1"/>
        <v>244.24905120873404</v>
      </c>
      <c r="K22" s="812">
        <f t="shared" si="1"/>
        <v>159.97908081608429</v>
      </c>
      <c r="L22" s="812">
        <f t="shared" si="1"/>
        <v>213.2696629213483</v>
      </c>
      <c r="M22" s="812">
        <f t="shared" si="1"/>
        <v>254.98362976727722</v>
      </c>
      <c r="N22" s="812">
        <f t="shared" si="1"/>
        <v>184.85243051003013</v>
      </c>
      <c r="O22" s="812">
        <f t="shared" si="1"/>
        <v>247.15341949138693</v>
      </c>
      <c r="P22" s="812">
        <f t="shared" si="1"/>
        <v>309.49821035282451</v>
      </c>
      <c r="Q22" s="812">
        <f t="shared" si="1"/>
        <v>202.49312379660202</v>
      </c>
      <c r="R22" s="812">
        <f t="shared" si="1"/>
        <v>273.44971782483361</v>
      </c>
      <c r="S22" s="812">
        <f t="shared" si="1"/>
        <v>378.29835948606814</v>
      </c>
    </row>
    <row r="23" spans="1:19" ht="15" thickBot="1">
      <c r="A23" s="548"/>
      <c r="B23" s="812" t="str">
        <f>$B$41</f>
        <v>SI Erev HEV PHEV40</v>
      </c>
      <c r="C23" s="808" t="str">
        <f t="shared" si="2"/>
        <v>Combined</v>
      </c>
      <c r="D23" s="928" t="str">
        <f t="shared" si="2"/>
        <v>CD+CS</v>
      </c>
      <c r="E23" s="808" t="s">
        <v>822</v>
      </c>
      <c r="F23" s="812">
        <f t="shared" si="1"/>
        <v>92.459506471568446</v>
      </c>
      <c r="G23" s="812">
        <f t="shared" si="1"/>
        <v>121.27002046456306</v>
      </c>
      <c r="H23" s="812">
        <f t="shared" si="1"/>
        <v>107.3208404540111</v>
      </c>
      <c r="I23" s="812">
        <f t="shared" si="1"/>
        <v>141.13576356011765</v>
      </c>
      <c r="J23" s="812">
        <f t="shared" si="1"/>
        <v>170.97433584611383</v>
      </c>
      <c r="K23" s="812">
        <f t="shared" si="1"/>
        <v>111.98535657125899</v>
      </c>
      <c r="L23" s="812">
        <f t="shared" si="1"/>
        <v>149.2887640449438</v>
      </c>
      <c r="M23" s="812">
        <f t="shared" si="1"/>
        <v>178.48854083709404</v>
      </c>
      <c r="N23" s="812">
        <f t="shared" si="1"/>
        <v>129.3967013570211</v>
      </c>
      <c r="O23" s="812">
        <f t="shared" si="1"/>
        <v>173.0073936439708</v>
      </c>
      <c r="P23" s="812">
        <f t="shared" si="1"/>
        <v>216.64874724697714</v>
      </c>
      <c r="Q23" s="812">
        <f t="shared" si="1"/>
        <v>141.74518665762142</v>
      </c>
      <c r="R23" s="812">
        <f t="shared" si="1"/>
        <v>191.41480247738349</v>
      </c>
      <c r="S23" s="812">
        <f t="shared" si="1"/>
        <v>264.80885164024767</v>
      </c>
    </row>
    <row r="24" spans="1:19" ht="13.2">
      <c r="A24" s="548"/>
      <c r="B24" s="571"/>
      <c r="C24" s="570"/>
      <c r="D24" s="570"/>
      <c r="E24" s="570"/>
      <c r="F24" s="570"/>
      <c r="G24" s="570"/>
      <c r="H24" s="570"/>
      <c r="I24" s="570"/>
      <c r="J24" s="570"/>
      <c r="K24" s="570"/>
      <c r="L24" s="570"/>
      <c r="M24" s="570"/>
      <c r="N24" s="570"/>
      <c r="O24" s="570"/>
      <c r="P24" s="570"/>
      <c r="Q24" s="570"/>
      <c r="R24" s="570"/>
      <c r="S24" s="570"/>
    </row>
    <row r="25" spans="1:19" ht="13.2">
      <c r="A25" s="548"/>
      <c r="B25" s="571"/>
      <c r="C25" s="570"/>
      <c r="D25" s="570"/>
      <c r="E25" s="570"/>
      <c r="F25" s="570"/>
      <c r="G25" s="570"/>
      <c r="H25" s="570"/>
      <c r="I25" s="570"/>
      <c r="J25" s="570"/>
      <c r="K25" s="570"/>
      <c r="L25" s="570"/>
      <c r="M25" s="570"/>
      <c r="N25" s="570"/>
      <c r="O25" s="570"/>
      <c r="P25" s="570"/>
      <c r="Q25" s="570"/>
      <c r="R25" s="570"/>
      <c r="S25" s="570"/>
    </row>
    <row r="26" spans="1:19" ht="13.2">
      <c r="A26" s="548"/>
      <c r="B26" s="571"/>
      <c r="C26" s="570"/>
      <c r="D26" s="570"/>
      <c r="E26" s="570"/>
      <c r="F26" s="570"/>
      <c r="G26" s="570"/>
      <c r="H26" s="570"/>
      <c r="I26" s="570"/>
      <c r="J26" s="570"/>
      <c r="K26" s="570"/>
      <c r="L26" s="570"/>
      <c r="M26" s="570"/>
      <c r="N26" s="570"/>
      <c r="O26" s="570"/>
      <c r="P26" s="570"/>
      <c r="Q26" s="570"/>
      <c r="R26" s="570"/>
      <c r="S26" s="570"/>
    </row>
    <row r="27" spans="1:19" ht="13.2">
      <c r="A27" s="548"/>
      <c r="B27" s="571"/>
      <c r="C27" s="570"/>
      <c r="D27" s="570"/>
      <c r="E27" s="570"/>
      <c r="F27" s="570"/>
      <c r="G27" s="570"/>
      <c r="H27" s="570"/>
      <c r="I27" s="570"/>
      <c r="J27" s="570"/>
      <c r="K27" s="570"/>
      <c r="L27" s="570"/>
      <c r="M27" s="570"/>
      <c r="N27" s="570"/>
      <c r="O27" s="570"/>
      <c r="P27" s="570"/>
      <c r="Q27" s="570"/>
      <c r="R27" s="570"/>
      <c r="S27" s="570"/>
    </row>
    <row r="28" spans="1:19" ht="13.2">
      <c r="A28" s="548"/>
      <c r="B28" s="571"/>
      <c r="C28" s="570"/>
      <c r="D28" s="570"/>
      <c r="E28" s="570"/>
      <c r="F28" s="570"/>
      <c r="G28" s="570"/>
      <c r="H28" s="570"/>
      <c r="I28" s="570"/>
      <c r="J28" s="570"/>
      <c r="K28" s="570"/>
      <c r="L28" s="570"/>
      <c r="M28" s="570"/>
      <c r="N28" s="570"/>
      <c r="O28" s="570"/>
      <c r="P28" s="570"/>
      <c r="Q28" s="570"/>
      <c r="R28" s="570"/>
      <c r="S28" s="570"/>
    </row>
    <row r="29" spans="1:19" ht="13.2">
      <c r="A29" s="548"/>
      <c r="B29" s="571"/>
      <c r="C29" s="570"/>
      <c r="D29" s="570"/>
      <c r="E29" s="570"/>
      <c r="F29" s="570"/>
      <c r="G29" s="570"/>
      <c r="H29" s="570"/>
      <c r="I29" s="570"/>
      <c r="J29" s="570"/>
      <c r="K29" s="570"/>
      <c r="L29" s="570"/>
      <c r="M29" s="570"/>
      <c r="N29" s="570"/>
      <c r="O29" s="570"/>
      <c r="P29" s="570"/>
      <c r="Q29" s="570"/>
      <c r="R29" s="570"/>
      <c r="S29" s="570"/>
    </row>
    <row r="30" spans="1:19" ht="13.2">
      <c r="A30" s="548"/>
      <c r="B30" s="571"/>
      <c r="C30" s="570"/>
      <c r="D30" s="570"/>
      <c r="E30" s="570"/>
      <c r="F30" s="570"/>
      <c r="G30" s="570"/>
      <c r="H30" s="570"/>
      <c r="I30" s="570"/>
      <c r="J30" s="570"/>
      <c r="K30" s="570"/>
      <c r="L30" s="570"/>
      <c r="M30" s="570"/>
      <c r="N30" s="570"/>
      <c r="O30" s="570"/>
      <c r="P30" s="570"/>
      <c r="Q30" s="570"/>
      <c r="R30" s="570"/>
      <c r="S30" s="570"/>
    </row>
    <row r="31" spans="1:19" ht="13.2">
      <c r="A31" s="548"/>
      <c r="B31" s="571"/>
      <c r="C31" s="570"/>
      <c r="D31" s="570"/>
      <c r="E31" s="570"/>
      <c r="F31" s="570"/>
      <c r="G31" s="570"/>
      <c r="H31" s="570"/>
      <c r="I31" s="570"/>
      <c r="J31" s="570"/>
      <c r="K31" s="570"/>
      <c r="L31" s="570"/>
      <c r="M31" s="570"/>
      <c r="N31" s="570"/>
      <c r="O31" s="570"/>
      <c r="P31" s="570"/>
      <c r="Q31" s="570"/>
      <c r="R31" s="570"/>
      <c r="S31" s="570"/>
    </row>
    <row r="32" spans="1:19" ht="13.2">
      <c r="A32" s="548"/>
      <c r="B32" s="571"/>
      <c r="C32" s="570"/>
      <c r="D32" s="570"/>
      <c r="E32" s="570"/>
      <c r="F32" s="570"/>
      <c r="G32" s="570"/>
      <c r="H32" s="570"/>
      <c r="I32" s="570"/>
      <c r="J32" s="570"/>
      <c r="K32" s="570"/>
      <c r="L32" s="570"/>
      <c r="M32" s="570"/>
      <c r="N32" s="570"/>
      <c r="O32" s="570"/>
      <c r="P32" s="570"/>
      <c r="Q32" s="570"/>
      <c r="R32" s="570"/>
      <c r="S32" s="570"/>
    </row>
    <row r="33" spans="1:19" ht="13.2">
      <c r="A33" s="548"/>
      <c r="B33" s="571"/>
      <c r="C33" s="570"/>
      <c r="D33" s="570"/>
      <c r="E33" s="570"/>
      <c r="F33" s="570"/>
      <c r="G33" s="570"/>
      <c r="H33" s="570"/>
      <c r="I33" s="570"/>
      <c r="J33" s="570"/>
      <c r="K33" s="570"/>
      <c r="L33" s="570"/>
      <c r="M33" s="570"/>
      <c r="N33" s="570"/>
      <c r="O33" s="570"/>
      <c r="P33" s="570"/>
      <c r="Q33" s="570"/>
      <c r="R33" s="570"/>
      <c r="S33" s="570"/>
    </row>
    <row r="34" spans="1:19" ht="13.2">
      <c r="A34" s="548"/>
      <c r="B34" s="571"/>
      <c r="C34" s="570"/>
      <c r="D34" s="570"/>
      <c r="E34" s="570"/>
      <c r="F34" s="570"/>
      <c r="G34" s="570"/>
      <c r="H34" s="570"/>
      <c r="I34" s="570"/>
      <c r="J34" s="570"/>
      <c r="K34" s="570"/>
      <c r="L34" s="570"/>
      <c r="M34" s="570"/>
      <c r="N34" s="570"/>
      <c r="O34" s="570"/>
      <c r="P34" s="570"/>
      <c r="Q34" s="570"/>
      <c r="R34" s="570"/>
      <c r="S34" s="570"/>
    </row>
    <row r="35" spans="1:19" ht="13.2">
      <c r="A35" s="548"/>
      <c r="B35" s="571"/>
      <c r="C35" s="570"/>
      <c r="D35" s="570"/>
      <c r="E35" s="570"/>
      <c r="F35" s="570"/>
      <c r="G35" s="570"/>
      <c r="H35" s="570"/>
      <c r="I35" s="570"/>
      <c r="J35" s="570"/>
      <c r="K35" s="570"/>
      <c r="L35" s="570"/>
      <c r="M35" s="570"/>
      <c r="N35" s="570"/>
      <c r="O35" s="570"/>
      <c r="P35" s="570"/>
      <c r="Q35" s="570"/>
      <c r="R35" s="570"/>
      <c r="S35" s="570"/>
    </row>
    <row r="36" spans="1:19">
      <c r="A36" s="868"/>
      <c r="B36" s="868"/>
      <c r="C36" s="687"/>
      <c r="D36" s="570"/>
      <c r="E36" s="570"/>
      <c r="F36" s="570"/>
      <c r="G36" s="570"/>
      <c r="H36" s="570"/>
      <c r="I36" s="570"/>
      <c r="J36" s="570"/>
      <c r="K36" s="570"/>
      <c r="L36" s="570"/>
      <c r="M36" s="570"/>
      <c r="N36" s="570"/>
      <c r="O36" s="570"/>
      <c r="P36" s="570"/>
      <c r="Q36" s="570"/>
      <c r="R36" s="570"/>
      <c r="S36" s="570"/>
    </row>
    <row r="37" spans="1:19" ht="16.2" thickBot="1">
      <c r="A37" s="799"/>
      <c r="B37" s="793"/>
      <c r="C37" s="796"/>
      <c r="D37" s="797"/>
      <c r="E37" s="798"/>
      <c r="F37" s="798"/>
      <c r="G37" s="798"/>
      <c r="H37" s="798"/>
      <c r="I37" s="798"/>
      <c r="J37" s="798"/>
      <c r="K37" s="798"/>
      <c r="L37" s="798"/>
      <c r="M37" s="798"/>
      <c r="N37" s="798"/>
      <c r="O37" s="798"/>
      <c r="P37" s="798"/>
      <c r="Q37" s="798"/>
      <c r="R37" s="798"/>
      <c r="S37" s="798"/>
    </row>
    <row r="38" spans="1:19" ht="18.600000000000001" thickBot="1">
      <c r="A38" s="747"/>
      <c r="B38" s="751"/>
      <c r="C38" s="751"/>
      <c r="D38" s="752"/>
      <c r="E38" s="753"/>
      <c r="F38" s="1492" t="s">
        <v>971</v>
      </c>
      <c r="G38" s="1493"/>
      <c r="H38" s="1493"/>
      <c r="I38" s="1493"/>
      <c r="J38" s="1493"/>
      <c r="K38" s="1493"/>
      <c r="L38" s="1493"/>
      <c r="M38" s="1493"/>
      <c r="N38" s="1493"/>
      <c r="O38" s="1493"/>
      <c r="P38" s="1493"/>
      <c r="Q38" s="1493"/>
      <c r="R38" s="1493"/>
      <c r="S38" s="1493"/>
    </row>
    <row r="39" spans="1:19" ht="15" thickBot="1">
      <c r="A39" s="747"/>
      <c r="B39" s="754"/>
      <c r="C39" s="754"/>
      <c r="D39" s="1191" t="s">
        <v>807</v>
      </c>
      <c r="E39" s="1192">
        <v>0.55000000000000004</v>
      </c>
      <c r="F39" s="691" t="s">
        <v>728</v>
      </c>
      <c r="G39" s="1167"/>
      <c r="H39" s="1500" t="s">
        <v>730</v>
      </c>
      <c r="I39" s="1501"/>
      <c r="J39" s="1502"/>
      <c r="K39" s="1500" t="s">
        <v>731</v>
      </c>
      <c r="L39" s="1501"/>
      <c r="M39" s="1502"/>
      <c r="N39" s="1500" t="s">
        <v>732</v>
      </c>
      <c r="O39" s="1501"/>
      <c r="P39" s="1502"/>
      <c r="Q39" s="1500" t="s">
        <v>733</v>
      </c>
      <c r="R39" s="1501"/>
      <c r="S39" s="1501"/>
    </row>
    <row r="40" spans="1:19" ht="15" thickBot="1">
      <c r="A40" s="747"/>
      <c r="B40" s="751"/>
      <c r="C40" s="751"/>
      <c r="D40" s="1193" t="s">
        <v>808</v>
      </c>
      <c r="E40" s="1192">
        <v>0.7</v>
      </c>
      <c r="F40" s="695" t="s">
        <v>96</v>
      </c>
      <c r="G40" s="697" t="s">
        <v>735</v>
      </c>
      <c r="H40" s="696" t="s">
        <v>734</v>
      </c>
      <c r="I40" s="697" t="s">
        <v>735</v>
      </c>
      <c r="J40" s="698" t="s">
        <v>736</v>
      </c>
      <c r="K40" s="696" t="s">
        <v>734</v>
      </c>
      <c r="L40" s="697" t="s">
        <v>735</v>
      </c>
      <c r="M40" s="698" t="s">
        <v>736</v>
      </c>
      <c r="N40" s="696" t="s">
        <v>734</v>
      </c>
      <c r="O40" s="697" t="s">
        <v>735</v>
      </c>
      <c r="P40" s="698" t="s">
        <v>736</v>
      </c>
      <c r="Q40" s="696" t="s">
        <v>734</v>
      </c>
      <c r="R40" s="697" t="s">
        <v>735</v>
      </c>
      <c r="S40" s="698" t="s">
        <v>736</v>
      </c>
    </row>
    <row r="41" spans="1:19" ht="14.4">
      <c r="A41" s="814"/>
      <c r="B41" s="1524" t="s">
        <v>746</v>
      </c>
      <c r="C41" s="1527" t="s">
        <v>809</v>
      </c>
      <c r="D41" s="1529" t="s">
        <v>820</v>
      </c>
      <c r="E41" s="815" t="s">
        <v>811</v>
      </c>
      <c r="F41" s="816">
        <v>211.84</v>
      </c>
      <c r="G41" s="818">
        <v>172.13</v>
      </c>
      <c r="H41" s="817">
        <v>190.39</v>
      </c>
      <c r="I41" s="818">
        <v>162.84</v>
      </c>
      <c r="J41" s="819">
        <v>142.38999999999999</v>
      </c>
      <c r="K41" s="817">
        <v>184.02</v>
      </c>
      <c r="L41" s="818">
        <v>155.4</v>
      </c>
      <c r="M41" s="819">
        <v>135.21</v>
      </c>
      <c r="N41" s="817">
        <v>167</v>
      </c>
      <c r="O41" s="818">
        <v>141.86000000000001</v>
      </c>
      <c r="P41" s="819">
        <v>118.6</v>
      </c>
      <c r="Q41" s="817">
        <v>157.4</v>
      </c>
      <c r="R41" s="818">
        <v>133.84</v>
      </c>
      <c r="S41" s="818">
        <v>110.83</v>
      </c>
    </row>
    <row r="42" spans="1:19" ht="14.4">
      <c r="A42" s="814"/>
      <c r="B42" s="1525"/>
      <c r="C42" s="1528"/>
      <c r="D42" s="1530"/>
      <c r="E42" s="1202" t="s">
        <v>812</v>
      </c>
      <c r="F42" s="820">
        <v>40.64</v>
      </c>
      <c r="G42" s="822">
        <v>40.380000000000003</v>
      </c>
      <c r="H42" s="821">
        <v>40.42</v>
      </c>
      <c r="I42" s="822">
        <v>40.520000000000003</v>
      </c>
      <c r="J42" s="823">
        <v>40.47</v>
      </c>
      <c r="K42" s="821">
        <v>40.43</v>
      </c>
      <c r="L42" s="822">
        <v>40.53</v>
      </c>
      <c r="M42" s="823">
        <v>40.42</v>
      </c>
      <c r="N42" s="821">
        <v>40.58</v>
      </c>
      <c r="O42" s="822">
        <v>40.47</v>
      </c>
      <c r="P42" s="823">
        <v>40.93</v>
      </c>
      <c r="Q42" s="821">
        <v>40.43</v>
      </c>
      <c r="R42" s="822">
        <v>40.43</v>
      </c>
      <c r="S42" s="822">
        <v>40.42</v>
      </c>
    </row>
    <row r="43" spans="1:19" ht="14.4">
      <c r="A43" s="814"/>
      <c r="B43" s="1525"/>
      <c r="C43" s="1528"/>
      <c r="D43" s="1530"/>
      <c r="E43" s="1202" t="s">
        <v>821</v>
      </c>
      <c r="F43" s="820">
        <v>65535</v>
      </c>
      <c r="G43" s="825">
        <v>65535</v>
      </c>
      <c r="H43" s="824">
        <v>65535</v>
      </c>
      <c r="I43" s="825">
        <v>65535</v>
      </c>
      <c r="J43" s="826">
        <v>65535</v>
      </c>
      <c r="K43" s="824">
        <v>65535</v>
      </c>
      <c r="L43" s="825">
        <v>65535</v>
      </c>
      <c r="M43" s="826">
        <v>65535</v>
      </c>
      <c r="N43" s="824">
        <v>65535</v>
      </c>
      <c r="O43" s="825">
        <v>65535</v>
      </c>
      <c r="P43" s="826">
        <v>65535</v>
      </c>
      <c r="Q43" s="824">
        <v>65535</v>
      </c>
      <c r="R43" s="825">
        <v>65535</v>
      </c>
      <c r="S43" s="825">
        <v>65535</v>
      </c>
    </row>
    <row r="44" spans="1:19" ht="15" thickBot="1">
      <c r="A44" s="814"/>
      <c r="B44" s="1525"/>
      <c r="C44" s="1528"/>
      <c r="D44" s="1531"/>
      <c r="E44" s="827" t="s">
        <v>822</v>
      </c>
      <c r="F44" s="820">
        <f t="shared" ref="F44:S44" si="3">MAX(1/(0.003259+1.1805/F43),$E$40*F43)</f>
        <v>45874.5</v>
      </c>
      <c r="G44" s="825">
        <f t="shared" si="3"/>
        <v>45874.5</v>
      </c>
      <c r="H44" s="824">
        <f t="shared" si="3"/>
        <v>45874.5</v>
      </c>
      <c r="I44" s="825">
        <f t="shared" si="3"/>
        <v>45874.5</v>
      </c>
      <c r="J44" s="826">
        <f t="shared" si="3"/>
        <v>45874.5</v>
      </c>
      <c r="K44" s="824">
        <f t="shared" si="3"/>
        <v>45874.5</v>
      </c>
      <c r="L44" s="825">
        <f t="shared" si="3"/>
        <v>45874.5</v>
      </c>
      <c r="M44" s="826">
        <f t="shared" si="3"/>
        <v>45874.5</v>
      </c>
      <c r="N44" s="824">
        <f t="shared" si="3"/>
        <v>45874.5</v>
      </c>
      <c r="O44" s="825">
        <f t="shared" si="3"/>
        <v>45874.5</v>
      </c>
      <c r="P44" s="826">
        <f t="shared" si="3"/>
        <v>45874.5</v>
      </c>
      <c r="Q44" s="824">
        <f t="shared" si="3"/>
        <v>45874.5</v>
      </c>
      <c r="R44" s="825">
        <f t="shared" si="3"/>
        <v>45874.5</v>
      </c>
      <c r="S44" s="825">
        <f t="shared" si="3"/>
        <v>45874.5</v>
      </c>
    </row>
    <row r="45" spans="1:19" ht="14.4">
      <c r="A45" s="814"/>
      <c r="B45" s="1525"/>
      <c r="C45" s="1528"/>
      <c r="D45" s="1527" t="s">
        <v>823</v>
      </c>
      <c r="E45" s="828" t="s">
        <v>821</v>
      </c>
      <c r="F45" s="816">
        <v>50.75</v>
      </c>
      <c r="G45" s="818">
        <v>71.03</v>
      </c>
      <c r="H45" s="829">
        <v>61.83</v>
      </c>
      <c r="I45" s="818">
        <v>84.3</v>
      </c>
      <c r="J45" s="830">
        <v>105.33</v>
      </c>
      <c r="K45" s="829">
        <v>66.11</v>
      </c>
      <c r="L45" s="818">
        <v>90.67</v>
      </c>
      <c r="M45" s="830">
        <v>114.85</v>
      </c>
      <c r="N45" s="829">
        <v>74.37</v>
      </c>
      <c r="O45" s="818">
        <v>103.13</v>
      </c>
      <c r="P45" s="830">
        <v>138.11000000000001</v>
      </c>
      <c r="Q45" s="829">
        <v>82.32</v>
      </c>
      <c r="R45" s="818">
        <v>115.43</v>
      </c>
      <c r="S45" s="818">
        <v>165.1</v>
      </c>
    </row>
    <row r="46" spans="1:19" ht="15" thickBot="1">
      <c r="A46" s="814"/>
      <c r="B46" s="1525"/>
      <c r="C46" s="1528"/>
      <c r="D46" s="1532"/>
      <c r="E46" s="827" t="s">
        <v>822</v>
      </c>
      <c r="F46" s="831">
        <f t="shared" ref="F46:S46" si="4">MAX(1/(0.003259+1.1805/F45),$E$40*F45)</f>
        <v>37.707271577986155</v>
      </c>
      <c r="G46" s="822">
        <f t="shared" si="4"/>
        <v>50.305003920114629</v>
      </c>
      <c r="H46" s="832">
        <f t="shared" si="4"/>
        <v>44.739379438975121</v>
      </c>
      <c r="I46" s="822">
        <f t="shared" si="4"/>
        <v>59.009999999999991</v>
      </c>
      <c r="J46" s="823">
        <f t="shared" si="4"/>
        <v>73.730999999999995</v>
      </c>
      <c r="K46" s="832">
        <f t="shared" si="4"/>
        <v>47.358345268612972</v>
      </c>
      <c r="L46" s="822">
        <f t="shared" si="4"/>
        <v>63.468999999999994</v>
      </c>
      <c r="M46" s="823">
        <f t="shared" si="4"/>
        <v>80.394999999999996</v>
      </c>
      <c r="N46" s="832">
        <f t="shared" si="4"/>
        <v>52.267532768569879</v>
      </c>
      <c r="O46" s="822">
        <f t="shared" si="4"/>
        <v>72.190999999999988</v>
      </c>
      <c r="P46" s="823">
        <f t="shared" si="4"/>
        <v>96.677000000000007</v>
      </c>
      <c r="Q46" s="832">
        <f t="shared" si="4"/>
        <v>57.623999999999988</v>
      </c>
      <c r="R46" s="822">
        <f t="shared" si="4"/>
        <v>80.801000000000002</v>
      </c>
      <c r="S46" s="822">
        <f t="shared" si="4"/>
        <v>115.57</v>
      </c>
    </row>
    <row r="47" spans="1:19" ht="14.4">
      <c r="A47" s="814"/>
      <c r="B47" s="1525"/>
      <c r="C47" s="1528"/>
      <c r="D47" s="1529" t="s">
        <v>824</v>
      </c>
      <c r="E47" s="833" t="s">
        <v>811</v>
      </c>
      <c r="F47" s="834">
        <v>154.4</v>
      </c>
      <c r="G47" s="836">
        <v>121.42</v>
      </c>
      <c r="H47" s="835">
        <v>135.47</v>
      </c>
      <c r="I47" s="836">
        <v>111.37</v>
      </c>
      <c r="J47" s="837">
        <v>95.57</v>
      </c>
      <c r="K47" s="835">
        <v>128.4</v>
      </c>
      <c r="L47" s="836">
        <v>105.28</v>
      </c>
      <c r="M47" s="837">
        <v>88.82</v>
      </c>
      <c r="N47" s="835">
        <v>113.22</v>
      </c>
      <c r="O47" s="836">
        <v>93.34</v>
      </c>
      <c r="P47" s="837">
        <v>78.75</v>
      </c>
      <c r="Q47" s="835">
        <v>103.37</v>
      </c>
      <c r="R47" s="836">
        <v>88.13</v>
      </c>
      <c r="S47" s="836">
        <v>72.31</v>
      </c>
    </row>
    <row r="48" spans="1:19" ht="14.4">
      <c r="A48" s="814"/>
      <c r="B48" s="1525"/>
      <c r="C48" s="1528"/>
      <c r="D48" s="1530"/>
      <c r="E48" s="1203" t="s">
        <v>821</v>
      </c>
      <c r="F48" s="820">
        <v>135.69999999999999</v>
      </c>
      <c r="G48" s="825">
        <v>189.49</v>
      </c>
      <c r="H48" s="959">
        <v>165.25</v>
      </c>
      <c r="I48" s="825">
        <v>227.02</v>
      </c>
      <c r="J48" s="826">
        <v>282.17</v>
      </c>
      <c r="K48" s="959">
        <v>177.47</v>
      </c>
      <c r="L48" s="825">
        <v>244.2</v>
      </c>
      <c r="M48" s="826">
        <v>306.55</v>
      </c>
      <c r="N48" s="959">
        <v>200.23</v>
      </c>
      <c r="O48" s="825">
        <v>276.27</v>
      </c>
      <c r="P48" s="826">
        <v>371.23</v>
      </c>
      <c r="Q48" s="959">
        <v>221.55</v>
      </c>
      <c r="R48" s="825">
        <v>309.52999999999997</v>
      </c>
      <c r="S48" s="825">
        <v>439.92</v>
      </c>
    </row>
    <row r="49" spans="1:19" ht="15" thickBot="1">
      <c r="A49" s="814"/>
      <c r="B49" s="1525"/>
      <c r="C49" s="1528"/>
      <c r="D49" s="1531"/>
      <c r="E49" s="827" t="s">
        <v>822</v>
      </c>
      <c r="F49" s="839">
        <f t="shared" ref="F49:S49" si="5">MAX(1/(0.003259+1.1805/F48),$E$40*F48)</f>
        <v>94.989999999999981</v>
      </c>
      <c r="G49" s="841">
        <f t="shared" si="5"/>
        <v>132.643</v>
      </c>
      <c r="H49" s="840">
        <f t="shared" si="5"/>
        <v>115.675</v>
      </c>
      <c r="I49" s="841">
        <f t="shared" si="5"/>
        <v>158.91399999999999</v>
      </c>
      <c r="J49" s="842">
        <f t="shared" si="5"/>
        <v>197.51900000000001</v>
      </c>
      <c r="K49" s="840">
        <f t="shared" si="5"/>
        <v>124.22899999999998</v>
      </c>
      <c r="L49" s="841">
        <f t="shared" si="5"/>
        <v>170.93999999999997</v>
      </c>
      <c r="M49" s="842">
        <f t="shared" si="5"/>
        <v>214.58500000000001</v>
      </c>
      <c r="N49" s="840">
        <f t="shared" si="5"/>
        <v>140.16099999999997</v>
      </c>
      <c r="O49" s="841">
        <f t="shared" si="5"/>
        <v>193.38899999999998</v>
      </c>
      <c r="P49" s="842">
        <f t="shared" si="5"/>
        <v>259.86099999999999</v>
      </c>
      <c r="Q49" s="840">
        <f t="shared" si="5"/>
        <v>155.08500000000001</v>
      </c>
      <c r="R49" s="841">
        <f t="shared" si="5"/>
        <v>216.67099999999996</v>
      </c>
      <c r="S49" s="841">
        <f t="shared" si="5"/>
        <v>307.94400000000002</v>
      </c>
    </row>
    <row r="50" spans="1:19" ht="14.4">
      <c r="A50" s="814"/>
      <c r="B50" s="1525"/>
      <c r="C50" s="1527" t="s">
        <v>814</v>
      </c>
      <c r="D50" s="1527" t="s">
        <v>820</v>
      </c>
      <c r="E50" s="843" t="s">
        <v>811</v>
      </c>
      <c r="F50" s="844">
        <v>239.37</v>
      </c>
      <c r="G50" s="1204">
        <v>200.6</v>
      </c>
      <c r="H50" s="1205">
        <v>221.75</v>
      </c>
      <c r="I50" s="1204">
        <v>192.02</v>
      </c>
      <c r="J50" s="1206">
        <v>167.96</v>
      </c>
      <c r="K50" s="1205">
        <v>215.54</v>
      </c>
      <c r="L50" s="1204">
        <v>187.04</v>
      </c>
      <c r="M50" s="1206">
        <v>163.77000000000001</v>
      </c>
      <c r="N50" s="1205">
        <v>191.61</v>
      </c>
      <c r="O50" s="1204">
        <v>164.35</v>
      </c>
      <c r="P50" s="1206">
        <v>139.94</v>
      </c>
      <c r="Q50" s="1205">
        <v>180.52</v>
      </c>
      <c r="R50" s="1204">
        <v>155.04</v>
      </c>
      <c r="S50" s="1204">
        <v>126.68</v>
      </c>
    </row>
    <row r="51" spans="1:19" ht="14.4">
      <c r="A51" s="814"/>
      <c r="B51" s="1525"/>
      <c r="C51" s="1528"/>
      <c r="D51" s="1528"/>
      <c r="E51" s="1207" t="s">
        <v>812</v>
      </c>
      <c r="F51" s="831">
        <v>35.979999999999997</v>
      </c>
      <c r="G51" s="822">
        <v>34.67</v>
      </c>
      <c r="H51" s="821">
        <v>34.71</v>
      </c>
      <c r="I51" s="822">
        <v>34.380000000000003</v>
      </c>
      <c r="J51" s="823">
        <v>34.32</v>
      </c>
      <c r="K51" s="821">
        <v>34.53</v>
      </c>
      <c r="L51" s="822">
        <v>33.68</v>
      </c>
      <c r="M51" s="823">
        <v>33.380000000000003</v>
      </c>
      <c r="N51" s="821">
        <v>35.380000000000003</v>
      </c>
      <c r="O51" s="822">
        <v>34.94</v>
      </c>
      <c r="P51" s="823">
        <v>34.700000000000003</v>
      </c>
      <c r="Q51" s="821">
        <v>35.26</v>
      </c>
      <c r="R51" s="822">
        <v>34.92</v>
      </c>
      <c r="S51" s="822">
        <v>35.380000000000003</v>
      </c>
    </row>
    <row r="52" spans="1:19" ht="14.4">
      <c r="A52" s="814"/>
      <c r="B52" s="1525"/>
      <c r="C52" s="1528"/>
      <c r="D52" s="1528"/>
      <c r="E52" s="1208" t="s">
        <v>821</v>
      </c>
      <c r="F52" s="831">
        <v>65535</v>
      </c>
      <c r="G52" s="822">
        <v>65535</v>
      </c>
      <c r="H52" s="821">
        <v>65535</v>
      </c>
      <c r="I52" s="822">
        <v>65535</v>
      </c>
      <c r="J52" s="823">
        <v>65535</v>
      </c>
      <c r="K52" s="821">
        <v>65535</v>
      </c>
      <c r="L52" s="822">
        <v>65535</v>
      </c>
      <c r="M52" s="823">
        <v>65535</v>
      </c>
      <c r="N52" s="821">
        <v>65535</v>
      </c>
      <c r="O52" s="822">
        <v>65535</v>
      </c>
      <c r="P52" s="823">
        <v>65535</v>
      </c>
      <c r="Q52" s="821">
        <v>65535</v>
      </c>
      <c r="R52" s="822">
        <v>65535</v>
      </c>
      <c r="S52" s="822">
        <v>65535</v>
      </c>
    </row>
    <row r="53" spans="1:19" ht="15" thickBot="1">
      <c r="A53" s="814"/>
      <c r="B53" s="1525"/>
      <c r="C53" s="1528"/>
      <c r="D53" s="1532"/>
      <c r="E53" s="827" t="s">
        <v>822</v>
      </c>
      <c r="F53" s="820">
        <f>MAX(1/(0.001376+1.3466/F52),$E$40*F52)</f>
        <v>45874.5</v>
      </c>
      <c r="G53" s="825">
        <f t="shared" ref="G53:S53" si="6">MAX(1/(0.001376+1.3466/G52),$E$40*G52)</f>
        <v>45874.5</v>
      </c>
      <c r="H53" s="824">
        <f t="shared" si="6"/>
        <v>45874.5</v>
      </c>
      <c r="I53" s="825">
        <f t="shared" si="6"/>
        <v>45874.5</v>
      </c>
      <c r="J53" s="826">
        <f t="shared" si="6"/>
        <v>45874.5</v>
      </c>
      <c r="K53" s="824">
        <f t="shared" si="6"/>
        <v>45874.5</v>
      </c>
      <c r="L53" s="825">
        <f t="shared" si="6"/>
        <v>45874.5</v>
      </c>
      <c r="M53" s="826">
        <f t="shared" si="6"/>
        <v>45874.5</v>
      </c>
      <c r="N53" s="824">
        <f t="shared" si="6"/>
        <v>45874.5</v>
      </c>
      <c r="O53" s="825">
        <f t="shared" si="6"/>
        <v>45874.5</v>
      </c>
      <c r="P53" s="826">
        <f t="shared" si="6"/>
        <v>45874.5</v>
      </c>
      <c r="Q53" s="824">
        <f t="shared" si="6"/>
        <v>45874.5</v>
      </c>
      <c r="R53" s="825">
        <f t="shared" si="6"/>
        <v>45874.5</v>
      </c>
      <c r="S53" s="825">
        <f t="shared" si="6"/>
        <v>45874.5</v>
      </c>
    </row>
    <row r="54" spans="1:19" ht="14.4">
      <c r="A54" s="814"/>
      <c r="B54" s="1525"/>
      <c r="C54" s="1528"/>
      <c r="D54" s="1527" t="s">
        <v>823</v>
      </c>
      <c r="E54" s="828" t="s">
        <v>821</v>
      </c>
      <c r="F54" s="816">
        <v>53.38</v>
      </c>
      <c r="G54" s="818">
        <v>66.95</v>
      </c>
      <c r="H54" s="829">
        <v>60.19</v>
      </c>
      <c r="I54" s="818">
        <v>76.09</v>
      </c>
      <c r="J54" s="830">
        <v>90.56</v>
      </c>
      <c r="K54" s="829">
        <v>61.18</v>
      </c>
      <c r="L54" s="818">
        <v>80.59</v>
      </c>
      <c r="M54" s="830">
        <v>93.31</v>
      </c>
      <c r="N54" s="829">
        <v>70.989999999999995</v>
      </c>
      <c r="O54" s="818">
        <v>91.89</v>
      </c>
      <c r="P54" s="830">
        <v>110.3</v>
      </c>
      <c r="Q54" s="829">
        <v>77.05</v>
      </c>
      <c r="R54" s="818">
        <v>100.42</v>
      </c>
      <c r="S54" s="818">
        <v>135.94999999999999</v>
      </c>
    </row>
    <row r="55" spans="1:19" ht="15" thickBot="1">
      <c r="A55" s="814"/>
      <c r="B55" s="1525"/>
      <c r="C55" s="1528"/>
      <c r="D55" s="1532"/>
      <c r="E55" s="827" t="s">
        <v>822</v>
      </c>
      <c r="F55" s="831">
        <f>MAX(1/(0.001376+1.3466/F54),$E$40*F54)</f>
        <v>37.590202401761829</v>
      </c>
      <c r="G55" s="822">
        <f t="shared" ref="G55:S55" si="7">MAX(1/(0.001376+1.3466/G54),$E$40*G54)</f>
        <v>46.865000000000002</v>
      </c>
      <c r="H55" s="832">
        <f t="shared" si="7"/>
        <v>42.132999999999996</v>
      </c>
      <c r="I55" s="822">
        <f t="shared" si="7"/>
        <v>53.262999999999998</v>
      </c>
      <c r="J55" s="823">
        <f t="shared" si="7"/>
        <v>63.391999999999996</v>
      </c>
      <c r="K55" s="832">
        <f t="shared" si="7"/>
        <v>42.826000000000001</v>
      </c>
      <c r="L55" s="822">
        <f t="shared" si="7"/>
        <v>56.412999999999997</v>
      </c>
      <c r="M55" s="823">
        <f t="shared" si="7"/>
        <v>65.316999999999993</v>
      </c>
      <c r="N55" s="832">
        <f t="shared" si="7"/>
        <v>49.692999999999991</v>
      </c>
      <c r="O55" s="822">
        <f t="shared" si="7"/>
        <v>64.322999999999993</v>
      </c>
      <c r="P55" s="823">
        <f t="shared" si="7"/>
        <v>77.209999999999994</v>
      </c>
      <c r="Q55" s="832">
        <f t="shared" si="7"/>
        <v>53.934999999999995</v>
      </c>
      <c r="R55" s="822">
        <f t="shared" si="7"/>
        <v>70.293999999999997</v>
      </c>
      <c r="S55" s="822">
        <f t="shared" si="7"/>
        <v>95.164999999999992</v>
      </c>
    </row>
    <row r="56" spans="1:19" ht="14.4">
      <c r="A56" s="814"/>
      <c r="B56" s="1525"/>
      <c r="C56" s="1528"/>
      <c r="D56" s="1529" t="s">
        <v>824</v>
      </c>
      <c r="E56" s="833" t="s">
        <v>811</v>
      </c>
      <c r="F56" s="817">
        <v>163.13999999999999</v>
      </c>
      <c r="G56" s="818">
        <v>130.84</v>
      </c>
      <c r="H56" s="829">
        <v>146.24</v>
      </c>
      <c r="I56" s="818">
        <v>121.57</v>
      </c>
      <c r="J56" s="830">
        <v>103.96</v>
      </c>
      <c r="K56" s="829">
        <v>139.33000000000001</v>
      </c>
      <c r="L56" s="818">
        <v>115.35</v>
      </c>
      <c r="M56" s="830">
        <v>96.9</v>
      </c>
      <c r="N56" s="829">
        <v>120.49</v>
      </c>
      <c r="O56" s="818">
        <v>100.32</v>
      </c>
      <c r="P56" s="830">
        <v>84.33</v>
      </c>
      <c r="Q56" s="829">
        <v>110</v>
      </c>
      <c r="R56" s="818">
        <v>94.61</v>
      </c>
      <c r="S56" s="818">
        <v>76.150000000000006</v>
      </c>
    </row>
    <row r="57" spans="1:19" ht="14.4">
      <c r="A57" s="814"/>
      <c r="B57" s="1525"/>
      <c r="C57" s="1528"/>
      <c r="D57" s="1530"/>
      <c r="E57" s="1203" t="s">
        <v>821</v>
      </c>
      <c r="F57" s="820">
        <v>127.92</v>
      </c>
      <c r="G57" s="825">
        <v>156.81</v>
      </c>
      <c r="H57" s="959">
        <v>140.88</v>
      </c>
      <c r="I57" s="825">
        <v>177.37</v>
      </c>
      <c r="J57" s="826">
        <v>209.79</v>
      </c>
      <c r="K57" s="959">
        <v>142.78</v>
      </c>
      <c r="L57" s="825">
        <v>184.68</v>
      </c>
      <c r="M57" s="826">
        <v>211.5</v>
      </c>
      <c r="N57" s="959">
        <v>168.99</v>
      </c>
      <c r="O57" s="825">
        <v>218.95</v>
      </c>
      <c r="P57" s="826">
        <v>257.22000000000003</v>
      </c>
      <c r="Q57" s="959">
        <v>183.23</v>
      </c>
      <c r="R57" s="825">
        <v>239.35</v>
      </c>
      <c r="S57" s="825">
        <v>323</v>
      </c>
    </row>
    <row r="58" spans="1:19" ht="15" thickBot="1">
      <c r="A58" s="747"/>
      <c r="B58" s="1525"/>
      <c r="C58" s="1528"/>
      <c r="D58" s="1531"/>
      <c r="E58" s="827" t="s">
        <v>822</v>
      </c>
      <c r="F58" s="839">
        <f>MAX(1/(0.001376+1.3466/F57),$E$40*F57)</f>
        <v>89.543999999999997</v>
      </c>
      <c r="G58" s="841">
        <f t="shared" ref="G58:S58" si="8">MAX(1/(0.001376+1.3466/G57),$E$40*G57)</f>
        <v>109.767</v>
      </c>
      <c r="H58" s="840">
        <f t="shared" si="8"/>
        <v>98.615999999999985</v>
      </c>
      <c r="I58" s="841">
        <f t="shared" si="8"/>
        <v>124.15899999999999</v>
      </c>
      <c r="J58" s="842">
        <f t="shared" si="8"/>
        <v>146.85299999999998</v>
      </c>
      <c r="K58" s="840">
        <f t="shared" si="8"/>
        <v>99.945999999999998</v>
      </c>
      <c r="L58" s="841">
        <f t="shared" si="8"/>
        <v>129.27600000000001</v>
      </c>
      <c r="M58" s="842">
        <f t="shared" si="8"/>
        <v>148.04999999999998</v>
      </c>
      <c r="N58" s="840">
        <f t="shared" si="8"/>
        <v>118.29299999999999</v>
      </c>
      <c r="O58" s="841">
        <f t="shared" si="8"/>
        <v>153.26499999999999</v>
      </c>
      <c r="P58" s="842">
        <f t="shared" si="8"/>
        <v>180.054</v>
      </c>
      <c r="Q58" s="840">
        <f t="shared" si="8"/>
        <v>128.261</v>
      </c>
      <c r="R58" s="841">
        <f t="shared" si="8"/>
        <v>167.54499999999999</v>
      </c>
      <c r="S58" s="841">
        <f t="shared" si="8"/>
        <v>226.1</v>
      </c>
    </row>
    <row r="59" spans="1:19" ht="14.4">
      <c r="A59" s="747"/>
      <c r="B59" s="1525"/>
      <c r="C59" s="1527" t="s">
        <v>815</v>
      </c>
      <c r="D59" s="1527" t="s">
        <v>820</v>
      </c>
      <c r="E59" s="845" t="s">
        <v>821</v>
      </c>
      <c r="F59" s="844">
        <f t="shared" ref="F59:S62" si="9">1/(0.55/F43+0.45/F52)</f>
        <v>65535</v>
      </c>
      <c r="G59" s="1204">
        <f>1/(0.55/G43+0.45/G52)</f>
        <v>65535</v>
      </c>
      <c r="H59" s="1209">
        <f t="shared" si="9"/>
        <v>65535</v>
      </c>
      <c r="I59" s="1204">
        <f t="shared" si="9"/>
        <v>65535</v>
      </c>
      <c r="J59" s="1206">
        <f t="shared" si="9"/>
        <v>65535</v>
      </c>
      <c r="K59" s="1209">
        <f t="shared" si="9"/>
        <v>65535</v>
      </c>
      <c r="L59" s="1204">
        <f t="shared" si="9"/>
        <v>65535</v>
      </c>
      <c r="M59" s="1206">
        <f t="shared" si="9"/>
        <v>65535</v>
      </c>
      <c r="N59" s="1209">
        <f t="shared" si="9"/>
        <v>65535</v>
      </c>
      <c r="O59" s="1204">
        <f t="shared" si="9"/>
        <v>65535</v>
      </c>
      <c r="P59" s="1206">
        <f t="shared" si="9"/>
        <v>65535</v>
      </c>
      <c r="Q59" s="1209">
        <f t="shared" si="9"/>
        <v>65535</v>
      </c>
      <c r="R59" s="1204">
        <f t="shared" si="9"/>
        <v>65535</v>
      </c>
      <c r="S59" s="1204">
        <f t="shared" si="9"/>
        <v>65535</v>
      </c>
    </row>
    <row r="60" spans="1:19" ht="15" thickBot="1">
      <c r="A60" s="747"/>
      <c r="B60" s="1525"/>
      <c r="C60" s="1528"/>
      <c r="D60" s="1532"/>
      <c r="E60" s="827" t="s">
        <v>822</v>
      </c>
      <c r="F60" s="844">
        <f t="shared" si="9"/>
        <v>45874.499999999993</v>
      </c>
      <c r="G60" s="1204">
        <f>1/(0.55/G44+0.45/G53)</f>
        <v>45874.499999999993</v>
      </c>
      <c r="H60" s="1209">
        <f t="shared" si="9"/>
        <v>45874.499999999993</v>
      </c>
      <c r="I60" s="1204">
        <f t="shared" si="9"/>
        <v>45874.499999999993</v>
      </c>
      <c r="J60" s="1206">
        <f t="shared" si="9"/>
        <v>45874.499999999993</v>
      </c>
      <c r="K60" s="1209">
        <f t="shared" si="9"/>
        <v>45874.499999999993</v>
      </c>
      <c r="L60" s="1204">
        <f t="shared" si="9"/>
        <v>45874.499999999993</v>
      </c>
      <c r="M60" s="1206">
        <f t="shared" si="9"/>
        <v>45874.499999999993</v>
      </c>
      <c r="N60" s="1209">
        <f t="shared" si="9"/>
        <v>45874.499999999993</v>
      </c>
      <c r="O60" s="1204">
        <f t="shared" si="9"/>
        <v>45874.499999999993</v>
      </c>
      <c r="P60" s="1206">
        <f t="shared" si="9"/>
        <v>45874.499999999993</v>
      </c>
      <c r="Q60" s="1209">
        <f t="shared" si="9"/>
        <v>45874.499999999993</v>
      </c>
      <c r="R60" s="1204">
        <f t="shared" si="9"/>
        <v>45874.499999999993</v>
      </c>
      <c r="S60" s="1204">
        <f t="shared" si="9"/>
        <v>45874.499999999993</v>
      </c>
    </row>
    <row r="61" spans="1:19" ht="14.4">
      <c r="A61" s="747"/>
      <c r="B61" s="1525"/>
      <c r="C61" s="1528"/>
      <c r="D61" s="1527" t="s">
        <v>823</v>
      </c>
      <c r="E61" s="846" t="s">
        <v>821</v>
      </c>
      <c r="F61" s="816">
        <f t="shared" si="9"/>
        <v>51.90070215435901</v>
      </c>
      <c r="G61" s="818">
        <f t="shared" si="9"/>
        <v>69.134104323554212</v>
      </c>
      <c r="H61" s="829">
        <f t="shared" si="9"/>
        <v>61.081074382878143</v>
      </c>
      <c r="I61" s="818">
        <f t="shared" si="9"/>
        <v>80.396405316822182</v>
      </c>
      <c r="J61" s="830">
        <f t="shared" si="9"/>
        <v>98.128055222644576</v>
      </c>
      <c r="K61" s="829">
        <f t="shared" si="9"/>
        <v>63.79661663919493</v>
      </c>
      <c r="L61" s="818">
        <f t="shared" si="9"/>
        <v>85.838583981392276</v>
      </c>
      <c r="M61" s="830">
        <f t="shared" si="9"/>
        <v>104.04214925778861</v>
      </c>
      <c r="N61" s="829">
        <f t="shared" si="9"/>
        <v>72.810005378494296</v>
      </c>
      <c r="O61" s="818">
        <f t="shared" si="9"/>
        <v>97.749470850352765</v>
      </c>
      <c r="P61" s="830">
        <f t="shared" si="9"/>
        <v>124.03692560731835</v>
      </c>
      <c r="Q61" s="829">
        <f t="shared" si="9"/>
        <v>79.861951738509092</v>
      </c>
      <c r="R61" s="818">
        <f t="shared" si="9"/>
        <v>108.15521042785365</v>
      </c>
      <c r="S61" s="818">
        <f t="shared" si="9"/>
        <v>150.57168732285709</v>
      </c>
    </row>
    <row r="62" spans="1:19" ht="15" thickBot="1">
      <c r="A62" s="747"/>
      <c r="B62" s="1525"/>
      <c r="C62" s="1528"/>
      <c r="D62" s="1532"/>
      <c r="E62" s="827" t="s">
        <v>822</v>
      </c>
      <c r="F62" s="847">
        <f t="shared" si="9"/>
        <v>37.654500337760979</v>
      </c>
      <c r="G62" s="849">
        <f t="shared" si="9"/>
        <v>48.696505542168929</v>
      </c>
      <c r="H62" s="848">
        <f t="shared" si="9"/>
        <v>43.527684384673613</v>
      </c>
      <c r="I62" s="849">
        <f t="shared" si="9"/>
        <v>56.277483721775525</v>
      </c>
      <c r="J62" s="850">
        <f t="shared" si="9"/>
        <v>68.689638655851198</v>
      </c>
      <c r="K62" s="848">
        <f t="shared" si="9"/>
        <v>45.205469490079921</v>
      </c>
      <c r="L62" s="849">
        <f t="shared" si="9"/>
        <v>60.087008786974593</v>
      </c>
      <c r="M62" s="850">
        <f t="shared" si="9"/>
        <v>72.829504480452016</v>
      </c>
      <c r="N62" s="848">
        <f t="shared" si="9"/>
        <v>51.076732756753572</v>
      </c>
      <c r="O62" s="849">
        <f t="shared" si="9"/>
        <v>68.424629595246927</v>
      </c>
      <c r="P62" s="850">
        <f t="shared" si="9"/>
        <v>86.825847925122829</v>
      </c>
      <c r="Q62" s="848">
        <f t="shared" si="9"/>
        <v>55.90336621695635</v>
      </c>
      <c r="R62" s="849">
        <f t="shared" si="9"/>
        <v>75.708647299497542</v>
      </c>
      <c r="S62" s="849">
        <f t="shared" si="9"/>
        <v>105.40018112599996</v>
      </c>
    </row>
    <row r="63" spans="1:19" ht="14.4">
      <c r="A63" s="747"/>
      <c r="B63" s="1525"/>
      <c r="C63" s="1528"/>
      <c r="D63" s="1527" t="s">
        <v>824</v>
      </c>
      <c r="E63" s="1210" t="s">
        <v>811</v>
      </c>
      <c r="F63" s="844">
        <f t="shared" ref="F63:S63" si="10">0.55*F47+0.45*F56</f>
        <v>158.33300000000003</v>
      </c>
      <c r="G63" s="1204">
        <f>0.55*G47+0.45*G56</f>
        <v>125.65900000000001</v>
      </c>
      <c r="H63" s="1205">
        <f t="shared" si="10"/>
        <v>140.31650000000002</v>
      </c>
      <c r="I63" s="1204">
        <f t="shared" si="10"/>
        <v>115.96000000000001</v>
      </c>
      <c r="J63" s="1206">
        <f t="shared" si="10"/>
        <v>99.345499999999987</v>
      </c>
      <c r="K63" s="1205">
        <f t="shared" si="10"/>
        <v>133.31850000000003</v>
      </c>
      <c r="L63" s="1204">
        <f t="shared" si="10"/>
        <v>109.8115</v>
      </c>
      <c r="M63" s="1206">
        <f t="shared" si="10"/>
        <v>92.456000000000003</v>
      </c>
      <c r="N63" s="1205">
        <f t="shared" si="10"/>
        <v>116.4915</v>
      </c>
      <c r="O63" s="1204">
        <f t="shared" si="10"/>
        <v>96.480999999999995</v>
      </c>
      <c r="P63" s="1206">
        <f t="shared" si="10"/>
        <v>81.260999999999996</v>
      </c>
      <c r="Q63" s="1205">
        <f t="shared" si="10"/>
        <v>106.3535</v>
      </c>
      <c r="R63" s="1204">
        <f t="shared" si="10"/>
        <v>91.045999999999992</v>
      </c>
      <c r="S63" s="1204">
        <f t="shared" si="10"/>
        <v>74.038000000000011</v>
      </c>
    </row>
    <row r="64" spans="1:19" ht="14.4">
      <c r="A64" s="747"/>
      <c r="B64" s="1525"/>
      <c r="C64" s="1528"/>
      <c r="D64" s="1528"/>
      <c r="E64" s="1210" t="s">
        <v>821</v>
      </c>
      <c r="F64" s="844">
        <f t="shared" ref="F64:S65" si="11">1/(0.55/F48+0.45/F57)</f>
        <v>132.08500924509781</v>
      </c>
      <c r="G64" s="1204">
        <f t="shared" si="11"/>
        <v>173.24288637794723</v>
      </c>
      <c r="H64" s="1205">
        <f t="shared" si="11"/>
        <v>153.31548636287303</v>
      </c>
      <c r="I64" s="1204">
        <f t="shared" si="11"/>
        <v>201.62251937159667</v>
      </c>
      <c r="J64" s="1206">
        <f t="shared" si="11"/>
        <v>244.24905120873404</v>
      </c>
      <c r="K64" s="1205">
        <f t="shared" si="11"/>
        <v>159.97908081608429</v>
      </c>
      <c r="L64" s="1204">
        <f t="shared" si="11"/>
        <v>213.2696629213483</v>
      </c>
      <c r="M64" s="1206">
        <f t="shared" si="11"/>
        <v>254.98362976727722</v>
      </c>
      <c r="N64" s="1205">
        <f t="shared" si="11"/>
        <v>184.85243051003013</v>
      </c>
      <c r="O64" s="1204">
        <f t="shared" si="11"/>
        <v>247.15341949138693</v>
      </c>
      <c r="P64" s="1206">
        <f t="shared" si="11"/>
        <v>309.49821035282451</v>
      </c>
      <c r="Q64" s="1205">
        <f t="shared" si="11"/>
        <v>202.49312379660202</v>
      </c>
      <c r="R64" s="1204">
        <f t="shared" si="11"/>
        <v>273.44971782483361</v>
      </c>
      <c r="S64" s="1204">
        <f t="shared" si="11"/>
        <v>378.29835948606814</v>
      </c>
    </row>
    <row r="65" spans="1:19" ht="15" thickBot="1">
      <c r="A65" s="747"/>
      <c r="B65" s="1526"/>
      <c r="C65" s="1528"/>
      <c r="D65" s="1532"/>
      <c r="E65" s="1211" t="s">
        <v>822</v>
      </c>
      <c r="F65" s="844">
        <f t="shared" si="11"/>
        <v>92.459506471568446</v>
      </c>
      <c r="G65" s="1204">
        <f>1/(0.55/G49+0.45/G58)</f>
        <v>121.27002046456306</v>
      </c>
      <c r="H65" s="1205">
        <f t="shared" si="11"/>
        <v>107.3208404540111</v>
      </c>
      <c r="I65" s="1204">
        <f t="shared" si="11"/>
        <v>141.13576356011765</v>
      </c>
      <c r="J65" s="1206">
        <f t="shared" si="11"/>
        <v>170.97433584611383</v>
      </c>
      <c r="K65" s="1205">
        <f t="shared" si="11"/>
        <v>111.98535657125899</v>
      </c>
      <c r="L65" s="1204">
        <f t="shared" si="11"/>
        <v>149.2887640449438</v>
      </c>
      <c r="M65" s="1206">
        <f t="shared" si="11"/>
        <v>178.48854083709404</v>
      </c>
      <c r="N65" s="1205">
        <f t="shared" si="11"/>
        <v>129.3967013570211</v>
      </c>
      <c r="O65" s="1204">
        <f t="shared" si="11"/>
        <v>173.0073936439708</v>
      </c>
      <c r="P65" s="1206">
        <f t="shared" si="11"/>
        <v>216.64874724697714</v>
      </c>
      <c r="Q65" s="1205">
        <f t="shared" si="11"/>
        <v>141.74518665762142</v>
      </c>
      <c r="R65" s="1204">
        <f t="shared" si="11"/>
        <v>191.41480247738349</v>
      </c>
      <c r="S65" s="849">
        <f t="shared" si="11"/>
        <v>264.80885164024767</v>
      </c>
    </row>
  </sheetData>
  <mergeCells count="19">
    <mergeCell ref="B41:B65"/>
    <mergeCell ref="C41:C49"/>
    <mergeCell ref="D41:D44"/>
    <mergeCell ref="D45:D46"/>
    <mergeCell ref="D47:D49"/>
    <mergeCell ref="C50:C58"/>
    <mergeCell ref="D50:D53"/>
    <mergeCell ref="D54:D55"/>
    <mergeCell ref="D56:D58"/>
    <mergeCell ref="C59:C65"/>
    <mergeCell ref="D59:D60"/>
    <mergeCell ref="D61:D62"/>
    <mergeCell ref="D63:D65"/>
    <mergeCell ref="F14:S14"/>
    <mergeCell ref="F38:S38"/>
    <mergeCell ref="H39:J39"/>
    <mergeCell ref="K39:M39"/>
    <mergeCell ref="N39:P39"/>
    <mergeCell ref="Q39:S3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2:S56"/>
  <sheetViews>
    <sheetView workbookViewId="0">
      <selection activeCell="C13" sqref="C13"/>
    </sheetView>
  </sheetViews>
  <sheetFormatPr defaultColWidth="9.109375" defaultRowHeight="13.2"/>
  <cols>
    <col min="1" max="1" width="9.109375" style="570"/>
    <col min="2" max="2" width="13.88671875" style="570" bestFit="1" customWidth="1"/>
    <col min="3" max="3" width="8.33203125" style="570" customWidth="1"/>
    <col min="4" max="4" width="14.5546875" style="570" bestFit="1" customWidth="1"/>
    <col min="5" max="5" width="13.109375" style="570" customWidth="1"/>
    <col min="6" max="6" width="11.6640625" style="570" customWidth="1"/>
    <col min="7" max="19" width="10.6640625" style="570" customWidth="1"/>
    <col min="20" max="16384" width="9.109375" style="570"/>
  </cols>
  <sheetData>
    <row r="2" spans="1:19" ht="17.399999999999999">
      <c r="A2" s="731" t="s">
        <v>835</v>
      </c>
    </row>
    <row r="4" spans="1:19">
      <c r="A4" s="548" t="s">
        <v>972</v>
      </c>
    </row>
    <row r="6" spans="1:19">
      <c r="A6" s="548" t="s">
        <v>973</v>
      </c>
      <c r="B6" s="571"/>
    </row>
    <row r="7" spans="1:19">
      <c r="A7" s="548"/>
      <c r="B7" s="571"/>
    </row>
    <row r="8" spans="1:19">
      <c r="A8" s="548"/>
      <c r="B8" s="571"/>
    </row>
    <row r="9" spans="1:19">
      <c r="A9" s="548"/>
      <c r="B9" s="571"/>
    </row>
    <row r="10" spans="1:19">
      <c r="A10" s="548"/>
      <c r="B10" s="571"/>
    </row>
    <row r="11" spans="1:19" ht="13.8" thickBot="1">
      <c r="A11" s="548"/>
      <c r="B11" s="571"/>
    </row>
    <row r="12" spans="1:19" ht="18.600000000000001" thickBot="1">
      <c r="A12" s="548"/>
      <c r="B12" s="571"/>
      <c r="F12" s="1492" t="s">
        <v>971</v>
      </c>
      <c r="G12" s="1493"/>
      <c r="H12" s="1493"/>
      <c r="I12" s="1493"/>
      <c r="J12" s="1493"/>
      <c r="K12" s="1493"/>
      <c r="L12" s="1493"/>
      <c r="M12" s="1493"/>
      <c r="N12" s="1493"/>
      <c r="O12" s="1493"/>
      <c r="P12" s="1493"/>
      <c r="Q12" s="1493"/>
      <c r="R12" s="1493"/>
      <c r="S12" s="1493"/>
    </row>
    <row r="13" spans="1:19" ht="15" thickBot="1">
      <c r="A13" s="548"/>
      <c r="B13" s="571"/>
      <c r="F13" s="691">
        <v>2010</v>
      </c>
      <c r="G13" s="931">
        <v>2015</v>
      </c>
      <c r="H13" s="744">
        <v>2020</v>
      </c>
      <c r="I13" s="744">
        <v>2020</v>
      </c>
      <c r="J13" s="744">
        <v>2020</v>
      </c>
      <c r="K13" s="744">
        <v>2025</v>
      </c>
      <c r="L13" s="744">
        <v>2025</v>
      </c>
      <c r="M13" s="744">
        <v>2025</v>
      </c>
      <c r="N13" s="744">
        <v>2030</v>
      </c>
      <c r="O13" s="744">
        <v>2030</v>
      </c>
      <c r="P13" s="744">
        <v>2030</v>
      </c>
      <c r="Q13" s="744">
        <v>2045</v>
      </c>
      <c r="R13" s="744">
        <v>2045</v>
      </c>
      <c r="S13" s="934">
        <v>2045</v>
      </c>
    </row>
    <row r="14" spans="1:19" ht="15" thickBot="1">
      <c r="A14" s="868"/>
      <c r="B14" s="868"/>
      <c r="C14" s="687"/>
      <c r="F14" s="936" t="s">
        <v>735</v>
      </c>
      <c r="G14" s="936" t="s">
        <v>735</v>
      </c>
      <c r="H14" s="935" t="s">
        <v>734</v>
      </c>
      <c r="I14" s="936" t="s">
        <v>735</v>
      </c>
      <c r="J14" s="937" t="s">
        <v>736</v>
      </c>
      <c r="K14" s="935" t="s">
        <v>734</v>
      </c>
      <c r="L14" s="936" t="s">
        <v>735</v>
      </c>
      <c r="M14" s="937" t="s">
        <v>736</v>
      </c>
      <c r="N14" s="935" t="s">
        <v>734</v>
      </c>
      <c r="O14" s="936" t="s">
        <v>735</v>
      </c>
      <c r="P14" s="937" t="s">
        <v>736</v>
      </c>
      <c r="Q14" s="935" t="s">
        <v>734</v>
      </c>
      <c r="R14" s="936" t="s">
        <v>735</v>
      </c>
      <c r="S14" s="938" t="s">
        <v>736</v>
      </c>
    </row>
    <row r="15" spans="1:19" ht="12.75" customHeight="1">
      <c r="B15" s="1536" t="s">
        <v>763</v>
      </c>
      <c r="C15" s="1538" t="s">
        <v>815</v>
      </c>
      <c r="D15" s="1546"/>
      <c r="E15" s="1538" t="s">
        <v>816</v>
      </c>
      <c r="F15" s="1540">
        <f t="shared" ref="F15:S15" si="0">0.43*MIN(0.003259*33700+1.1805*F33,F33/$E$32)+0.57*MIN(0.001376*33700+1.3466*F35,F35/$E$32)</f>
        <v>279.86228571428569</v>
      </c>
      <c r="G15" s="1542">
        <f t="shared" si="0"/>
        <v>272.13214285714287</v>
      </c>
      <c r="H15" s="1542">
        <f t="shared" si="0"/>
        <v>281.53771428571429</v>
      </c>
      <c r="I15" s="1542">
        <f t="shared" si="0"/>
        <v>254.08999999999997</v>
      </c>
      <c r="J15" s="1544">
        <f t="shared" si="0"/>
        <v>219.96114285714287</v>
      </c>
      <c r="K15" s="1542">
        <f t="shared" si="0"/>
        <v>274.17342857142859</v>
      </c>
      <c r="L15" s="1542">
        <f t="shared" si="0"/>
        <v>245.02628571428573</v>
      </c>
      <c r="M15" s="1544">
        <f t="shared" si="0"/>
        <v>219.84000000000003</v>
      </c>
      <c r="N15" s="1542">
        <f t="shared" si="0"/>
        <v>256.39057142857143</v>
      </c>
      <c r="O15" s="1542">
        <f t="shared" si="0"/>
        <v>235.66771428571428</v>
      </c>
      <c r="P15" s="1544">
        <f t="shared" si="0"/>
        <v>215.85142857142858</v>
      </c>
      <c r="Q15" s="1542">
        <f t="shared" si="0"/>
        <v>246.78828571428571</v>
      </c>
      <c r="R15" s="1542">
        <f t="shared" si="0"/>
        <v>225.54171428571431</v>
      </c>
      <c r="S15" s="1546">
        <f t="shared" si="0"/>
        <v>170.49328571428572</v>
      </c>
    </row>
    <row r="16" spans="1:19" ht="13.5" customHeight="1" thickBot="1">
      <c r="B16" s="1537"/>
      <c r="C16" s="1539"/>
      <c r="D16" s="1547"/>
      <c r="E16" s="1539"/>
      <c r="F16" s="1541"/>
      <c r="G16" s="1543"/>
      <c r="H16" s="1543"/>
      <c r="I16" s="1543"/>
      <c r="J16" s="1545"/>
      <c r="K16" s="1543"/>
      <c r="L16" s="1543"/>
      <c r="M16" s="1545"/>
      <c r="N16" s="1543"/>
      <c r="O16" s="1543"/>
      <c r="P16" s="1545"/>
      <c r="Q16" s="1543"/>
      <c r="R16" s="1543"/>
      <c r="S16" s="1563"/>
    </row>
    <row r="17" spans="1:19" ht="12.75" customHeight="1">
      <c r="B17" s="1556" t="s">
        <v>764</v>
      </c>
      <c r="C17" s="1558" t="s">
        <v>815</v>
      </c>
      <c r="D17" s="1559"/>
      <c r="E17" s="1558" t="s">
        <v>816</v>
      </c>
      <c r="F17" s="1550">
        <f t="shared" ref="F17:S17" si="1">0.43*MIN(0.003259*33700+1.1805*F37,F37/$E$32)+0.57*MIN(0.001376*33700+1.3466*F39,F39/$E$32)</f>
        <v>282.28614285714286</v>
      </c>
      <c r="G17" s="1548">
        <f t="shared" si="1"/>
        <v>276.75942857142854</v>
      </c>
      <c r="H17" s="1548">
        <f t="shared" si="1"/>
        <v>285.90442857142858</v>
      </c>
      <c r="I17" s="1548">
        <f t="shared" si="1"/>
        <v>257.78528571428569</v>
      </c>
      <c r="J17" s="1568">
        <f t="shared" si="1"/>
        <v>223.43014285714287</v>
      </c>
      <c r="K17" s="1548">
        <f t="shared" si="1"/>
        <v>277.77657142857146</v>
      </c>
      <c r="L17" s="1548">
        <f t="shared" si="1"/>
        <v>248.85771428571428</v>
      </c>
      <c r="M17" s="1568">
        <f t="shared" si="1"/>
        <v>223.25671428571431</v>
      </c>
      <c r="N17" s="1548">
        <f t="shared" si="1"/>
        <v>259.74828571428577</v>
      </c>
      <c r="O17" s="1548">
        <f t="shared" si="1"/>
        <v>238.72071428571428</v>
      </c>
      <c r="P17" s="1568">
        <f t="shared" si="1"/>
        <v>218.82857142857142</v>
      </c>
      <c r="Q17" s="1548">
        <f t="shared" si="1"/>
        <v>249.95571428571429</v>
      </c>
      <c r="R17" s="1548">
        <f t="shared" si="1"/>
        <v>228.345</v>
      </c>
      <c r="S17" s="1549">
        <f t="shared" si="1"/>
        <v>172.47214285714284</v>
      </c>
    </row>
    <row r="18" spans="1:19" ht="13.5" customHeight="1" thickBot="1">
      <c r="B18" s="1557"/>
      <c r="C18" s="1560"/>
      <c r="D18" s="1561"/>
      <c r="E18" s="1560"/>
      <c r="F18" s="1550"/>
      <c r="G18" s="1548"/>
      <c r="H18" s="1548"/>
      <c r="I18" s="1548"/>
      <c r="J18" s="1568"/>
      <c r="K18" s="1548"/>
      <c r="L18" s="1548"/>
      <c r="M18" s="1568"/>
      <c r="N18" s="1548"/>
      <c r="O18" s="1548"/>
      <c r="P18" s="1568"/>
      <c r="Q18" s="1548"/>
      <c r="R18" s="1548"/>
      <c r="S18" s="1549"/>
    </row>
    <row r="19" spans="1:19" ht="12.75" customHeight="1">
      <c r="B19" s="1536" t="s">
        <v>765</v>
      </c>
      <c r="C19" s="1538" t="s">
        <v>815</v>
      </c>
      <c r="D19" s="1546"/>
      <c r="E19" s="1538" t="s">
        <v>816</v>
      </c>
      <c r="F19" s="1541">
        <f t="shared" ref="F19:S19" si="2">0.43*MIN(0.003259*33700+1.1805*F41,F41/$E$32)+0.57*MIN(0.001376*33700+1.3466*F43,F43/$E$32)</f>
        <v>294.46114285714287</v>
      </c>
      <c r="G19" s="1543">
        <f t="shared" si="2"/>
        <v>284.5542857142857</v>
      </c>
      <c r="H19" s="1543">
        <f t="shared" si="2"/>
        <v>294.75914285714282</v>
      </c>
      <c r="I19" s="1543">
        <f t="shared" si="2"/>
        <v>263.92014285714288</v>
      </c>
      <c r="J19" s="1545">
        <f t="shared" si="2"/>
        <v>226.62314285714282</v>
      </c>
      <c r="K19" s="1543">
        <f t="shared" si="2"/>
        <v>284.10300000000001</v>
      </c>
      <c r="L19" s="1543">
        <f t="shared" si="2"/>
        <v>252.30385714285711</v>
      </c>
      <c r="M19" s="1545">
        <f t="shared" si="2"/>
        <v>225.23528571428574</v>
      </c>
      <c r="N19" s="1543">
        <f t="shared" si="2"/>
        <v>266.29014285714288</v>
      </c>
      <c r="O19" s="1543">
        <f t="shared" si="2"/>
        <v>243.55685714285715</v>
      </c>
      <c r="P19" s="1545">
        <f t="shared" si="2"/>
        <v>222.36057142857143</v>
      </c>
      <c r="Q19" s="1543">
        <f t="shared" si="2"/>
        <v>255.02828571428569</v>
      </c>
      <c r="R19" s="1543">
        <f t="shared" si="2"/>
        <v>232.48414285714284</v>
      </c>
      <c r="S19" s="1563">
        <f t="shared" si="2"/>
        <v>174.84542857142856</v>
      </c>
    </row>
    <row r="20" spans="1:19" ht="13.5" customHeight="1" thickBot="1">
      <c r="B20" s="1534"/>
      <c r="C20" s="1562"/>
      <c r="D20" s="1563"/>
      <c r="E20" s="1562"/>
      <c r="F20" s="1541"/>
      <c r="G20" s="1543"/>
      <c r="H20" s="1543"/>
      <c r="I20" s="1543"/>
      <c r="J20" s="1545"/>
      <c r="K20" s="1543"/>
      <c r="L20" s="1543"/>
      <c r="M20" s="1545"/>
      <c r="N20" s="1543"/>
      <c r="O20" s="1543"/>
      <c r="P20" s="1545"/>
      <c r="Q20" s="1543"/>
      <c r="R20" s="1543"/>
      <c r="S20" s="1563"/>
    </row>
    <row r="21" spans="1:19" ht="12.75" customHeight="1">
      <c r="B21" s="1564" t="s">
        <v>766</v>
      </c>
      <c r="C21" s="1564" t="s">
        <v>815</v>
      </c>
      <c r="D21" s="1564"/>
      <c r="E21" s="1566" t="s">
        <v>816</v>
      </c>
      <c r="F21" s="1550">
        <f t="shared" ref="F21:S21" si="3">0.43*MIN(0.003259*33700+1.1805*F45,F45/$E$32)+0.57*MIN(0.001376*33700+1.3466*F47,F47/$E$32)</f>
        <v>297.46357142857141</v>
      </c>
      <c r="G21" s="1548">
        <f t="shared" si="3"/>
        <v>290.15000000000003</v>
      </c>
      <c r="H21" s="1548">
        <f t="shared" si="3"/>
        <v>299.89242857142858</v>
      </c>
      <c r="I21" s="1548">
        <f t="shared" si="3"/>
        <v>267.86728571428574</v>
      </c>
      <c r="J21" s="1568">
        <f t="shared" si="3"/>
        <v>230.49885714285713</v>
      </c>
      <c r="K21" s="1548">
        <f t="shared" si="3"/>
        <v>287.88257142857145</v>
      </c>
      <c r="L21" s="1548">
        <f t="shared" si="3"/>
        <v>256.30728571428574</v>
      </c>
      <c r="M21" s="1568">
        <f t="shared" si="3"/>
        <v>228.72000000000003</v>
      </c>
      <c r="N21" s="1548">
        <f t="shared" si="3"/>
        <v>269.94342857142863</v>
      </c>
      <c r="O21" s="1548">
        <f t="shared" si="3"/>
        <v>246.86257142857141</v>
      </c>
      <c r="P21" s="1568">
        <f t="shared" si="3"/>
        <v>225.25985714285719</v>
      </c>
      <c r="Q21" s="1548">
        <f t="shared" si="3"/>
        <v>258.49128571428571</v>
      </c>
      <c r="R21" s="1548">
        <f t="shared" si="3"/>
        <v>235.48085714285713</v>
      </c>
      <c r="S21" s="1549">
        <f t="shared" si="3"/>
        <v>176.7764285714286</v>
      </c>
    </row>
    <row r="22" spans="1:19" ht="13.5" customHeight="1" thickBot="1">
      <c r="B22" s="1565"/>
      <c r="C22" s="1565"/>
      <c r="D22" s="1565"/>
      <c r="E22" s="1567"/>
      <c r="F22" s="1550"/>
      <c r="G22" s="1548"/>
      <c r="H22" s="1548"/>
      <c r="I22" s="1548"/>
      <c r="J22" s="1568"/>
      <c r="K22" s="1548"/>
      <c r="L22" s="1548"/>
      <c r="M22" s="1568"/>
      <c r="N22" s="1548"/>
      <c r="O22" s="1548"/>
      <c r="P22" s="1568"/>
      <c r="Q22" s="1548"/>
      <c r="R22" s="1548"/>
      <c r="S22" s="1549"/>
    </row>
    <row r="23" spans="1:19" ht="12.75" customHeight="1">
      <c r="B23" s="1536" t="s">
        <v>767</v>
      </c>
      <c r="C23" s="1538" t="s">
        <v>815</v>
      </c>
      <c r="D23" s="1546"/>
      <c r="E23" s="1538" t="s">
        <v>816</v>
      </c>
      <c r="F23" s="1541">
        <f t="shared" ref="F23:S23" si="4">0.43*MIN(0.003259*33700+1.1805*F49,F49/$E$32)+0.57*MIN(0.001376*33700+1.3466*F51,F51/$E$32)</f>
        <v>311.19071428571431</v>
      </c>
      <c r="G23" s="1543">
        <f t="shared" si="4"/>
        <v>298.827</v>
      </c>
      <c r="H23" s="1543">
        <f t="shared" si="4"/>
        <v>309.41628571428566</v>
      </c>
      <c r="I23" s="1543">
        <f t="shared" si="4"/>
        <v>274.29157142857139</v>
      </c>
      <c r="J23" s="1545">
        <f t="shared" si="4"/>
        <v>234.34228571428571</v>
      </c>
      <c r="K23" s="1543">
        <f t="shared" si="4"/>
        <v>294.57057142857138</v>
      </c>
      <c r="L23" s="1543">
        <f t="shared" si="4"/>
        <v>259.91114285714286</v>
      </c>
      <c r="M23" s="1545">
        <f t="shared" si="4"/>
        <v>231.10928571428573</v>
      </c>
      <c r="N23" s="1543">
        <f t="shared" si="4"/>
        <v>287.92128571428572</v>
      </c>
      <c r="O23" s="1543">
        <f t="shared" si="4"/>
        <v>262.22828571428573</v>
      </c>
      <c r="P23" s="1545">
        <f t="shared" si="4"/>
        <v>239.06257142857143</v>
      </c>
      <c r="Q23" s="1543">
        <f t="shared" si="4"/>
        <v>274.20699999999999</v>
      </c>
      <c r="R23" s="1543">
        <f t="shared" si="4"/>
        <v>249.56042857142856</v>
      </c>
      <c r="S23" s="1563">
        <f t="shared" si="4"/>
        <v>188.08628571428571</v>
      </c>
    </row>
    <row r="24" spans="1:19" ht="13.5" customHeight="1" thickBot="1">
      <c r="B24" s="1534"/>
      <c r="C24" s="1562"/>
      <c r="D24" s="1563"/>
      <c r="E24" s="1562"/>
      <c r="F24" s="1541"/>
      <c r="G24" s="1543"/>
      <c r="H24" s="1543"/>
      <c r="I24" s="1543"/>
      <c r="J24" s="1545"/>
      <c r="K24" s="1543"/>
      <c r="L24" s="1543"/>
      <c r="M24" s="1545"/>
      <c r="N24" s="1543"/>
      <c r="O24" s="1543"/>
      <c r="P24" s="1545"/>
      <c r="Q24" s="1543"/>
      <c r="R24" s="1543"/>
      <c r="S24" s="1563"/>
    </row>
    <row r="25" spans="1:19" ht="12.75" customHeight="1">
      <c r="B25" s="1564" t="s">
        <v>768</v>
      </c>
      <c r="C25" s="1564" t="s">
        <v>815</v>
      </c>
      <c r="D25" s="1564"/>
      <c r="E25" s="1566" t="s">
        <v>816</v>
      </c>
      <c r="F25" s="1550">
        <f t="shared" ref="F25:S25" si="5">0.43*MIN(0.003259*33700+1.1805*F53,F53/$E$32)+0.57*MIN(0.001376*33700+1.3466*F55,F55/$E$32)</f>
        <v>315.13528571428571</v>
      </c>
      <c r="G25" s="1548">
        <f t="shared" si="5"/>
        <v>305.11614285714285</v>
      </c>
      <c r="H25" s="1548">
        <f t="shared" si="5"/>
        <v>315.75099999999998</v>
      </c>
      <c r="I25" s="1548">
        <f t="shared" si="5"/>
        <v>279.1768571428571</v>
      </c>
      <c r="J25" s="1568">
        <f t="shared" si="5"/>
        <v>238.50471428571427</v>
      </c>
      <c r="K25" s="1548">
        <f t="shared" si="5"/>
        <v>298.839</v>
      </c>
      <c r="L25" s="1548">
        <f t="shared" si="5"/>
        <v>264.57257142857145</v>
      </c>
      <c r="M25" s="1568">
        <f t="shared" si="5"/>
        <v>234.81514285714286</v>
      </c>
      <c r="N25" s="1548">
        <f t="shared" si="5"/>
        <v>290.87728571428573</v>
      </c>
      <c r="O25" s="1548">
        <f t="shared" si="5"/>
        <v>264.86528571428573</v>
      </c>
      <c r="P25" s="1568">
        <f t="shared" si="5"/>
        <v>240.85485714285716</v>
      </c>
      <c r="Q25" s="1548">
        <f t="shared" si="5"/>
        <v>276.94200000000001</v>
      </c>
      <c r="R25" s="1548">
        <f t="shared" si="5"/>
        <v>251.73957142857142</v>
      </c>
      <c r="S25" s="1549">
        <f t="shared" si="5"/>
        <v>189.83242857142858</v>
      </c>
    </row>
    <row r="26" spans="1:19" ht="13.5" customHeight="1" thickBot="1">
      <c r="B26" s="1565"/>
      <c r="C26" s="1565"/>
      <c r="D26" s="1565"/>
      <c r="E26" s="1567"/>
      <c r="F26" s="1571"/>
      <c r="G26" s="1570"/>
      <c r="H26" s="1570"/>
      <c r="I26" s="1570"/>
      <c r="J26" s="1569"/>
      <c r="K26" s="1570"/>
      <c r="L26" s="1570"/>
      <c r="M26" s="1569"/>
      <c r="N26" s="1570"/>
      <c r="O26" s="1570"/>
      <c r="P26" s="1569"/>
      <c r="Q26" s="1570"/>
      <c r="R26" s="1570"/>
      <c r="S26" s="1572"/>
    </row>
    <row r="27" spans="1:19" ht="14.4">
      <c r="B27" s="932"/>
      <c r="C27" s="932"/>
      <c r="D27" s="932"/>
      <c r="E27" s="932"/>
      <c r="F27" s="933"/>
      <c r="G27" s="933"/>
      <c r="H27" s="933"/>
      <c r="I27" s="933"/>
      <c r="J27" s="933"/>
      <c r="K27" s="933"/>
      <c r="L27" s="933"/>
      <c r="M27" s="933"/>
      <c r="N27" s="933"/>
      <c r="O27" s="933"/>
      <c r="P27" s="933"/>
      <c r="Q27" s="933"/>
      <c r="R27" s="933"/>
      <c r="S27" s="933"/>
    </row>
    <row r="28" spans="1:19" ht="14.4">
      <c r="B28" s="932"/>
      <c r="C28" s="932"/>
      <c r="D28" s="932"/>
      <c r="E28" s="932"/>
      <c r="F28" s="933"/>
      <c r="G28" s="933"/>
      <c r="H28" s="933"/>
      <c r="I28" s="933"/>
      <c r="J28" s="933"/>
      <c r="K28" s="933"/>
      <c r="L28" s="933"/>
      <c r="M28" s="933"/>
      <c r="N28" s="933"/>
      <c r="O28" s="933"/>
      <c r="P28" s="933"/>
      <c r="Q28" s="933"/>
      <c r="R28" s="933"/>
      <c r="S28" s="933"/>
    </row>
    <row r="29" spans="1:19" ht="15" thickBot="1">
      <c r="A29" s="747"/>
      <c r="C29" s="748"/>
      <c r="D29" s="749"/>
      <c r="E29" s="750"/>
      <c r="F29" s="750"/>
      <c r="G29" s="750"/>
      <c r="H29" s="750"/>
      <c r="I29" s="750"/>
      <c r="J29" s="750"/>
      <c r="K29" s="750"/>
      <c r="L29" s="750"/>
      <c r="M29" s="750"/>
      <c r="N29" s="750"/>
      <c r="O29" s="750"/>
      <c r="P29" s="750"/>
      <c r="Q29" s="750"/>
      <c r="R29" s="750"/>
      <c r="S29" s="750"/>
    </row>
    <row r="30" spans="1:19" ht="18.600000000000001" thickBot="1">
      <c r="A30" s="747"/>
      <c r="B30" s="751"/>
      <c r="C30" s="751"/>
      <c r="D30" s="752"/>
      <c r="E30" s="753"/>
      <c r="F30" s="1492" t="s">
        <v>971</v>
      </c>
      <c r="G30" s="1493"/>
      <c r="H30" s="1493"/>
      <c r="I30" s="1493"/>
      <c r="J30" s="1493"/>
      <c r="K30" s="1493"/>
      <c r="L30" s="1493"/>
      <c r="M30" s="1493"/>
      <c r="N30" s="1493"/>
      <c r="O30" s="1493"/>
      <c r="P30" s="1493"/>
      <c r="Q30" s="1493"/>
      <c r="R30" s="1493"/>
      <c r="S30" s="1493"/>
    </row>
    <row r="31" spans="1:19" ht="15" thickBot="1">
      <c r="A31" s="747"/>
      <c r="B31" s="754"/>
      <c r="C31" s="754"/>
      <c r="D31" s="1191" t="s">
        <v>807</v>
      </c>
      <c r="E31" s="1192">
        <v>0.43</v>
      </c>
      <c r="F31" s="691" t="s">
        <v>728</v>
      </c>
      <c r="G31" s="931">
        <v>2015</v>
      </c>
      <c r="H31" s="1500" t="s">
        <v>730</v>
      </c>
      <c r="I31" s="1501"/>
      <c r="J31" s="1502"/>
      <c r="K31" s="1500" t="s">
        <v>731</v>
      </c>
      <c r="L31" s="1501"/>
      <c r="M31" s="1502"/>
      <c r="N31" s="1500" t="s">
        <v>732</v>
      </c>
      <c r="O31" s="1501"/>
      <c r="P31" s="1502"/>
      <c r="Q31" s="1500" t="s">
        <v>733</v>
      </c>
      <c r="R31" s="1501"/>
      <c r="S31" s="1501"/>
    </row>
    <row r="32" spans="1:19" ht="15" thickBot="1">
      <c r="A32" s="747"/>
      <c r="B32" s="751"/>
      <c r="C32" s="751"/>
      <c r="D32" s="1193" t="s">
        <v>808</v>
      </c>
      <c r="E32" s="1192">
        <v>0.7</v>
      </c>
      <c r="F32" s="695" t="s">
        <v>96</v>
      </c>
      <c r="G32" s="697" t="s">
        <v>735</v>
      </c>
      <c r="H32" s="696" t="s">
        <v>734</v>
      </c>
      <c r="I32" s="697" t="s">
        <v>735</v>
      </c>
      <c r="J32" s="698" t="s">
        <v>736</v>
      </c>
      <c r="K32" s="696" t="s">
        <v>734</v>
      </c>
      <c r="L32" s="697" t="s">
        <v>735</v>
      </c>
      <c r="M32" s="698" t="s">
        <v>736</v>
      </c>
      <c r="N32" s="696" t="s">
        <v>734</v>
      </c>
      <c r="O32" s="697" t="s">
        <v>735</v>
      </c>
      <c r="P32" s="698" t="s">
        <v>736</v>
      </c>
      <c r="Q32" s="696" t="s">
        <v>734</v>
      </c>
      <c r="R32" s="697" t="s">
        <v>735</v>
      </c>
      <c r="S32" s="698" t="s">
        <v>736</v>
      </c>
    </row>
    <row r="33" spans="1:19" ht="15" thickBot="1">
      <c r="A33" s="747"/>
      <c r="B33" s="1533" t="s">
        <v>763</v>
      </c>
      <c r="C33" s="1536" t="s">
        <v>809</v>
      </c>
      <c r="D33" s="758" t="s">
        <v>810</v>
      </c>
      <c r="E33" s="759" t="s">
        <v>811</v>
      </c>
      <c r="F33" s="760">
        <v>185.94</v>
      </c>
      <c r="G33" s="762">
        <v>179.52</v>
      </c>
      <c r="H33" s="761">
        <v>182.53</v>
      </c>
      <c r="I33" s="762">
        <v>164.24</v>
      </c>
      <c r="J33" s="763">
        <v>143.12</v>
      </c>
      <c r="K33" s="761">
        <v>176.52</v>
      </c>
      <c r="L33" s="762">
        <v>157.19999999999999</v>
      </c>
      <c r="M33" s="763">
        <v>141.12</v>
      </c>
      <c r="N33" s="761">
        <v>169.43</v>
      </c>
      <c r="O33" s="762">
        <v>154.81</v>
      </c>
      <c r="P33" s="763">
        <v>139.24</v>
      </c>
      <c r="Q33" s="764">
        <v>162.63999999999999</v>
      </c>
      <c r="R33" s="762">
        <v>147.30000000000001</v>
      </c>
      <c r="S33" s="763">
        <v>118.04</v>
      </c>
    </row>
    <row r="34" spans="1:19" ht="15" thickBot="1">
      <c r="A34" s="747"/>
      <c r="B34" s="1534"/>
      <c r="C34" s="1537"/>
      <c r="D34" s="1212" t="s">
        <v>812</v>
      </c>
      <c r="E34" s="765" t="s">
        <v>813</v>
      </c>
      <c r="F34" s="1169">
        <v>111.76</v>
      </c>
      <c r="G34" s="767">
        <v>112.47</v>
      </c>
      <c r="H34" s="766">
        <v>117.02</v>
      </c>
      <c r="I34" s="767">
        <v>117.73</v>
      </c>
      <c r="J34" s="768">
        <v>116.42</v>
      </c>
      <c r="K34" s="766">
        <v>118.32</v>
      </c>
      <c r="L34" s="767">
        <v>119.13</v>
      </c>
      <c r="M34" s="768">
        <v>119.15</v>
      </c>
      <c r="N34" s="766">
        <v>112.94</v>
      </c>
      <c r="O34" s="767">
        <v>113.22</v>
      </c>
      <c r="P34" s="768">
        <v>118.4</v>
      </c>
      <c r="Q34" s="769">
        <v>113.12</v>
      </c>
      <c r="R34" s="767">
        <v>114.5</v>
      </c>
      <c r="S34" s="768">
        <v>105.45</v>
      </c>
    </row>
    <row r="35" spans="1:19" ht="15" thickBot="1">
      <c r="A35" s="747"/>
      <c r="B35" s="1534"/>
      <c r="C35" s="1536" t="s">
        <v>814</v>
      </c>
      <c r="D35" s="1212" t="s">
        <v>810</v>
      </c>
      <c r="E35" s="765" t="s">
        <v>811</v>
      </c>
      <c r="F35" s="1169">
        <v>203.42</v>
      </c>
      <c r="G35" s="767">
        <v>198.77</v>
      </c>
      <c r="H35" s="766">
        <v>208.05</v>
      </c>
      <c r="I35" s="767">
        <v>188.14</v>
      </c>
      <c r="J35" s="768">
        <v>162.16</v>
      </c>
      <c r="K35" s="766">
        <v>203.54</v>
      </c>
      <c r="L35" s="767">
        <v>182.32</v>
      </c>
      <c r="M35" s="768">
        <v>163.52000000000001</v>
      </c>
      <c r="N35" s="766">
        <v>187.05</v>
      </c>
      <c r="O35" s="767">
        <v>172.63</v>
      </c>
      <c r="P35" s="768">
        <v>160.04</v>
      </c>
      <c r="Q35" s="769">
        <v>180.38</v>
      </c>
      <c r="R35" s="767">
        <v>165.86</v>
      </c>
      <c r="S35" s="768">
        <v>120.33</v>
      </c>
    </row>
    <row r="36" spans="1:19" ht="15" thickBot="1">
      <c r="A36" s="747"/>
      <c r="B36" s="1535"/>
      <c r="C36" s="1537"/>
      <c r="D36" s="1212" t="s">
        <v>812</v>
      </c>
      <c r="E36" s="765" t="s">
        <v>813</v>
      </c>
      <c r="F36" s="1169">
        <v>102.16</v>
      </c>
      <c r="G36" s="771">
        <v>101.58</v>
      </c>
      <c r="H36" s="770">
        <v>102.66</v>
      </c>
      <c r="I36" s="771">
        <v>102.77</v>
      </c>
      <c r="J36" s="772">
        <v>102.76</v>
      </c>
      <c r="K36" s="770">
        <v>102.61</v>
      </c>
      <c r="L36" s="771">
        <v>102.72</v>
      </c>
      <c r="M36" s="772">
        <v>102.82</v>
      </c>
      <c r="N36" s="770">
        <v>102.3</v>
      </c>
      <c r="O36" s="771">
        <v>101.54</v>
      </c>
      <c r="P36" s="772">
        <v>103.02</v>
      </c>
      <c r="Q36" s="773">
        <v>101.99</v>
      </c>
      <c r="R36" s="771">
        <v>101.69</v>
      </c>
      <c r="S36" s="772">
        <v>103.44</v>
      </c>
    </row>
    <row r="37" spans="1:19" ht="15" thickBot="1">
      <c r="A37" s="774"/>
      <c r="B37" s="1551" t="s">
        <v>764</v>
      </c>
      <c r="C37" s="1554" t="s">
        <v>809</v>
      </c>
      <c r="D37" s="775" t="s">
        <v>810</v>
      </c>
      <c r="E37" s="776" t="s">
        <v>811</v>
      </c>
      <c r="F37" s="777">
        <v>190.31</v>
      </c>
      <c r="G37" s="1213">
        <v>185.82</v>
      </c>
      <c r="H37" s="778">
        <v>188.26</v>
      </c>
      <c r="I37" s="1213">
        <v>169.5</v>
      </c>
      <c r="J37" s="1214">
        <v>148.29</v>
      </c>
      <c r="K37" s="778">
        <v>181.63</v>
      </c>
      <c r="L37" s="1213">
        <v>162.38999999999999</v>
      </c>
      <c r="M37" s="1214">
        <v>145.9</v>
      </c>
      <c r="N37" s="778">
        <v>174.22</v>
      </c>
      <c r="O37" s="1213">
        <v>159.21</v>
      </c>
      <c r="P37" s="1214">
        <v>143.49</v>
      </c>
      <c r="Q37" s="1215">
        <v>167.16</v>
      </c>
      <c r="R37" s="1213">
        <v>151.32</v>
      </c>
      <c r="S37" s="1214">
        <v>121.5</v>
      </c>
    </row>
    <row r="38" spans="1:19" ht="15" thickBot="1">
      <c r="A38" s="774"/>
      <c r="B38" s="1552"/>
      <c r="C38" s="1555"/>
      <c r="D38" s="1216" t="s">
        <v>812</v>
      </c>
      <c r="E38" s="779" t="s">
        <v>813</v>
      </c>
      <c r="F38" s="1170">
        <v>108.2</v>
      </c>
      <c r="G38" s="781">
        <v>109.08</v>
      </c>
      <c r="H38" s="780">
        <v>112.6</v>
      </c>
      <c r="I38" s="781">
        <v>112.77</v>
      </c>
      <c r="J38" s="782">
        <v>111.33</v>
      </c>
      <c r="K38" s="780">
        <v>113.8</v>
      </c>
      <c r="L38" s="781">
        <v>115.29</v>
      </c>
      <c r="M38" s="782">
        <v>114.38</v>
      </c>
      <c r="N38" s="780">
        <v>109.64</v>
      </c>
      <c r="O38" s="781">
        <v>110.81</v>
      </c>
      <c r="P38" s="782">
        <v>113.64</v>
      </c>
      <c r="Q38" s="783">
        <v>110.44</v>
      </c>
      <c r="R38" s="781">
        <v>112.21</v>
      </c>
      <c r="S38" s="782">
        <v>102.84</v>
      </c>
    </row>
    <row r="39" spans="1:19" ht="15" thickBot="1">
      <c r="A39" s="774"/>
      <c r="B39" s="1552"/>
      <c r="C39" s="1554" t="s">
        <v>814</v>
      </c>
      <c r="D39" s="1216" t="s">
        <v>810</v>
      </c>
      <c r="E39" s="779" t="s">
        <v>811</v>
      </c>
      <c r="F39" s="1170">
        <v>203.1</v>
      </c>
      <c r="G39" s="781">
        <v>199.7</v>
      </c>
      <c r="H39" s="780">
        <v>209.09</v>
      </c>
      <c r="I39" s="781">
        <v>188.71</v>
      </c>
      <c r="J39" s="782">
        <v>162.52000000000001</v>
      </c>
      <c r="K39" s="780">
        <v>204.11</v>
      </c>
      <c r="L39" s="781">
        <v>183.11</v>
      </c>
      <c r="M39" s="782">
        <v>164.11</v>
      </c>
      <c r="N39" s="780">
        <v>187.56</v>
      </c>
      <c r="O39" s="781">
        <v>173.06</v>
      </c>
      <c r="P39" s="782">
        <v>160.49</v>
      </c>
      <c r="Q39" s="783">
        <v>180.86</v>
      </c>
      <c r="R39" s="781">
        <v>166.27</v>
      </c>
      <c r="S39" s="782">
        <v>120.15</v>
      </c>
    </row>
    <row r="40" spans="1:19" ht="15" thickBot="1">
      <c r="A40" s="774"/>
      <c r="B40" s="1553"/>
      <c r="C40" s="1555"/>
      <c r="D40" s="1216" t="s">
        <v>812</v>
      </c>
      <c r="E40" s="779" t="s">
        <v>813</v>
      </c>
      <c r="F40" s="1170">
        <v>101.39</v>
      </c>
      <c r="G40" s="785">
        <v>101.49</v>
      </c>
      <c r="H40" s="784">
        <v>101.38</v>
      </c>
      <c r="I40" s="785">
        <v>101.29</v>
      </c>
      <c r="J40" s="786">
        <v>101.59</v>
      </c>
      <c r="K40" s="784">
        <v>101.26</v>
      </c>
      <c r="L40" s="785">
        <v>102.25</v>
      </c>
      <c r="M40" s="786">
        <v>101.68</v>
      </c>
      <c r="N40" s="784">
        <v>101.84</v>
      </c>
      <c r="O40" s="785">
        <v>101.94</v>
      </c>
      <c r="P40" s="786">
        <v>101.6</v>
      </c>
      <c r="Q40" s="787">
        <v>102.07</v>
      </c>
      <c r="R40" s="785">
        <v>102.12</v>
      </c>
      <c r="S40" s="786">
        <v>104</v>
      </c>
    </row>
    <row r="41" spans="1:19" ht="15" thickBot="1">
      <c r="A41" s="747"/>
      <c r="B41" s="1533" t="s">
        <v>765</v>
      </c>
      <c r="C41" s="1536" t="s">
        <v>809</v>
      </c>
      <c r="D41" s="758" t="s">
        <v>810</v>
      </c>
      <c r="E41" s="759" t="s">
        <v>811</v>
      </c>
      <c r="F41" s="760">
        <v>198.12</v>
      </c>
      <c r="G41" s="762">
        <v>189.84</v>
      </c>
      <c r="H41" s="761">
        <v>193.21</v>
      </c>
      <c r="I41" s="762">
        <v>172.13</v>
      </c>
      <c r="J41" s="763">
        <v>148.57</v>
      </c>
      <c r="K41" s="761">
        <v>184.32</v>
      </c>
      <c r="L41" s="762">
        <v>162.87</v>
      </c>
      <c r="M41" s="763">
        <v>145.29</v>
      </c>
      <c r="N41" s="761">
        <v>173.39</v>
      </c>
      <c r="O41" s="762">
        <v>157.30000000000001</v>
      </c>
      <c r="P41" s="763">
        <v>140.65</v>
      </c>
      <c r="Q41" s="764">
        <v>165.33</v>
      </c>
      <c r="R41" s="762">
        <v>149.19</v>
      </c>
      <c r="S41" s="763">
        <v>118.55</v>
      </c>
    </row>
    <row r="42" spans="1:19" ht="15" thickBot="1">
      <c r="A42" s="747"/>
      <c r="B42" s="1534"/>
      <c r="C42" s="1537"/>
      <c r="D42" s="1212" t="s">
        <v>812</v>
      </c>
      <c r="E42" s="765" t="s">
        <v>813</v>
      </c>
      <c r="F42" s="1169">
        <v>216.36</v>
      </c>
      <c r="G42" s="767">
        <v>219.29</v>
      </c>
      <c r="H42" s="766">
        <v>224.76</v>
      </c>
      <c r="I42" s="767">
        <v>229.37</v>
      </c>
      <c r="J42" s="768">
        <v>225</v>
      </c>
      <c r="K42" s="766">
        <v>231.25</v>
      </c>
      <c r="L42" s="767">
        <v>234.87</v>
      </c>
      <c r="M42" s="768">
        <v>233.97</v>
      </c>
      <c r="N42" s="766">
        <v>224.52</v>
      </c>
      <c r="O42" s="767">
        <v>227.23</v>
      </c>
      <c r="P42" s="768">
        <v>236.66</v>
      </c>
      <c r="Q42" s="769">
        <v>226.15</v>
      </c>
      <c r="R42" s="767">
        <v>229.18</v>
      </c>
      <c r="S42" s="768">
        <v>212.42</v>
      </c>
    </row>
    <row r="43" spans="1:19" ht="15" thickBot="1">
      <c r="A43" s="747"/>
      <c r="B43" s="1534"/>
      <c r="C43" s="1536" t="s">
        <v>814</v>
      </c>
      <c r="D43" s="1212" t="s">
        <v>810</v>
      </c>
      <c r="E43" s="765" t="s">
        <v>811</v>
      </c>
      <c r="F43" s="1169">
        <v>212.16</v>
      </c>
      <c r="G43" s="767">
        <v>206.24</v>
      </c>
      <c r="H43" s="766">
        <v>216.23</v>
      </c>
      <c r="I43" s="767">
        <v>194.26</v>
      </c>
      <c r="J43" s="768">
        <v>166.23</v>
      </c>
      <c r="K43" s="766">
        <v>209.85</v>
      </c>
      <c r="L43" s="767">
        <v>186.98</v>
      </c>
      <c r="M43" s="768">
        <v>167</v>
      </c>
      <c r="N43" s="766">
        <v>196.22</v>
      </c>
      <c r="O43" s="767">
        <v>180.44</v>
      </c>
      <c r="P43" s="768">
        <v>166.97</v>
      </c>
      <c r="Q43" s="769">
        <v>188.47</v>
      </c>
      <c r="R43" s="767">
        <v>172.96</v>
      </c>
      <c r="S43" s="768">
        <v>125.29</v>
      </c>
    </row>
    <row r="44" spans="1:19" ht="15" thickBot="1">
      <c r="A44" s="747"/>
      <c r="B44" s="1535"/>
      <c r="C44" s="1537"/>
      <c r="D44" s="1212" t="s">
        <v>812</v>
      </c>
      <c r="E44" s="765" t="s">
        <v>813</v>
      </c>
      <c r="F44" s="1169">
        <v>202.03</v>
      </c>
      <c r="G44" s="771">
        <v>201.85</v>
      </c>
      <c r="H44" s="770">
        <v>200.84</v>
      </c>
      <c r="I44" s="771">
        <v>203.24</v>
      </c>
      <c r="J44" s="772">
        <v>201.1</v>
      </c>
      <c r="K44" s="770">
        <v>203.11</v>
      </c>
      <c r="L44" s="771">
        <v>204.58</v>
      </c>
      <c r="M44" s="772">
        <v>203.55</v>
      </c>
      <c r="N44" s="770">
        <v>198.4</v>
      </c>
      <c r="O44" s="771">
        <v>198.08</v>
      </c>
      <c r="P44" s="772">
        <v>199.36</v>
      </c>
      <c r="Q44" s="773">
        <v>198.38</v>
      </c>
      <c r="R44" s="771">
        <v>197.69</v>
      </c>
      <c r="S44" s="772">
        <v>200.99</v>
      </c>
    </row>
    <row r="45" spans="1:19" ht="15" thickBot="1">
      <c r="A45" s="774"/>
      <c r="B45" s="1551" t="s">
        <v>766</v>
      </c>
      <c r="C45" s="1554" t="s">
        <v>809</v>
      </c>
      <c r="D45" s="775" t="s">
        <v>810</v>
      </c>
      <c r="E45" s="776" t="s">
        <v>811</v>
      </c>
      <c r="F45" s="777">
        <v>203.18</v>
      </c>
      <c r="G45" s="1213">
        <v>197.12</v>
      </c>
      <c r="H45" s="778">
        <v>199.83</v>
      </c>
      <c r="I45" s="1213">
        <v>177.8</v>
      </c>
      <c r="J45" s="1214">
        <v>154.19</v>
      </c>
      <c r="K45" s="778">
        <v>189.81</v>
      </c>
      <c r="L45" s="1213">
        <v>168.34</v>
      </c>
      <c r="M45" s="1214">
        <v>150.30000000000001</v>
      </c>
      <c r="N45" s="778">
        <v>178.86</v>
      </c>
      <c r="O45" s="1213">
        <v>162.35</v>
      </c>
      <c r="P45" s="1214">
        <v>145.33000000000001</v>
      </c>
      <c r="Q45" s="1215">
        <v>170.53</v>
      </c>
      <c r="R45" s="1213">
        <v>153.79</v>
      </c>
      <c r="S45" s="1214">
        <v>122.29</v>
      </c>
    </row>
    <row r="46" spans="1:19" ht="15" thickBot="1">
      <c r="A46" s="774"/>
      <c r="B46" s="1552"/>
      <c r="C46" s="1555"/>
      <c r="D46" s="1216" t="s">
        <v>812</v>
      </c>
      <c r="E46" s="779" t="s">
        <v>813</v>
      </c>
      <c r="F46" s="1170">
        <v>210.93</v>
      </c>
      <c r="G46" s="781">
        <v>212.77</v>
      </c>
      <c r="H46" s="780">
        <v>218.72</v>
      </c>
      <c r="I46" s="781">
        <v>220.47</v>
      </c>
      <c r="J46" s="782">
        <v>218.31</v>
      </c>
      <c r="K46" s="780">
        <v>222.86</v>
      </c>
      <c r="L46" s="781">
        <v>227.29</v>
      </c>
      <c r="M46" s="782">
        <v>224.3</v>
      </c>
      <c r="N46" s="780">
        <v>218.99</v>
      </c>
      <c r="O46" s="781">
        <v>220.95</v>
      </c>
      <c r="P46" s="782">
        <v>227.61</v>
      </c>
      <c r="Q46" s="783">
        <v>220.43</v>
      </c>
      <c r="R46" s="781">
        <v>223.73</v>
      </c>
      <c r="S46" s="782">
        <v>204.59</v>
      </c>
    </row>
    <row r="47" spans="1:19" ht="15" thickBot="1">
      <c r="A47" s="774"/>
      <c r="B47" s="1552"/>
      <c r="C47" s="1554" t="s">
        <v>814</v>
      </c>
      <c r="D47" s="1216" t="s">
        <v>810</v>
      </c>
      <c r="E47" s="779" t="s">
        <v>811</v>
      </c>
      <c r="F47" s="1170">
        <v>212.03</v>
      </c>
      <c r="G47" s="781">
        <v>207.62</v>
      </c>
      <c r="H47" s="780">
        <v>217.54</v>
      </c>
      <c r="I47" s="781">
        <v>194.83</v>
      </c>
      <c r="J47" s="782">
        <v>166.75</v>
      </c>
      <c r="K47" s="780">
        <v>210.35</v>
      </c>
      <c r="L47" s="781">
        <v>187.77</v>
      </c>
      <c r="M47" s="782">
        <v>167.5</v>
      </c>
      <c r="N47" s="780">
        <v>196.58</v>
      </c>
      <c r="O47" s="781">
        <v>180.69</v>
      </c>
      <c r="P47" s="782">
        <v>167</v>
      </c>
      <c r="Q47" s="783">
        <v>188.8</v>
      </c>
      <c r="R47" s="781">
        <v>173.17</v>
      </c>
      <c r="S47" s="782">
        <v>124.84</v>
      </c>
    </row>
    <row r="48" spans="1:19" ht="15" thickBot="1">
      <c r="A48" s="774"/>
      <c r="B48" s="1553"/>
      <c r="C48" s="1555"/>
      <c r="D48" s="1216" t="s">
        <v>812</v>
      </c>
      <c r="E48" s="779" t="s">
        <v>813</v>
      </c>
      <c r="F48" s="1170">
        <v>202.12</v>
      </c>
      <c r="G48" s="789">
        <v>202.02</v>
      </c>
      <c r="H48" s="788">
        <v>200.9</v>
      </c>
      <c r="I48" s="789">
        <v>201.19</v>
      </c>
      <c r="J48" s="790">
        <v>201.86</v>
      </c>
      <c r="K48" s="788">
        <v>201.09</v>
      </c>
      <c r="L48" s="789">
        <v>203.76</v>
      </c>
      <c r="M48" s="790">
        <v>201.27</v>
      </c>
      <c r="N48" s="788">
        <v>199.24</v>
      </c>
      <c r="O48" s="789">
        <v>198.53</v>
      </c>
      <c r="P48" s="790">
        <v>198.08</v>
      </c>
      <c r="Q48" s="791">
        <v>199.1</v>
      </c>
      <c r="R48" s="789">
        <v>198.7</v>
      </c>
      <c r="S48" s="790">
        <v>200.41</v>
      </c>
    </row>
    <row r="49" spans="1:19" ht="15" thickBot="1">
      <c r="A49" s="747"/>
      <c r="B49" s="1533" t="s">
        <v>767</v>
      </c>
      <c r="C49" s="1536" t="s">
        <v>809</v>
      </c>
      <c r="D49" s="758" t="s">
        <v>810</v>
      </c>
      <c r="E49" s="759" t="s">
        <v>811</v>
      </c>
      <c r="F49" s="760">
        <v>210.11</v>
      </c>
      <c r="G49" s="762">
        <v>199.62</v>
      </c>
      <c r="H49" s="761">
        <v>203.47</v>
      </c>
      <c r="I49" s="762">
        <v>178.82</v>
      </c>
      <c r="J49" s="763">
        <v>153.05000000000001</v>
      </c>
      <c r="K49" s="761">
        <v>191.14</v>
      </c>
      <c r="L49" s="762">
        <v>167.38</v>
      </c>
      <c r="M49" s="763">
        <v>148.41</v>
      </c>
      <c r="N49" s="761">
        <v>197.23</v>
      </c>
      <c r="O49" s="762">
        <v>178.35</v>
      </c>
      <c r="P49" s="763">
        <v>160.31</v>
      </c>
      <c r="Q49" s="764">
        <v>187.06</v>
      </c>
      <c r="R49" s="762">
        <v>168.77</v>
      </c>
      <c r="S49" s="763">
        <v>131.82</v>
      </c>
    </row>
    <row r="50" spans="1:19" ht="15" thickBot="1">
      <c r="A50" s="747"/>
      <c r="B50" s="1534"/>
      <c r="C50" s="1537"/>
      <c r="D50" s="1212" t="s">
        <v>812</v>
      </c>
      <c r="E50" s="765" t="s">
        <v>813</v>
      </c>
      <c r="F50" s="1169">
        <v>320.02</v>
      </c>
      <c r="G50" s="767">
        <v>324.12</v>
      </c>
      <c r="H50" s="766">
        <v>331.52</v>
      </c>
      <c r="I50" s="767">
        <v>335</v>
      </c>
      <c r="J50" s="768">
        <v>334.82</v>
      </c>
      <c r="K50" s="766">
        <v>342.9</v>
      </c>
      <c r="L50" s="767">
        <v>347.38</v>
      </c>
      <c r="M50" s="768">
        <v>348.71</v>
      </c>
      <c r="N50" s="766">
        <v>302.67</v>
      </c>
      <c r="O50" s="767">
        <v>305.72000000000003</v>
      </c>
      <c r="P50" s="768">
        <v>315.49</v>
      </c>
      <c r="Q50" s="769">
        <v>304.89999999999998</v>
      </c>
      <c r="R50" s="767">
        <v>307.81</v>
      </c>
      <c r="S50" s="768">
        <v>289.87</v>
      </c>
    </row>
    <row r="51" spans="1:19" ht="15" thickBot="1">
      <c r="A51" s="747"/>
      <c r="B51" s="1534"/>
      <c r="C51" s="1536" t="s">
        <v>814</v>
      </c>
      <c r="D51" s="1212" t="s">
        <v>810</v>
      </c>
      <c r="E51" s="765" t="s">
        <v>811</v>
      </c>
      <c r="F51" s="1169">
        <v>223.66</v>
      </c>
      <c r="G51" s="767">
        <v>216.39</v>
      </c>
      <c r="H51" s="766">
        <v>226.49</v>
      </c>
      <c r="I51" s="767">
        <v>201.95</v>
      </c>
      <c r="J51" s="768">
        <v>172.33</v>
      </c>
      <c r="K51" s="766">
        <v>217.56</v>
      </c>
      <c r="L51" s="767">
        <v>192.92</v>
      </c>
      <c r="M51" s="768">
        <v>171.86</v>
      </c>
      <c r="N51" s="766">
        <v>204.8</v>
      </c>
      <c r="O51" s="767">
        <v>187.49</v>
      </c>
      <c r="P51" s="768">
        <v>172.65</v>
      </c>
      <c r="Q51" s="769">
        <v>195.63</v>
      </c>
      <c r="R51" s="767">
        <v>179.16</v>
      </c>
      <c r="S51" s="768">
        <v>131.54</v>
      </c>
    </row>
    <row r="52" spans="1:19" ht="15" thickBot="1">
      <c r="A52" s="747"/>
      <c r="B52" s="1535"/>
      <c r="C52" s="1537"/>
      <c r="D52" s="1212" t="s">
        <v>812</v>
      </c>
      <c r="E52" s="765" t="s">
        <v>813</v>
      </c>
      <c r="F52" s="1169">
        <v>300.64</v>
      </c>
      <c r="G52" s="771">
        <v>299.01</v>
      </c>
      <c r="H52" s="770">
        <v>297.82</v>
      </c>
      <c r="I52" s="771">
        <v>296.64</v>
      </c>
      <c r="J52" s="772">
        <v>297.36</v>
      </c>
      <c r="K52" s="770">
        <v>301.26</v>
      </c>
      <c r="L52" s="771">
        <v>301.39</v>
      </c>
      <c r="M52" s="772">
        <v>301.14</v>
      </c>
      <c r="N52" s="770">
        <v>291.49</v>
      </c>
      <c r="O52" s="771">
        <v>290.82</v>
      </c>
      <c r="P52" s="772">
        <v>292.94</v>
      </c>
      <c r="Q52" s="773">
        <v>291.55</v>
      </c>
      <c r="R52" s="771">
        <v>289.95</v>
      </c>
      <c r="S52" s="772">
        <v>290.47000000000003</v>
      </c>
    </row>
    <row r="53" spans="1:19" ht="15" thickBot="1">
      <c r="A53" s="774"/>
      <c r="B53" s="1551" t="s">
        <v>768</v>
      </c>
      <c r="C53" s="1554" t="s">
        <v>809</v>
      </c>
      <c r="D53" s="775" t="s">
        <v>810</v>
      </c>
      <c r="E53" s="776" t="s">
        <v>811</v>
      </c>
      <c r="F53" s="777">
        <v>216.2</v>
      </c>
      <c r="G53" s="1213">
        <v>207.83</v>
      </c>
      <c r="H53" s="778">
        <v>211.33</v>
      </c>
      <c r="I53" s="1213">
        <v>185.54</v>
      </c>
      <c r="J53" s="1214">
        <v>159.15</v>
      </c>
      <c r="K53" s="778">
        <v>197.28</v>
      </c>
      <c r="L53" s="1213">
        <v>173.55</v>
      </c>
      <c r="M53" s="1214">
        <v>153.78</v>
      </c>
      <c r="N53" s="778">
        <v>201.83</v>
      </c>
      <c r="O53" s="1213">
        <v>182.55</v>
      </c>
      <c r="P53" s="1214">
        <v>163.4</v>
      </c>
      <c r="Q53" s="1215">
        <v>191.34</v>
      </c>
      <c r="R53" s="1213">
        <v>172.45</v>
      </c>
      <c r="S53" s="1214">
        <v>135.66999999999999</v>
      </c>
    </row>
    <row r="54" spans="1:19" ht="15" thickBot="1">
      <c r="A54" s="774"/>
      <c r="B54" s="1552"/>
      <c r="C54" s="1555"/>
      <c r="D54" s="1216" t="s">
        <v>812</v>
      </c>
      <c r="E54" s="779" t="s">
        <v>813</v>
      </c>
      <c r="F54" s="1170">
        <v>310.52</v>
      </c>
      <c r="G54" s="781">
        <v>314.07</v>
      </c>
      <c r="H54" s="780">
        <v>322.54000000000002</v>
      </c>
      <c r="I54" s="781">
        <v>325.99</v>
      </c>
      <c r="J54" s="782">
        <v>325.2</v>
      </c>
      <c r="K54" s="780">
        <v>329.35</v>
      </c>
      <c r="L54" s="781">
        <v>340.68</v>
      </c>
      <c r="M54" s="782">
        <v>334.13</v>
      </c>
      <c r="N54" s="780">
        <v>298.12</v>
      </c>
      <c r="O54" s="781">
        <v>301.04000000000002</v>
      </c>
      <c r="P54" s="782">
        <v>307.38</v>
      </c>
      <c r="Q54" s="783">
        <v>300.38</v>
      </c>
      <c r="R54" s="781">
        <v>303.66000000000003</v>
      </c>
      <c r="S54" s="782">
        <v>284.99</v>
      </c>
    </row>
    <row r="55" spans="1:19" ht="15" thickBot="1">
      <c r="A55" s="774"/>
      <c r="B55" s="1552"/>
      <c r="C55" s="1554" t="s">
        <v>814</v>
      </c>
      <c r="D55" s="1216" t="s">
        <v>810</v>
      </c>
      <c r="E55" s="779" t="s">
        <v>811</v>
      </c>
      <c r="F55" s="1170">
        <v>223.91</v>
      </c>
      <c r="G55" s="781">
        <v>217.92</v>
      </c>
      <c r="H55" s="780">
        <v>228.34</v>
      </c>
      <c r="I55" s="781">
        <v>202.88</v>
      </c>
      <c r="J55" s="782">
        <v>172.84</v>
      </c>
      <c r="K55" s="780">
        <v>218.17</v>
      </c>
      <c r="L55" s="781">
        <v>193.99</v>
      </c>
      <c r="M55" s="782">
        <v>172.36</v>
      </c>
      <c r="N55" s="780">
        <v>204.96</v>
      </c>
      <c r="O55" s="781">
        <v>187.56</v>
      </c>
      <c r="P55" s="782">
        <v>172.52</v>
      </c>
      <c r="Q55" s="783">
        <v>195.76</v>
      </c>
      <c r="R55" s="781">
        <v>179.06</v>
      </c>
      <c r="S55" s="782">
        <v>130.78</v>
      </c>
    </row>
    <row r="56" spans="1:19" ht="15" thickBot="1">
      <c r="A56" s="774"/>
      <c r="B56" s="1553"/>
      <c r="C56" s="1555"/>
      <c r="D56" s="1216" t="s">
        <v>812</v>
      </c>
      <c r="E56" s="779" t="s">
        <v>813</v>
      </c>
      <c r="F56" s="1170">
        <v>299.83999999999997</v>
      </c>
      <c r="G56" s="789">
        <v>299.52</v>
      </c>
      <c r="H56" s="788">
        <v>298.52</v>
      </c>
      <c r="I56" s="789">
        <v>298.13</v>
      </c>
      <c r="J56" s="790">
        <v>299.45</v>
      </c>
      <c r="K56" s="788">
        <v>297.81</v>
      </c>
      <c r="L56" s="789">
        <v>304.79000000000002</v>
      </c>
      <c r="M56" s="790">
        <v>298.11</v>
      </c>
      <c r="N56" s="788">
        <v>293.56</v>
      </c>
      <c r="O56" s="789">
        <v>292.99</v>
      </c>
      <c r="P56" s="790">
        <v>291.12</v>
      </c>
      <c r="Q56" s="791">
        <v>293.61</v>
      </c>
      <c r="R56" s="789">
        <v>292.45</v>
      </c>
      <c r="S56" s="790">
        <v>295.66000000000003</v>
      </c>
    </row>
  </sheetData>
  <mergeCells count="126">
    <mergeCell ref="Q25:Q26"/>
    <mergeCell ref="R23:R24"/>
    <mergeCell ref="S23:S24"/>
    <mergeCell ref="I23:I24"/>
    <mergeCell ref="B25:B26"/>
    <mergeCell ref="C25:D26"/>
    <mergeCell ref="E25:E26"/>
    <mergeCell ref="F25:F26"/>
    <mergeCell ref="G25:G26"/>
    <mergeCell ref="H25:H26"/>
    <mergeCell ref="I25:I26"/>
    <mergeCell ref="J25:J26"/>
    <mergeCell ref="K25:K26"/>
    <mergeCell ref="J23:J24"/>
    <mergeCell ref="K23:K24"/>
    <mergeCell ref="L23:L24"/>
    <mergeCell ref="M23:M24"/>
    <mergeCell ref="N23:N24"/>
    <mergeCell ref="R25:R26"/>
    <mergeCell ref="S25:S26"/>
    <mergeCell ref="L25:L26"/>
    <mergeCell ref="M25:M26"/>
    <mergeCell ref="N25:N26"/>
    <mergeCell ref="O25:O26"/>
    <mergeCell ref="P25:P26"/>
    <mergeCell ref="F23:F24"/>
    <mergeCell ref="G23:G24"/>
    <mergeCell ref="H23:H24"/>
    <mergeCell ref="L21:L22"/>
    <mergeCell ref="M21:M22"/>
    <mergeCell ref="N21:N22"/>
    <mergeCell ref="O21:O22"/>
    <mergeCell ref="P21:P22"/>
    <mergeCell ref="F21:F22"/>
    <mergeCell ref="G21:G22"/>
    <mergeCell ref="H21:H22"/>
    <mergeCell ref="O23:O24"/>
    <mergeCell ref="P23:P24"/>
    <mergeCell ref="Q23:Q24"/>
    <mergeCell ref="R19:R20"/>
    <mergeCell ref="S19:S20"/>
    <mergeCell ref="I19:I20"/>
    <mergeCell ref="J19:J20"/>
    <mergeCell ref="K19:K20"/>
    <mergeCell ref="L19:L20"/>
    <mergeCell ref="M19:M20"/>
    <mergeCell ref="R21:R22"/>
    <mergeCell ref="S21:S22"/>
    <mergeCell ref="I21:I22"/>
    <mergeCell ref="J21:J22"/>
    <mergeCell ref="K21:K22"/>
    <mergeCell ref="O19:O20"/>
    <mergeCell ref="P19:P20"/>
    <mergeCell ref="Q19:Q20"/>
    <mergeCell ref="O15:O16"/>
    <mergeCell ref="P15:P16"/>
    <mergeCell ref="Q15:Q16"/>
    <mergeCell ref="R15:R16"/>
    <mergeCell ref="S15:S16"/>
    <mergeCell ref="I15:I16"/>
    <mergeCell ref="J15:J16"/>
    <mergeCell ref="Q17:Q18"/>
    <mergeCell ref="B49:B52"/>
    <mergeCell ref="C49:C50"/>
    <mergeCell ref="C51:C52"/>
    <mergeCell ref="F19:F20"/>
    <mergeCell ref="G19:G20"/>
    <mergeCell ref="H19:H20"/>
    <mergeCell ref="L17:L18"/>
    <mergeCell ref="M17:M18"/>
    <mergeCell ref="N17:N18"/>
    <mergeCell ref="N19:N20"/>
    <mergeCell ref="O17:O18"/>
    <mergeCell ref="P17:P18"/>
    <mergeCell ref="I17:I18"/>
    <mergeCell ref="J17:J18"/>
    <mergeCell ref="K17:K18"/>
    <mergeCell ref="Q21:Q22"/>
    <mergeCell ref="B53:B56"/>
    <mergeCell ref="C53:C54"/>
    <mergeCell ref="C55:C56"/>
    <mergeCell ref="B17:B18"/>
    <mergeCell ref="C17:D18"/>
    <mergeCell ref="E17:E18"/>
    <mergeCell ref="B19:B20"/>
    <mergeCell ref="C19:D20"/>
    <mergeCell ref="E19:E20"/>
    <mergeCell ref="B21:B22"/>
    <mergeCell ref="C21:D22"/>
    <mergeCell ref="E21:E22"/>
    <mergeCell ref="B23:B24"/>
    <mergeCell ref="C23:D24"/>
    <mergeCell ref="E23:E24"/>
    <mergeCell ref="B45:B48"/>
    <mergeCell ref="C45:C46"/>
    <mergeCell ref="C47:C48"/>
    <mergeCell ref="B33:B36"/>
    <mergeCell ref="C33:C34"/>
    <mergeCell ref="C35:C36"/>
    <mergeCell ref="B37:B40"/>
    <mergeCell ref="C37:C38"/>
    <mergeCell ref="C39:C40"/>
    <mergeCell ref="F12:S12"/>
    <mergeCell ref="F30:S30"/>
    <mergeCell ref="H31:J31"/>
    <mergeCell ref="K31:M31"/>
    <mergeCell ref="N31:P31"/>
    <mergeCell ref="Q31:S31"/>
    <mergeCell ref="B41:B44"/>
    <mergeCell ref="C41:C42"/>
    <mergeCell ref="C43:C44"/>
    <mergeCell ref="E15:E16"/>
    <mergeCell ref="F15:F16"/>
    <mergeCell ref="G15:G16"/>
    <mergeCell ref="H15:H16"/>
    <mergeCell ref="K15:K16"/>
    <mergeCell ref="L15:L16"/>
    <mergeCell ref="M15:M16"/>
    <mergeCell ref="N15:N16"/>
    <mergeCell ref="B15:B16"/>
    <mergeCell ref="C15:D16"/>
    <mergeCell ref="R17:R18"/>
    <mergeCell ref="S17:S18"/>
    <mergeCell ref="F17:F18"/>
    <mergeCell ref="G17:G18"/>
    <mergeCell ref="H17:H18"/>
  </mergeCells>
  <pageMargins left="0.7" right="0.7" top="0.75" bottom="0.75" header="0.3" footer="0.3"/>
  <pageSetup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3:CF123"/>
  <sheetViews>
    <sheetView topLeftCell="A31" workbookViewId="0">
      <selection activeCell="I99" sqref="I99"/>
    </sheetView>
  </sheetViews>
  <sheetFormatPr defaultRowHeight="13.2"/>
  <cols>
    <col min="1" max="1" width="13.109375" bestFit="1" customWidth="1"/>
  </cols>
  <sheetData>
    <row r="3" spans="1:84">
      <c r="A3" s="570" t="s">
        <v>858</v>
      </c>
    </row>
    <row r="6" spans="1:84">
      <c r="A6" t="s">
        <v>859</v>
      </c>
    </row>
    <row r="7" spans="1:84">
      <c r="A7" t="s">
        <v>860</v>
      </c>
    </row>
    <row r="10" spans="1:84" ht="17.399999999999999">
      <c r="A10" s="873" t="s">
        <v>838</v>
      </c>
      <c r="B10" s="874"/>
      <c r="C10" s="874"/>
      <c r="D10" s="874"/>
      <c r="E10" s="874"/>
      <c r="F10" s="874"/>
      <c r="G10" s="874"/>
      <c r="H10" s="874"/>
      <c r="I10" s="874"/>
      <c r="J10" s="874"/>
      <c r="K10" s="874"/>
      <c r="L10" s="875"/>
      <c r="M10" s="875"/>
      <c r="N10" s="875"/>
      <c r="O10" s="875"/>
      <c r="P10" s="875"/>
      <c r="Q10" s="875"/>
      <c r="R10" s="875"/>
      <c r="S10" s="875"/>
      <c r="T10" s="875"/>
      <c r="U10" s="875"/>
      <c r="V10" s="875"/>
      <c r="W10" s="875"/>
      <c r="X10" s="875"/>
      <c r="Y10" s="875"/>
      <c r="Z10" s="875"/>
      <c r="AA10" s="875"/>
      <c r="AB10" s="875"/>
      <c r="AC10" s="875"/>
      <c r="AD10" s="875"/>
      <c r="AE10" s="875"/>
      <c r="AF10" s="875"/>
      <c r="AG10" s="875"/>
      <c r="AH10" s="875"/>
      <c r="AI10" s="875"/>
      <c r="AJ10" s="875"/>
      <c r="AK10" s="875"/>
      <c r="AL10" s="875"/>
      <c r="AM10" s="875"/>
      <c r="AN10" s="875"/>
      <c r="AO10" s="875"/>
      <c r="AP10" s="875"/>
      <c r="AQ10" s="875"/>
      <c r="AR10" s="875"/>
      <c r="AS10" s="875"/>
      <c r="AT10" s="875"/>
      <c r="AU10" s="875"/>
      <c r="AV10" s="875"/>
      <c r="AW10" s="875"/>
      <c r="AX10" s="875"/>
      <c r="AY10" s="875"/>
      <c r="AZ10" s="875"/>
      <c r="BA10" s="875"/>
      <c r="BB10" s="875"/>
      <c r="BC10" s="875"/>
      <c r="BD10" s="875"/>
      <c r="BE10" s="875"/>
      <c r="BF10" s="875"/>
      <c r="BG10" s="875"/>
      <c r="BH10" s="875"/>
      <c r="BI10" s="875"/>
      <c r="BJ10" s="875"/>
      <c r="BK10" s="875"/>
      <c r="BL10" s="875"/>
      <c r="BM10" s="875"/>
      <c r="BN10" s="875"/>
      <c r="BO10" s="875"/>
      <c r="BP10" s="875"/>
      <c r="BQ10" s="875"/>
      <c r="BR10" s="875"/>
      <c r="BS10" s="875"/>
      <c r="BT10" s="875"/>
      <c r="BU10" s="875"/>
      <c r="BV10" s="875"/>
      <c r="BW10" s="875"/>
      <c r="BX10" s="875"/>
      <c r="BY10" s="875"/>
      <c r="BZ10" s="875"/>
      <c r="CA10" s="875"/>
      <c r="CB10" s="875"/>
      <c r="CC10" s="875"/>
      <c r="CD10" s="875"/>
      <c r="CE10" s="875"/>
      <c r="CF10" s="875"/>
    </row>
    <row r="11" spans="1:84">
      <c r="A11" s="876"/>
      <c r="B11" s="876"/>
      <c r="C11" s="876"/>
      <c r="D11" s="876"/>
      <c r="E11" s="876"/>
      <c r="F11" s="876"/>
      <c r="G11" s="876"/>
      <c r="H11" s="876"/>
      <c r="I11" s="876"/>
      <c r="J11" s="876"/>
      <c r="K11" s="876"/>
      <c r="L11" s="876"/>
      <c r="M11" s="876"/>
      <c r="N11" s="876"/>
      <c r="O11" s="876"/>
      <c r="P11" s="876"/>
      <c r="Q11" s="876"/>
      <c r="R11" s="876"/>
      <c r="S11" s="876"/>
      <c r="T11" s="876"/>
      <c r="U11" s="876"/>
      <c r="V11" s="876"/>
      <c r="W11" s="876"/>
      <c r="X11" s="876"/>
      <c r="Y11" s="876"/>
      <c r="Z11" s="876"/>
      <c r="AA11" s="876"/>
      <c r="AB11" s="876"/>
      <c r="AC11" s="876"/>
      <c r="AD11" s="876"/>
      <c r="AE11" s="876"/>
      <c r="AF11" s="876"/>
      <c r="AG11" s="876"/>
      <c r="AH11" s="876"/>
      <c r="AI11" s="876"/>
      <c r="AJ11" s="876"/>
      <c r="AK11" s="876"/>
      <c r="AL11" s="876"/>
      <c r="AM11" s="876"/>
      <c r="AN11" s="876"/>
      <c r="AO11" s="876"/>
      <c r="AP11" s="876"/>
      <c r="AQ11" s="876"/>
      <c r="AR11" s="876"/>
      <c r="AS11" s="876"/>
      <c r="AT11" s="876"/>
      <c r="AU11" s="876"/>
      <c r="AV11" s="876"/>
      <c r="AW11" s="876"/>
      <c r="AX11" s="876"/>
      <c r="AY11" s="876"/>
      <c r="AZ11" s="876"/>
      <c r="BA11" s="876"/>
      <c r="BB11" s="876"/>
      <c r="BC11" s="876"/>
      <c r="BD11" s="876"/>
      <c r="BE11" s="876"/>
      <c r="BF11" s="876"/>
      <c r="BG11" s="876"/>
      <c r="BH11" s="876"/>
      <c r="BI11" s="876"/>
      <c r="BJ11" s="876"/>
      <c r="BK11" s="876"/>
      <c r="BL11" s="876"/>
      <c r="BM11" s="876"/>
      <c r="BN11" s="876"/>
      <c r="BO11" s="876"/>
      <c r="BP11" s="876"/>
      <c r="BQ11" s="876"/>
      <c r="BR11" s="876"/>
      <c r="BS11" s="876"/>
      <c r="BT11" s="876"/>
      <c r="BU11" s="876"/>
      <c r="BV11" s="876"/>
      <c r="BW11" s="876"/>
      <c r="BX11" s="876"/>
      <c r="BY11" s="876"/>
      <c r="BZ11" s="876"/>
      <c r="CA11" s="876"/>
      <c r="CB11" s="876"/>
      <c r="CC11" s="876"/>
      <c r="CD11" s="876"/>
      <c r="CE11" s="876"/>
      <c r="CF11" s="876"/>
    </row>
    <row r="12" spans="1:84">
      <c r="A12" s="876"/>
      <c r="B12" s="1573" t="s">
        <v>839</v>
      </c>
      <c r="C12" s="1574"/>
      <c r="D12" s="1574"/>
      <c r="E12" s="1574"/>
      <c r="F12" s="1574"/>
      <c r="G12" s="1574"/>
      <c r="H12" s="1574"/>
      <c r="I12" s="1574"/>
      <c r="J12" s="1574"/>
      <c r="K12" s="876"/>
      <c r="L12" s="876"/>
      <c r="M12" s="876"/>
      <c r="N12" s="876"/>
      <c r="O12" s="876"/>
      <c r="P12" s="876"/>
      <c r="Q12" s="876"/>
      <c r="R12" s="876"/>
      <c r="S12" s="876"/>
      <c r="T12" s="876"/>
      <c r="U12" s="876"/>
      <c r="V12" s="876"/>
      <c r="W12" s="876"/>
      <c r="X12" s="876"/>
      <c r="Y12" s="876"/>
      <c r="Z12" s="876"/>
      <c r="AA12" s="876"/>
      <c r="AB12" s="876"/>
      <c r="AC12" s="876"/>
      <c r="AD12" s="876"/>
      <c r="AE12" s="876"/>
      <c r="AF12" s="876"/>
      <c r="AG12" s="876"/>
      <c r="AH12" s="876"/>
      <c r="AI12" s="876"/>
      <c r="AJ12" s="876"/>
      <c r="AK12" s="876"/>
      <c r="AL12" s="876"/>
      <c r="AM12" s="876"/>
      <c r="AN12" s="876"/>
      <c r="AO12" s="876"/>
      <c r="AP12" s="876"/>
      <c r="AQ12" s="876"/>
      <c r="AR12" s="876"/>
      <c r="AS12" s="876"/>
      <c r="AT12" s="876"/>
      <c r="AU12" s="876"/>
      <c r="AV12" s="876"/>
      <c r="AW12" s="876"/>
      <c r="AX12" s="876"/>
      <c r="AY12" s="876"/>
      <c r="AZ12" s="876"/>
      <c r="BA12" s="876"/>
      <c r="BB12" s="876"/>
      <c r="BC12" s="876"/>
      <c r="BD12" s="876"/>
      <c r="BE12" s="876"/>
      <c r="BF12" s="876"/>
      <c r="BG12" s="876"/>
      <c r="BH12" s="876"/>
      <c r="BI12" s="876"/>
      <c r="BJ12" s="876"/>
      <c r="BK12" s="876"/>
      <c r="BL12" s="876"/>
      <c r="BM12" s="876"/>
      <c r="BN12" s="876"/>
      <c r="BO12" s="876"/>
      <c r="BP12" s="876"/>
      <c r="BQ12" s="876"/>
      <c r="BR12" s="876"/>
      <c r="BS12" s="876"/>
      <c r="BT12" s="876"/>
      <c r="BU12" s="876"/>
      <c r="BV12" s="876"/>
      <c r="BW12" s="876"/>
      <c r="BX12" s="876"/>
      <c r="BY12" s="876"/>
      <c r="BZ12" s="876"/>
      <c r="CA12" s="876"/>
      <c r="CB12" s="876"/>
      <c r="CC12" s="876"/>
      <c r="CD12" s="876"/>
      <c r="CE12" s="876"/>
      <c r="CF12" s="876"/>
    </row>
    <row r="13" spans="1:84">
      <c r="A13" s="876"/>
      <c r="B13" s="1574"/>
      <c r="C13" s="1574"/>
      <c r="D13" s="1574"/>
      <c r="E13" s="1574"/>
      <c r="F13" s="1574"/>
      <c r="G13" s="1574"/>
      <c r="H13" s="1574"/>
      <c r="I13" s="1574"/>
      <c r="J13" s="1574"/>
      <c r="K13" s="876"/>
      <c r="L13" s="876"/>
      <c r="M13" s="876"/>
      <c r="N13" s="876"/>
      <c r="O13" s="876"/>
      <c r="P13" s="876"/>
      <c r="Q13" s="876"/>
      <c r="R13" s="876"/>
      <c r="S13" s="876"/>
      <c r="T13" s="876"/>
      <c r="U13" s="876"/>
      <c r="V13" s="876"/>
      <c r="W13" s="876"/>
      <c r="X13" s="876"/>
      <c r="Y13" s="876"/>
      <c r="Z13" s="876"/>
      <c r="AA13" s="876"/>
      <c r="AB13" s="876"/>
      <c r="AC13" s="876"/>
      <c r="AD13" s="876"/>
      <c r="AE13" s="876"/>
      <c r="AF13" s="876"/>
      <c r="AG13" s="876"/>
      <c r="AH13" s="876"/>
      <c r="AI13" s="876"/>
      <c r="AJ13" s="876"/>
      <c r="AK13" s="876"/>
      <c r="AL13" s="876"/>
      <c r="AM13" s="876"/>
      <c r="AN13" s="876"/>
      <c r="AO13" s="876"/>
      <c r="AP13" s="876"/>
      <c r="AQ13" s="876"/>
      <c r="AR13" s="876"/>
      <c r="AS13" s="876"/>
      <c r="AT13" s="876"/>
      <c r="AU13" s="876"/>
      <c r="AV13" s="876"/>
      <c r="AW13" s="876"/>
      <c r="AX13" s="876"/>
      <c r="AY13" s="876"/>
      <c r="AZ13" s="876"/>
      <c r="BA13" s="876"/>
      <c r="BB13" s="876"/>
      <c r="BC13" s="876"/>
      <c r="BD13" s="876"/>
      <c r="BE13" s="876"/>
      <c r="BF13" s="876"/>
      <c r="BG13" s="876"/>
      <c r="BH13" s="876"/>
      <c r="BI13" s="876"/>
      <c r="BJ13" s="876"/>
      <c r="BK13" s="876"/>
      <c r="BL13" s="876"/>
      <c r="BM13" s="876"/>
      <c r="BN13" s="876"/>
      <c r="BO13" s="876"/>
      <c r="BP13" s="876"/>
      <c r="BQ13" s="876"/>
      <c r="BR13" s="876"/>
      <c r="BS13" s="876"/>
      <c r="BT13" s="876"/>
      <c r="BU13" s="876"/>
      <c r="BV13" s="876"/>
      <c r="BW13" s="876"/>
      <c r="BX13" s="876"/>
      <c r="BY13" s="876"/>
      <c r="BZ13" s="876"/>
      <c r="CA13" s="876"/>
      <c r="CB13" s="876"/>
      <c r="CC13" s="876"/>
      <c r="CD13" s="876"/>
      <c r="CE13" s="876"/>
      <c r="CF13" s="876"/>
    </row>
    <row r="14" spans="1:84">
      <c r="A14" s="876"/>
      <c r="B14" s="1574"/>
      <c r="C14" s="1574"/>
      <c r="D14" s="1574"/>
      <c r="E14" s="1574"/>
      <c r="F14" s="1574"/>
      <c r="G14" s="1574"/>
      <c r="H14" s="1574"/>
      <c r="I14" s="1574"/>
      <c r="J14" s="1574"/>
      <c r="K14" s="876"/>
      <c r="L14" s="876"/>
      <c r="M14" s="876"/>
      <c r="N14" s="876"/>
      <c r="O14" s="876"/>
      <c r="P14" s="876"/>
      <c r="Q14" s="876"/>
      <c r="R14" s="876"/>
      <c r="S14" s="876"/>
      <c r="T14" s="876"/>
      <c r="U14" s="876"/>
      <c r="V14" s="876"/>
      <c r="W14" s="876"/>
      <c r="X14" s="876"/>
      <c r="Y14" s="876"/>
      <c r="Z14" s="876"/>
      <c r="AA14" s="876"/>
      <c r="AB14" s="876"/>
      <c r="AC14" s="876"/>
      <c r="AD14" s="876"/>
      <c r="AE14" s="876"/>
      <c r="AF14" s="876"/>
      <c r="AG14" s="876"/>
      <c r="AH14" s="876"/>
      <c r="AI14" s="876"/>
      <c r="AJ14" s="876"/>
      <c r="AK14" s="876"/>
      <c r="AL14" s="876"/>
      <c r="AM14" s="876"/>
      <c r="AN14" s="876"/>
      <c r="AO14" s="876"/>
      <c r="AP14" s="876"/>
      <c r="AQ14" s="876"/>
      <c r="AR14" s="876"/>
      <c r="AS14" s="876"/>
      <c r="AT14" s="876"/>
      <c r="AU14" s="876"/>
      <c r="AV14" s="876"/>
      <c r="AW14" s="876"/>
      <c r="AX14" s="876"/>
      <c r="AY14" s="876"/>
      <c r="AZ14" s="876"/>
      <c r="BA14" s="876"/>
      <c r="BB14" s="876"/>
      <c r="BC14" s="876"/>
      <c r="BD14" s="876"/>
      <c r="BE14" s="876"/>
      <c r="BF14" s="876"/>
      <c r="BG14" s="876"/>
      <c r="BH14" s="876"/>
      <c r="BI14" s="876"/>
      <c r="BJ14" s="876"/>
      <c r="BK14" s="876"/>
      <c r="BL14" s="876"/>
      <c r="BM14" s="876"/>
      <c r="BN14" s="876"/>
      <c r="BO14" s="876"/>
      <c r="BP14" s="876"/>
      <c r="BQ14" s="876"/>
      <c r="BR14" s="876"/>
      <c r="BS14" s="876"/>
      <c r="BT14" s="876"/>
      <c r="BU14" s="876"/>
      <c r="BV14" s="876"/>
      <c r="BW14" s="876"/>
      <c r="BX14" s="876"/>
      <c r="BY14" s="876"/>
      <c r="BZ14" s="876"/>
      <c r="CA14" s="876"/>
      <c r="CB14" s="876"/>
      <c r="CC14" s="876"/>
      <c r="CD14" s="876"/>
      <c r="CE14" s="876"/>
      <c r="CF14" s="876"/>
    </row>
    <row r="15" spans="1:84">
      <c r="A15" s="876"/>
      <c r="B15" s="1574"/>
      <c r="C15" s="1574"/>
      <c r="D15" s="1574"/>
      <c r="E15" s="1574"/>
      <c r="F15" s="1574"/>
      <c r="G15" s="1574"/>
      <c r="H15" s="1574"/>
      <c r="I15" s="1574"/>
      <c r="J15" s="1574"/>
      <c r="K15" s="876"/>
      <c r="L15" s="876"/>
      <c r="M15" s="876"/>
      <c r="N15" s="876"/>
      <c r="O15" s="876"/>
      <c r="P15" s="876"/>
      <c r="Q15" s="876"/>
      <c r="R15" s="876"/>
      <c r="S15" s="876"/>
      <c r="T15" s="876"/>
      <c r="U15" s="876"/>
      <c r="V15" s="876"/>
      <c r="W15" s="876"/>
      <c r="X15" s="876"/>
      <c r="Y15" s="876"/>
      <c r="Z15" s="876"/>
      <c r="AA15" s="876"/>
      <c r="AB15" s="876"/>
      <c r="AC15" s="876"/>
      <c r="AD15" s="876"/>
      <c r="AE15" s="876"/>
      <c r="AF15" s="876"/>
      <c r="AG15" s="876"/>
      <c r="AH15" s="876"/>
      <c r="AI15" s="876"/>
      <c r="AJ15" s="876"/>
      <c r="AK15" s="876"/>
      <c r="AL15" s="876"/>
      <c r="AM15" s="876"/>
      <c r="AN15" s="876"/>
      <c r="AO15" s="876"/>
      <c r="AP15" s="876"/>
      <c r="AQ15" s="876"/>
      <c r="AR15" s="876"/>
      <c r="AS15" s="876"/>
      <c r="AT15" s="876"/>
      <c r="AU15" s="876"/>
      <c r="AV15" s="876"/>
      <c r="AW15" s="876"/>
      <c r="AX15" s="876"/>
      <c r="AY15" s="876"/>
      <c r="AZ15" s="876"/>
      <c r="BA15" s="876"/>
      <c r="BB15" s="876"/>
      <c r="BC15" s="876"/>
      <c r="BD15" s="876"/>
      <c r="BE15" s="876"/>
      <c r="BF15" s="876"/>
      <c r="BG15" s="876"/>
      <c r="BH15" s="876"/>
      <c r="BI15" s="876"/>
      <c r="BJ15" s="876"/>
      <c r="BK15" s="876"/>
      <c r="BL15" s="876"/>
      <c r="BM15" s="876"/>
      <c r="BN15" s="876"/>
      <c r="BO15" s="876"/>
      <c r="BP15" s="876"/>
      <c r="BQ15" s="876"/>
      <c r="BR15" s="876"/>
      <c r="BS15" s="876"/>
      <c r="BT15" s="876"/>
      <c r="BU15" s="876"/>
      <c r="BV15" s="876"/>
      <c r="BW15" s="876"/>
      <c r="BX15" s="876"/>
      <c r="BY15" s="876"/>
      <c r="BZ15" s="876"/>
      <c r="CA15" s="876"/>
      <c r="CB15" s="876"/>
      <c r="CC15" s="876"/>
      <c r="CD15" s="876"/>
      <c r="CE15" s="876"/>
      <c r="CF15" s="876"/>
    </row>
    <row r="16" spans="1:84">
      <c r="A16" s="876"/>
      <c r="B16" s="1574"/>
      <c r="C16" s="1574"/>
      <c r="D16" s="1574"/>
      <c r="E16" s="1574"/>
      <c r="F16" s="1574"/>
      <c r="G16" s="1574"/>
      <c r="H16" s="1574"/>
      <c r="I16" s="1574"/>
      <c r="J16" s="1574"/>
      <c r="K16" s="876"/>
      <c r="L16" s="876"/>
      <c r="M16" s="876"/>
      <c r="N16" s="876"/>
      <c r="O16" s="876"/>
      <c r="P16" s="876"/>
      <c r="Q16" s="876"/>
      <c r="R16" s="876"/>
      <c r="S16" s="876"/>
      <c r="T16" s="876"/>
      <c r="U16" s="876"/>
      <c r="V16" s="876"/>
      <c r="W16" s="876"/>
      <c r="X16" s="876"/>
      <c r="Y16" s="876"/>
      <c r="Z16" s="876"/>
      <c r="AA16" s="876"/>
      <c r="AB16" s="876"/>
      <c r="AC16" s="876"/>
      <c r="AD16" s="876"/>
      <c r="AE16" s="876"/>
      <c r="AF16" s="876"/>
      <c r="AG16" s="876"/>
      <c r="AH16" s="876"/>
      <c r="AI16" s="876"/>
      <c r="AJ16" s="876"/>
      <c r="AK16" s="876"/>
      <c r="AL16" s="876"/>
      <c r="AM16" s="876"/>
      <c r="AN16" s="876"/>
      <c r="AO16" s="876"/>
      <c r="AP16" s="876"/>
      <c r="AQ16" s="876"/>
      <c r="AR16" s="876"/>
      <c r="AS16" s="876"/>
      <c r="AT16" s="876"/>
      <c r="AU16" s="876"/>
      <c r="AV16" s="876"/>
      <c r="AW16" s="876"/>
      <c r="AX16" s="876"/>
      <c r="AY16" s="876"/>
      <c r="AZ16" s="876"/>
      <c r="BA16" s="876"/>
      <c r="BB16" s="876"/>
      <c r="BC16" s="876"/>
      <c r="BD16" s="876"/>
      <c r="BE16" s="876"/>
      <c r="BF16" s="876"/>
      <c r="BG16" s="876"/>
      <c r="BH16" s="876"/>
      <c r="BI16" s="876"/>
      <c r="BJ16" s="876"/>
      <c r="BK16" s="876"/>
      <c r="BL16" s="876"/>
      <c r="BM16" s="876"/>
      <c r="BN16" s="876"/>
      <c r="BO16" s="876"/>
      <c r="BP16" s="876"/>
      <c r="BQ16" s="876"/>
      <c r="BR16" s="876"/>
      <c r="BS16" s="876"/>
      <c r="BT16" s="876"/>
      <c r="BU16" s="876"/>
      <c r="BV16" s="876"/>
      <c r="BW16" s="876"/>
      <c r="BX16" s="876"/>
      <c r="BY16" s="876"/>
      <c r="BZ16" s="876"/>
      <c r="CA16" s="876"/>
      <c r="CB16" s="876"/>
      <c r="CC16" s="876"/>
      <c r="CD16" s="876"/>
      <c r="CE16" s="876"/>
      <c r="CF16" s="876"/>
    </row>
    <row r="17" spans="1:84">
      <c r="A17" s="876"/>
      <c r="B17" s="1574"/>
      <c r="C17" s="1574"/>
      <c r="D17" s="1574"/>
      <c r="E17" s="1574"/>
      <c r="F17" s="1574"/>
      <c r="G17" s="1574"/>
      <c r="H17" s="1574"/>
      <c r="I17" s="1574"/>
      <c r="J17" s="1574"/>
      <c r="K17" s="876"/>
      <c r="L17" s="876"/>
      <c r="M17" s="876"/>
      <c r="N17" s="876"/>
      <c r="O17" s="876"/>
      <c r="P17" s="876"/>
      <c r="Q17" s="876"/>
      <c r="R17" s="876"/>
      <c r="S17" s="876"/>
      <c r="T17" s="876"/>
      <c r="U17" s="876"/>
      <c r="V17" s="876"/>
      <c r="W17" s="876"/>
      <c r="X17" s="876"/>
      <c r="Y17" s="876"/>
      <c r="Z17" s="876"/>
      <c r="AA17" s="876"/>
      <c r="AB17" s="876"/>
      <c r="AC17" s="876"/>
      <c r="AD17" s="876"/>
      <c r="AE17" s="876"/>
      <c r="AF17" s="876"/>
      <c r="AG17" s="876"/>
      <c r="AH17" s="876"/>
      <c r="AI17" s="876"/>
      <c r="AJ17" s="876"/>
      <c r="AK17" s="876"/>
      <c r="AL17" s="876"/>
      <c r="AM17" s="876"/>
      <c r="AN17" s="876"/>
      <c r="AO17" s="876"/>
      <c r="AP17" s="876"/>
      <c r="AQ17" s="876"/>
      <c r="AR17" s="876"/>
      <c r="AS17" s="876"/>
      <c r="AT17" s="876"/>
      <c r="AU17" s="876"/>
      <c r="AV17" s="876"/>
      <c r="AW17" s="876"/>
      <c r="AX17" s="876"/>
      <c r="AY17" s="876"/>
      <c r="AZ17" s="876"/>
      <c r="BA17" s="876"/>
      <c r="BB17" s="876"/>
      <c r="BC17" s="876"/>
      <c r="BD17" s="876"/>
      <c r="BE17" s="876"/>
      <c r="BF17" s="876"/>
      <c r="BG17" s="876"/>
      <c r="BH17" s="876"/>
      <c r="BI17" s="876"/>
      <c r="BJ17" s="876"/>
      <c r="BK17" s="876"/>
      <c r="BL17" s="876"/>
      <c r="BM17" s="876"/>
      <c r="BN17" s="876"/>
      <c r="BO17" s="876"/>
      <c r="BP17" s="876"/>
      <c r="BQ17" s="876"/>
      <c r="BR17" s="876"/>
      <c r="BS17" s="876"/>
      <c r="BT17" s="876"/>
      <c r="BU17" s="876"/>
      <c r="BV17" s="876"/>
      <c r="BW17" s="876"/>
      <c r="BX17" s="876"/>
      <c r="BY17" s="876"/>
      <c r="BZ17" s="876"/>
      <c r="CA17" s="876"/>
      <c r="CB17" s="876"/>
      <c r="CC17" s="876"/>
      <c r="CD17" s="876"/>
      <c r="CE17" s="876"/>
      <c r="CF17" s="876"/>
    </row>
    <row r="18" spans="1:84">
      <c r="A18" s="876"/>
      <c r="B18" s="1574"/>
      <c r="C18" s="1574"/>
      <c r="D18" s="1574"/>
      <c r="E18" s="1574"/>
      <c r="F18" s="1574"/>
      <c r="G18" s="1574"/>
      <c r="H18" s="1574"/>
      <c r="I18" s="1574"/>
      <c r="J18" s="1574"/>
      <c r="K18" s="876"/>
      <c r="L18" s="876"/>
      <c r="M18" s="876"/>
      <c r="N18" s="876"/>
      <c r="O18" s="876"/>
      <c r="P18" s="876"/>
      <c r="Q18" s="876"/>
      <c r="R18" s="876"/>
      <c r="S18" s="876"/>
      <c r="T18" s="876"/>
      <c r="U18" s="876"/>
      <c r="V18" s="876"/>
      <c r="W18" s="876"/>
      <c r="X18" s="876"/>
      <c r="Y18" s="876"/>
      <c r="Z18" s="876"/>
      <c r="AA18" s="876"/>
      <c r="AB18" s="876"/>
      <c r="AC18" s="876"/>
      <c r="AD18" s="876"/>
      <c r="AE18" s="876"/>
      <c r="AF18" s="876"/>
      <c r="AG18" s="876"/>
      <c r="AH18" s="876"/>
      <c r="AI18" s="876"/>
      <c r="AJ18" s="876"/>
      <c r="AK18" s="876"/>
      <c r="AL18" s="876"/>
      <c r="AM18" s="876"/>
      <c r="AN18" s="876"/>
      <c r="AO18" s="876"/>
      <c r="AP18" s="876"/>
      <c r="AQ18" s="876"/>
      <c r="AR18" s="876"/>
      <c r="AS18" s="876"/>
      <c r="AT18" s="876"/>
      <c r="AU18" s="876"/>
      <c r="AV18" s="876"/>
      <c r="AW18" s="876"/>
      <c r="AX18" s="876"/>
      <c r="AY18" s="876"/>
      <c r="AZ18" s="876"/>
      <c r="BA18" s="876"/>
      <c r="BB18" s="876"/>
      <c r="BC18" s="876"/>
      <c r="BD18" s="876"/>
      <c r="BE18" s="876"/>
      <c r="BF18" s="876"/>
      <c r="BG18" s="876"/>
      <c r="BH18" s="876"/>
      <c r="BI18" s="876"/>
      <c r="BJ18" s="876"/>
      <c r="BK18" s="876"/>
      <c r="BL18" s="876"/>
      <c r="BM18" s="876"/>
      <c r="BN18" s="876"/>
      <c r="BO18" s="876"/>
      <c r="BP18" s="876"/>
      <c r="BQ18" s="876"/>
      <c r="BR18" s="876"/>
      <c r="BS18" s="876"/>
      <c r="BT18" s="876"/>
      <c r="BU18" s="876"/>
      <c r="BV18" s="876"/>
      <c r="BW18" s="876"/>
      <c r="BX18" s="876"/>
      <c r="BY18" s="876"/>
      <c r="BZ18" s="876"/>
      <c r="CA18" s="876"/>
      <c r="CB18" s="876"/>
      <c r="CC18" s="876"/>
      <c r="CD18" s="876"/>
      <c r="CE18" s="876"/>
      <c r="CF18" s="876"/>
    </row>
    <row r="19" spans="1:84" ht="13.8" thickBot="1">
      <c r="A19" s="876"/>
      <c r="B19" s="877" t="s">
        <v>840</v>
      </c>
      <c r="C19" s="876"/>
      <c r="D19" s="876"/>
      <c r="E19" s="876"/>
      <c r="F19" s="876"/>
      <c r="G19" s="876"/>
      <c r="H19" s="876"/>
      <c r="I19" s="878">
        <v>2015</v>
      </c>
      <c r="J19" s="879" t="s">
        <v>841</v>
      </c>
      <c r="K19" s="876"/>
      <c r="L19" s="876"/>
      <c r="M19" s="876"/>
      <c r="N19" s="876"/>
      <c r="O19" s="876"/>
      <c r="P19" s="876"/>
      <c r="Q19" s="876"/>
      <c r="R19" s="876"/>
      <c r="S19" s="876"/>
      <c r="T19" s="876"/>
      <c r="U19" s="876"/>
      <c r="V19" s="876"/>
      <c r="W19" s="876"/>
      <c r="X19" s="876"/>
      <c r="Y19" s="876"/>
      <c r="Z19" s="876"/>
      <c r="AA19" s="876"/>
      <c r="AB19" s="876"/>
      <c r="AC19" s="876"/>
      <c r="AD19" s="876"/>
      <c r="AE19" s="876"/>
      <c r="AF19" s="876"/>
      <c r="AG19" s="876"/>
      <c r="AH19" s="876"/>
      <c r="AI19" s="876"/>
      <c r="AJ19" s="876"/>
      <c r="AK19" s="876"/>
      <c r="AL19" s="876"/>
      <c r="AM19" s="876"/>
      <c r="AN19" s="876"/>
      <c r="AO19" s="876"/>
      <c r="AP19" s="876"/>
      <c r="AQ19" s="876"/>
      <c r="AR19" s="876"/>
      <c r="AS19" s="876"/>
      <c r="AT19" s="876"/>
      <c r="AU19" s="876"/>
      <c r="AV19" s="876"/>
      <c r="AW19" s="876"/>
      <c r="AX19" s="876"/>
      <c r="AY19" s="876"/>
      <c r="AZ19" s="876"/>
      <c r="BA19" s="876"/>
      <c r="BB19" s="876"/>
      <c r="BC19" s="876"/>
      <c r="BD19" s="876"/>
      <c r="BE19" s="876"/>
      <c r="BF19" s="876"/>
      <c r="BG19" s="876"/>
      <c r="BH19" s="876"/>
      <c r="BI19" s="876"/>
      <c r="BJ19" s="876"/>
      <c r="BK19" s="876"/>
      <c r="BL19" s="876"/>
      <c r="BM19" s="876"/>
      <c r="BN19" s="876"/>
      <c r="BO19" s="876"/>
      <c r="BP19" s="876"/>
      <c r="BQ19" s="876"/>
      <c r="BR19" s="876"/>
      <c r="BS19" s="876"/>
      <c r="BT19" s="876"/>
      <c r="BU19" s="876"/>
      <c r="BV19" s="876"/>
      <c r="BW19" s="876"/>
      <c r="BX19" s="876"/>
      <c r="BY19" s="876"/>
      <c r="BZ19" s="876"/>
      <c r="CA19" s="876"/>
      <c r="CB19" s="876"/>
      <c r="CC19" s="876"/>
      <c r="CD19" s="876"/>
      <c r="CE19" s="876"/>
      <c r="CF19" s="876"/>
    </row>
    <row r="20" spans="1:84">
      <c r="A20" s="876"/>
      <c r="B20" s="880" t="s">
        <v>842</v>
      </c>
      <c r="C20" s="881"/>
      <c r="D20" s="882">
        <v>2010</v>
      </c>
      <c r="E20" s="882">
        <v>2011</v>
      </c>
      <c r="F20" s="882">
        <v>2012</v>
      </c>
      <c r="G20" s="882">
        <v>2013</v>
      </c>
      <c r="H20" s="882">
        <v>2014</v>
      </c>
      <c r="I20" s="882">
        <v>2015</v>
      </c>
      <c r="J20" s="882">
        <v>2016</v>
      </c>
      <c r="K20" s="882">
        <v>2017</v>
      </c>
      <c r="L20" s="882">
        <v>2018</v>
      </c>
      <c r="M20" s="882">
        <v>2019</v>
      </c>
      <c r="N20" s="882">
        <v>2020</v>
      </c>
      <c r="O20" s="882">
        <v>2021</v>
      </c>
      <c r="P20" s="882">
        <v>2022</v>
      </c>
      <c r="Q20" s="882">
        <v>2023</v>
      </c>
      <c r="R20" s="882">
        <v>2024</v>
      </c>
      <c r="S20" s="882">
        <v>2025</v>
      </c>
      <c r="T20" s="882">
        <v>2026</v>
      </c>
      <c r="U20" s="882">
        <v>2027</v>
      </c>
      <c r="V20" s="882">
        <v>2028</v>
      </c>
      <c r="W20" s="882">
        <v>2029</v>
      </c>
      <c r="X20" s="882">
        <v>2030</v>
      </c>
      <c r="Y20" s="882">
        <v>2031</v>
      </c>
      <c r="Z20" s="882">
        <v>2032</v>
      </c>
      <c r="AA20" s="882">
        <v>2033</v>
      </c>
      <c r="AB20" s="882">
        <v>2034</v>
      </c>
      <c r="AC20" s="882">
        <v>2035</v>
      </c>
      <c r="AD20" s="882">
        <v>2036</v>
      </c>
      <c r="AE20" s="882">
        <v>2037</v>
      </c>
      <c r="AF20" s="882">
        <v>2038</v>
      </c>
      <c r="AG20" s="882">
        <v>2039</v>
      </c>
      <c r="AH20" s="882">
        <v>2040</v>
      </c>
      <c r="AI20" s="882">
        <v>2041</v>
      </c>
      <c r="AJ20" s="882">
        <v>2042</v>
      </c>
      <c r="AK20" s="882">
        <v>2043</v>
      </c>
      <c r="AL20" s="882">
        <v>2044</v>
      </c>
      <c r="AM20" s="882">
        <v>2045</v>
      </c>
      <c r="AN20" s="882">
        <v>2046</v>
      </c>
      <c r="AO20" s="882">
        <v>2047</v>
      </c>
      <c r="AP20" s="882">
        <v>2048</v>
      </c>
      <c r="AQ20" s="882">
        <v>2049</v>
      </c>
      <c r="AR20" s="882">
        <v>2050</v>
      </c>
      <c r="AS20" s="882">
        <v>2051</v>
      </c>
      <c r="AT20" s="882">
        <v>2052</v>
      </c>
      <c r="AU20" s="882">
        <v>2053</v>
      </c>
      <c r="AV20" s="882">
        <v>2054</v>
      </c>
      <c r="AW20" s="882">
        <v>2055</v>
      </c>
      <c r="AX20" s="882">
        <v>2056</v>
      </c>
      <c r="AY20" s="882">
        <v>2057</v>
      </c>
      <c r="AZ20" s="882">
        <v>2058</v>
      </c>
      <c r="BA20" s="882">
        <v>2059</v>
      </c>
      <c r="BB20" s="882">
        <v>2060</v>
      </c>
      <c r="BC20" s="882">
        <v>2061</v>
      </c>
      <c r="BD20" s="882">
        <v>2062</v>
      </c>
      <c r="BE20" s="882">
        <v>2063</v>
      </c>
      <c r="BF20" s="882">
        <v>2064</v>
      </c>
      <c r="BG20" s="882">
        <v>2065</v>
      </c>
      <c r="BH20" s="882">
        <v>2066</v>
      </c>
      <c r="BI20" s="882">
        <v>2067</v>
      </c>
      <c r="BJ20" s="882">
        <v>2068</v>
      </c>
      <c r="BK20" s="882">
        <v>2069</v>
      </c>
      <c r="BL20" s="882">
        <v>2070</v>
      </c>
      <c r="BM20" s="882">
        <v>2071</v>
      </c>
      <c r="BN20" s="882">
        <v>2072</v>
      </c>
      <c r="BO20" s="882">
        <v>2073</v>
      </c>
      <c r="BP20" s="882">
        <v>2074</v>
      </c>
      <c r="BQ20" s="882">
        <v>2075</v>
      </c>
      <c r="BR20" s="882">
        <v>2076</v>
      </c>
      <c r="BS20" s="882">
        <v>2077</v>
      </c>
      <c r="BT20" s="882">
        <v>2078</v>
      </c>
      <c r="BU20" s="882">
        <v>2079</v>
      </c>
      <c r="BV20" s="882">
        <v>2080</v>
      </c>
      <c r="BW20" s="882">
        <v>2081</v>
      </c>
      <c r="BX20" s="882">
        <v>2082</v>
      </c>
      <c r="BY20" s="882">
        <v>2083</v>
      </c>
      <c r="BZ20" s="882">
        <v>2084</v>
      </c>
      <c r="CA20" s="882">
        <v>2085</v>
      </c>
      <c r="CB20" s="882">
        <v>2086</v>
      </c>
      <c r="CC20" s="882">
        <v>2087</v>
      </c>
      <c r="CD20" s="882">
        <v>2088</v>
      </c>
      <c r="CE20" s="882">
        <v>2089</v>
      </c>
      <c r="CF20" s="883">
        <v>2090</v>
      </c>
    </row>
    <row r="21" spans="1:84">
      <c r="A21" s="876"/>
      <c r="B21" s="884" t="str">
        <f>CONCATENATE("Drivmiddel (", $D$122,"-priser)")</f>
        <v>Drivmiddel (-priser)</v>
      </c>
      <c r="C21" s="885" t="s">
        <v>843</v>
      </c>
      <c r="D21" s="886" t="e">
        <f t="shared" ref="D21" si="0">D3/#REF!*#REF!</f>
        <v>#REF!</v>
      </c>
      <c r="E21" s="886" t="e">
        <f t="shared" ref="E21" si="1">E3/#REF!*#REF!</f>
        <v>#REF!</v>
      </c>
      <c r="F21" s="886" t="e">
        <f t="shared" ref="F21" si="2">F3/#REF!*#REF!</f>
        <v>#REF!</v>
      </c>
      <c r="G21" s="886" t="e">
        <f t="shared" ref="G21" si="3">G3/#REF!*#REF!</f>
        <v>#REF!</v>
      </c>
      <c r="H21" s="886" t="e">
        <f t="shared" ref="H21" si="4">H3/#REF!*#REF!</f>
        <v>#REF!</v>
      </c>
      <c r="I21" s="886" t="e">
        <f t="shared" ref="I21" si="5">I3/#REF!*#REF!</f>
        <v>#REF!</v>
      </c>
      <c r="J21" s="886" t="e">
        <f t="shared" ref="J21" si="6">J3/#REF!*#REF!</f>
        <v>#REF!</v>
      </c>
      <c r="K21" s="886" t="e">
        <f t="shared" ref="K21" si="7">K3/#REF!*#REF!</f>
        <v>#REF!</v>
      </c>
      <c r="L21" s="886" t="e">
        <f t="shared" ref="L21" si="8">L3/#REF!*#REF!</f>
        <v>#REF!</v>
      </c>
      <c r="M21" s="886" t="e">
        <f t="shared" ref="M21" si="9">M3/#REF!*#REF!</f>
        <v>#REF!</v>
      </c>
      <c r="N21" s="886" t="e">
        <f t="shared" ref="N21" si="10">N3/#REF!*#REF!</f>
        <v>#REF!</v>
      </c>
      <c r="O21" s="886" t="e">
        <f t="shared" ref="O21" si="11">O3/#REF!*#REF!</f>
        <v>#REF!</v>
      </c>
      <c r="P21" s="886" t="e">
        <f t="shared" ref="P21" si="12">P3/#REF!*#REF!</f>
        <v>#REF!</v>
      </c>
      <c r="Q21" s="886" t="e">
        <f t="shared" ref="Q21" si="13">Q3/#REF!*#REF!</f>
        <v>#REF!</v>
      </c>
      <c r="R21" s="886" t="e">
        <f t="shared" ref="R21" si="14">R3/#REF!*#REF!</f>
        <v>#REF!</v>
      </c>
      <c r="S21" s="886" t="e">
        <f t="shared" ref="S21" si="15">S3/#REF!*#REF!</f>
        <v>#REF!</v>
      </c>
      <c r="T21" s="886" t="e">
        <f t="shared" ref="T21" si="16">T3/#REF!*#REF!</f>
        <v>#REF!</v>
      </c>
      <c r="U21" s="886" t="e">
        <f t="shared" ref="U21" si="17">U3/#REF!*#REF!</f>
        <v>#REF!</v>
      </c>
      <c r="V21" s="886" t="e">
        <f t="shared" ref="V21" si="18">V3/#REF!*#REF!</f>
        <v>#REF!</v>
      </c>
      <c r="W21" s="886" t="e">
        <f t="shared" ref="W21" si="19">W3/#REF!*#REF!</f>
        <v>#REF!</v>
      </c>
      <c r="X21" s="886" t="e">
        <f t="shared" ref="X21" si="20">X3/#REF!*#REF!</f>
        <v>#REF!</v>
      </c>
      <c r="Y21" s="886" t="e">
        <f t="shared" ref="Y21" si="21">Y3/#REF!*#REF!</f>
        <v>#REF!</v>
      </c>
      <c r="Z21" s="886" t="e">
        <f t="shared" ref="Z21" si="22">Z3/#REF!*#REF!</f>
        <v>#REF!</v>
      </c>
      <c r="AA21" s="886" t="e">
        <f t="shared" ref="AA21" si="23">AA3/#REF!*#REF!</f>
        <v>#REF!</v>
      </c>
      <c r="AB21" s="886" t="e">
        <f t="shared" ref="AB21" si="24">AB3/#REF!*#REF!</f>
        <v>#REF!</v>
      </c>
      <c r="AC21" s="886" t="e">
        <f t="shared" ref="AC21" si="25">AC3/#REF!*#REF!</f>
        <v>#REF!</v>
      </c>
      <c r="AD21" s="886" t="e">
        <f t="shared" ref="AD21" si="26">AD3/#REF!*#REF!</f>
        <v>#REF!</v>
      </c>
      <c r="AE21" s="886" t="e">
        <f t="shared" ref="AE21" si="27">AE3/#REF!*#REF!</f>
        <v>#REF!</v>
      </c>
      <c r="AF21" s="886" t="e">
        <f t="shared" ref="AF21" si="28">AF3/#REF!*#REF!</f>
        <v>#REF!</v>
      </c>
      <c r="AG21" s="886" t="e">
        <f t="shared" ref="AG21" si="29">AG3/#REF!*#REF!</f>
        <v>#REF!</v>
      </c>
      <c r="AH21" s="886" t="e">
        <f t="shared" ref="AH21" si="30">AH3/#REF!*#REF!</f>
        <v>#REF!</v>
      </c>
      <c r="AI21" s="886" t="e">
        <f t="shared" ref="AI21" si="31">AI3/#REF!*#REF!</f>
        <v>#REF!</v>
      </c>
      <c r="AJ21" s="886" t="e">
        <f t="shared" ref="AJ21" si="32">AJ3/#REF!*#REF!</f>
        <v>#REF!</v>
      </c>
      <c r="AK21" s="886" t="e">
        <f t="shared" ref="AK21" si="33">AK3/#REF!*#REF!</f>
        <v>#REF!</v>
      </c>
      <c r="AL21" s="886" t="e">
        <f t="shared" ref="AL21" si="34">AL3/#REF!*#REF!</f>
        <v>#REF!</v>
      </c>
      <c r="AM21" s="886" t="e">
        <f t="shared" ref="AM21" si="35">AM3/#REF!*#REF!</f>
        <v>#REF!</v>
      </c>
      <c r="AN21" s="886" t="e">
        <f t="shared" ref="AN21" si="36">AN3/#REF!*#REF!</f>
        <v>#REF!</v>
      </c>
      <c r="AO21" s="886" t="e">
        <f t="shared" ref="AO21" si="37">AO3/#REF!*#REF!</f>
        <v>#REF!</v>
      </c>
      <c r="AP21" s="886" t="e">
        <f t="shared" ref="AP21" si="38">AP3/#REF!*#REF!</f>
        <v>#REF!</v>
      </c>
      <c r="AQ21" s="886" t="e">
        <f t="shared" ref="AQ21" si="39">AQ3/#REF!*#REF!</f>
        <v>#REF!</v>
      </c>
      <c r="AR21" s="886" t="e">
        <f t="shared" ref="AR21" si="40">AR3/#REF!*#REF!</f>
        <v>#REF!</v>
      </c>
      <c r="AS21" s="886" t="e">
        <f t="shared" ref="AS21" si="41">AS3/#REF!*#REF!</f>
        <v>#REF!</v>
      </c>
      <c r="AT21" s="886" t="e">
        <f t="shared" ref="AT21" si="42">AT3/#REF!*#REF!</f>
        <v>#REF!</v>
      </c>
      <c r="AU21" s="886" t="e">
        <f t="shared" ref="AU21" si="43">AU3/#REF!*#REF!</f>
        <v>#REF!</v>
      </c>
      <c r="AV21" s="886" t="e">
        <f t="shared" ref="AV21" si="44">AV3/#REF!*#REF!</f>
        <v>#REF!</v>
      </c>
      <c r="AW21" s="886" t="e">
        <f t="shared" ref="AW21" si="45">AW3/#REF!*#REF!</f>
        <v>#REF!</v>
      </c>
      <c r="AX21" s="886" t="e">
        <f t="shared" ref="AX21" si="46">AX3/#REF!*#REF!</f>
        <v>#REF!</v>
      </c>
      <c r="AY21" s="886" t="e">
        <f t="shared" ref="AY21" si="47">AY3/#REF!*#REF!</f>
        <v>#REF!</v>
      </c>
      <c r="AZ21" s="886" t="e">
        <f t="shared" ref="AZ21" si="48">AZ3/#REF!*#REF!</f>
        <v>#REF!</v>
      </c>
      <c r="BA21" s="886" t="e">
        <f t="shared" ref="BA21" si="49">BA3/#REF!*#REF!</f>
        <v>#REF!</v>
      </c>
      <c r="BB21" s="886" t="e">
        <f t="shared" ref="BB21" si="50">BB3/#REF!*#REF!</f>
        <v>#REF!</v>
      </c>
      <c r="BC21" s="886" t="e">
        <f t="shared" ref="BC21" si="51">BC3/#REF!*#REF!</f>
        <v>#REF!</v>
      </c>
      <c r="BD21" s="886" t="e">
        <f t="shared" ref="BD21" si="52">BD3/#REF!*#REF!</f>
        <v>#REF!</v>
      </c>
      <c r="BE21" s="886" t="e">
        <f t="shared" ref="BE21" si="53">BE3/#REF!*#REF!</f>
        <v>#REF!</v>
      </c>
      <c r="BF21" s="886" t="e">
        <f t="shared" ref="BF21" si="54">BF3/#REF!*#REF!</f>
        <v>#REF!</v>
      </c>
      <c r="BG21" s="886" t="e">
        <f t="shared" ref="BG21" si="55">BG3/#REF!*#REF!</f>
        <v>#REF!</v>
      </c>
      <c r="BH21" s="886" t="e">
        <f t="shared" ref="BH21" si="56">BH3/#REF!*#REF!</f>
        <v>#REF!</v>
      </c>
      <c r="BI21" s="886" t="e">
        <f t="shared" ref="BI21" si="57">BI3/#REF!*#REF!</f>
        <v>#REF!</v>
      </c>
      <c r="BJ21" s="886" t="e">
        <f t="shared" ref="BJ21" si="58">BJ3/#REF!*#REF!</f>
        <v>#REF!</v>
      </c>
      <c r="BK21" s="886" t="e">
        <f t="shared" ref="BK21" si="59">BK3/#REF!*#REF!</f>
        <v>#REF!</v>
      </c>
      <c r="BL21" s="886" t="e">
        <f t="shared" ref="BL21" si="60">BL3/#REF!*#REF!</f>
        <v>#REF!</v>
      </c>
      <c r="BM21" s="886" t="e">
        <f t="shared" ref="BM21" si="61">BM3/#REF!*#REF!</f>
        <v>#REF!</v>
      </c>
      <c r="BN21" s="886" t="e">
        <f t="shared" ref="BN21" si="62">BN3/#REF!*#REF!</f>
        <v>#REF!</v>
      </c>
      <c r="BO21" s="886" t="e">
        <f t="shared" ref="BO21" si="63">BO3/#REF!*#REF!</f>
        <v>#REF!</v>
      </c>
      <c r="BP21" s="886" t="e">
        <f t="shared" ref="BP21" si="64">BP3/#REF!*#REF!</f>
        <v>#REF!</v>
      </c>
      <c r="BQ21" s="886" t="e">
        <f t="shared" ref="BQ21" si="65">BQ3/#REF!*#REF!</f>
        <v>#REF!</v>
      </c>
      <c r="BR21" s="886" t="e">
        <f t="shared" ref="BR21" si="66">BR3/#REF!*#REF!</f>
        <v>#REF!</v>
      </c>
      <c r="BS21" s="886" t="e">
        <f t="shared" ref="BS21" si="67">BS3/#REF!*#REF!</f>
        <v>#REF!</v>
      </c>
      <c r="BT21" s="886" t="e">
        <f t="shared" ref="BT21" si="68">BT3/#REF!*#REF!</f>
        <v>#REF!</v>
      </c>
      <c r="BU21" s="886" t="e">
        <f t="shared" ref="BU21" si="69">BU3/#REF!*#REF!</f>
        <v>#REF!</v>
      </c>
      <c r="BV21" s="886" t="e">
        <f t="shared" ref="BV21" si="70">BV3/#REF!*#REF!</f>
        <v>#REF!</v>
      </c>
      <c r="BW21" s="886" t="e">
        <f t="shared" ref="BW21" si="71">BW3/#REF!*#REF!</f>
        <v>#REF!</v>
      </c>
      <c r="BX21" s="886" t="e">
        <f t="shared" ref="BX21" si="72">BX3/#REF!*#REF!</f>
        <v>#REF!</v>
      </c>
      <c r="BY21" s="886" t="e">
        <f t="shared" ref="BY21" si="73">BY3/#REF!*#REF!</f>
        <v>#REF!</v>
      </c>
      <c r="BZ21" s="886" t="e">
        <f t="shared" ref="BZ21" si="74">BZ3/#REF!*#REF!</f>
        <v>#REF!</v>
      </c>
      <c r="CA21" s="886" t="e">
        <f t="shared" ref="CA21" si="75">CA3/#REF!*#REF!</f>
        <v>#REF!</v>
      </c>
      <c r="CB21" s="886" t="e">
        <f t="shared" ref="CB21" si="76">CB3/#REF!*#REF!</f>
        <v>#REF!</v>
      </c>
      <c r="CC21" s="886" t="e">
        <f t="shared" ref="CC21" si="77">CC3/#REF!*#REF!</f>
        <v>#REF!</v>
      </c>
      <c r="CD21" s="886" t="e">
        <f t="shared" ref="CD21" si="78">CD3/#REF!*#REF!</f>
        <v>#REF!</v>
      </c>
      <c r="CE21" s="886" t="e">
        <f t="shared" ref="CE21" si="79">CE3/#REF!*#REF!</f>
        <v>#REF!</v>
      </c>
      <c r="CF21" s="887" t="e">
        <f t="shared" ref="CF21" si="80">CF3/#REF!*#REF!</f>
        <v>#REF!</v>
      </c>
    </row>
    <row r="22" spans="1:84">
      <c r="A22" s="876"/>
      <c r="B22" s="884" t="s">
        <v>844</v>
      </c>
      <c r="C22" s="885" t="s">
        <v>843</v>
      </c>
      <c r="D22" s="888">
        <v>6.6368984891397836E-2</v>
      </c>
      <c r="E22" s="888">
        <v>6.6368984891397836E-2</v>
      </c>
      <c r="F22" s="888">
        <v>6.6368984891397836E-2</v>
      </c>
      <c r="G22" s="888">
        <v>6.6368984891397836E-2</v>
      </c>
      <c r="H22" s="888">
        <v>6.6368984891397836E-2</v>
      </c>
      <c r="I22" s="888">
        <v>6.6368984891397836E-2</v>
      </c>
      <c r="J22" s="888">
        <v>6.6368984891397836E-2</v>
      </c>
      <c r="K22" s="888">
        <v>6.6368984891397836E-2</v>
      </c>
      <c r="L22" s="888">
        <v>6.6368984891397836E-2</v>
      </c>
      <c r="M22" s="888">
        <v>6.6368984891397836E-2</v>
      </c>
      <c r="N22" s="888">
        <v>6.6368984891397836E-2</v>
      </c>
      <c r="O22" s="888">
        <v>6.6368984891397836E-2</v>
      </c>
      <c r="P22" s="888">
        <v>6.6368984891397836E-2</v>
      </c>
      <c r="Q22" s="888">
        <v>6.6368984891397836E-2</v>
      </c>
      <c r="R22" s="888">
        <v>6.6368984891397836E-2</v>
      </c>
      <c r="S22" s="888">
        <v>6.6368984891397836E-2</v>
      </c>
      <c r="T22" s="888">
        <v>6.6368984891397836E-2</v>
      </c>
      <c r="U22" s="888">
        <v>6.6368984891397836E-2</v>
      </c>
      <c r="V22" s="888">
        <v>6.6368984891397836E-2</v>
      </c>
      <c r="W22" s="888">
        <v>6.6368984891397836E-2</v>
      </c>
      <c r="X22" s="888">
        <v>6.6368984891397836E-2</v>
      </c>
      <c r="Y22" s="888">
        <v>6.6368984891397836E-2</v>
      </c>
      <c r="Z22" s="888">
        <v>6.6368984891397836E-2</v>
      </c>
      <c r="AA22" s="888">
        <v>6.6368984891397836E-2</v>
      </c>
      <c r="AB22" s="888">
        <v>6.6368984891397836E-2</v>
      </c>
      <c r="AC22" s="888">
        <v>6.6368984891397836E-2</v>
      </c>
      <c r="AD22" s="888">
        <v>6.6368984891397836E-2</v>
      </c>
      <c r="AE22" s="888">
        <v>6.6368984891397836E-2</v>
      </c>
      <c r="AF22" s="888">
        <v>6.6368984891397836E-2</v>
      </c>
      <c r="AG22" s="888">
        <v>6.6368984891397836E-2</v>
      </c>
      <c r="AH22" s="888">
        <v>6.6368984891397836E-2</v>
      </c>
      <c r="AI22" s="888">
        <v>6.6368984891397836E-2</v>
      </c>
      <c r="AJ22" s="888">
        <v>6.6368984891397836E-2</v>
      </c>
      <c r="AK22" s="888">
        <v>6.6368984891397836E-2</v>
      </c>
      <c r="AL22" s="888">
        <v>6.6368984891397836E-2</v>
      </c>
      <c r="AM22" s="888">
        <v>6.6368984891397836E-2</v>
      </c>
      <c r="AN22" s="888">
        <v>6.6368984891397836E-2</v>
      </c>
      <c r="AO22" s="888">
        <v>6.6368984891397836E-2</v>
      </c>
      <c r="AP22" s="888">
        <v>6.6368984891397836E-2</v>
      </c>
      <c r="AQ22" s="888">
        <v>6.6368984891397836E-2</v>
      </c>
      <c r="AR22" s="888">
        <v>6.6368984891397836E-2</v>
      </c>
      <c r="AS22" s="888">
        <v>6.6368984891397836E-2</v>
      </c>
      <c r="AT22" s="888">
        <v>6.6368984891397836E-2</v>
      </c>
      <c r="AU22" s="888">
        <v>6.6368984891397836E-2</v>
      </c>
      <c r="AV22" s="888">
        <v>6.6368984891397836E-2</v>
      </c>
      <c r="AW22" s="888">
        <v>6.6368984891397836E-2</v>
      </c>
      <c r="AX22" s="888">
        <v>6.6368984891397836E-2</v>
      </c>
      <c r="AY22" s="888">
        <v>6.6368984891397836E-2</v>
      </c>
      <c r="AZ22" s="888">
        <v>6.6368984891397836E-2</v>
      </c>
      <c r="BA22" s="888">
        <v>6.6368984891397836E-2</v>
      </c>
      <c r="BB22" s="888">
        <v>6.6368984891397836E-2</v>
      </c>
      <c r="BC22" s="888">
        <v>6.6368984891397836E-2</v>
      </c>
      <c r="BD22" s="888">
        <v>6.6368984891397836E-2</v>
      </c>
      <c r="BE22" s="888">
        <v>6.6368984891397836E-2</v>
      </c>
      <c r="BF22" s="888">
        <v>6.6368984891397836E-2</v>
      </c>
      <c r="BG22" s="888">
        <v>6.6368984891397836E-2</v>
      </c>
      <c r="BH22" s="888">
        <v>6.6368984891397836E-2</v>
      </c>
      <c r="BI22" s="888">
        <v>6.6368984891397836E-2</v>
      </c>
      <c r="BJ22" s="888">
        <v>6.6368984891397836E-2</v>
      </c>
      <c r="BK22" s="888">
        <v>6.6368984891397836E-2</v>
      </c>
      <c r="BL22" s="888">
        <v>6.6368984891397836E-2</v>
      </c>
      <c r="BM22" s="888">
        <v>6.6368984891397836E-2</v>
      </c>
      <c r="BN22" s="888">
        <v>6.6368984891397836E-2</v>
      </c>
      <c r="BO22" s="888">
        <v>6.6368984891397836E-2</v>
      </c>
      <c r="BP22" s="888">
        <v>6.6368984891397836E-2</v>
      </c>
      <c r="BQ22" s="888">
        <v>6.6368984891397836E-2</v>
      </c>
      <c r="BR22" s="888">
        <v>6.6368984891397836E-2</v>
      </c>
      <c r="BS22" s="888">
        <v>6.6368984891397836E-2</v>
      </c>
      <c r="BT22" s="888">
        <v>6.6368984891397836E-2</v>
      </c>
      <c r="BU22" s="888">
        <v>6.6368984891397836E-2</v>
      </c>
      <c r="BV22" s="888">
        <v>6.6368984891397836E-2</v>
      </c>
      <c r="BW22" s="888">
        <v>6.6368984891397836E-2</v>
      </c>
      <c r="BX22" s="888">
        <v>6.6368984891397836E-2</v>
      </c>
      <c r="BY22" s="888">
        <v>6.6368984891397836E-2</v>
      </c>
      <c r="BZ22" s="888">
        <v>6.6368984891397836E-2</v>
      </c>
      <c r="CA22" s="888">
        <v>6.6368984891397836E-2</v>
      </c>
      <c r="CB22" s="888">
        <v>6.6368984891397836E-2</v>
      </c>
      <c r="CC22" s="888">
        <v>6.6368984891397836E-2</v>
      </c>
      <c r="CD22" s="888">
        <v>6.6368984891397836E-2</v>
      </c>
      <c r="CE22" s="888">
        <v>6.6368984891397836E-2</v>
      </c>
      <c r="CF22" s="889">
        <v>6.6368984891397836E-2</v>
      </c>
    </row>
    <row r="23" spans="1:84">
      <c r="A23" s="876"/>
      <c r="B23" s="884" t="s">
        <v>845</v>
      </c>
      <c r="C23" s="885" t="s">
        <v>843</v>
      </c>
      <c r="D23" s="888">
        <v>0.6887150017233501</v>
      </c>
      <c r="E23" s="888">
        <v>0.6887150017233501</v>
      </c>
      <c r="F23" s="888">
        <v>0.6887150017233501</v>
      </c>
      <c r="G23" s="888">
        <v>0.6887150017233501</v>
      </c>
      <c r="H23" s="888">
        <v>0.6887150017233501</v>
      </c>
      <c r="I23" s="888">
        <v>0.6887150017233501</v>
      </c>
      <c r="J23" s="888">
        <v>0.6887150017233501</v>
      </c>
      <c r="K23" s="888">
        <v>0.6887150017233501</v>
      </c>
      <c r="L23" s="888">
        <v>0.6887150017233501</v>
      </c>
      <c r="M23" s="888">
        <v>0.6887150017233501</v>
      </c>
      <c r="N23" s="888">
        <v>0.6887150017233501</v>
      </c>
      <c r="O23" s="888">
        <v>0.6887150017233501</v>
      </c>
      <c r="P23" s="888">
        <v>0.6887150017233501</v>
      </c>
      <c r="Q23" s="888">
        <v>0.6887150017233501</v>
      </c>
      <c r="R23" s="888">
        <v>0.6887150017233501</v>
      </c>
      <c r="S23" s="888">
        <v>0.6887150017233501</v>
      </c>
      <c r="T23" s="888">
        <v>0.6887150017233501</v>
      </c>
      <c r="U23" s="888">
        <v>0.6887150017233501</v>
      </c>
      <c r="V23" s="888">
        <v>0.6887150017233501</v>
      </c>
      <c r="W23" s="888">
        <v>0.6887150017233501</v>
      </c>
      <c r="X23" s="888">
        <v>0.6887150017233501</v>
      </c>
      <c r="Y23" s="888">
        <v>0.6887150017233501</v>
      </c>
      <c r="Z23" s="888">
        <v>0.6887150017233501</v>
      </c>
      <c r="AA23" s="888">
        <v>0.6887150017233501</v>
      </c>
      <c r="AB23" s="888">
        <v>0.6887150017233501</v>
      </c>
      <c r="AC23" s="888">
        <v>0.6887150017233501</v>
      </c>
      <c r="AD23" s="888">
        <v>0.6887150017233501</v>
      </c>
      <c r="AE23" s="888">
        <v>0.6887150017233501</v>
      </c>
      <c r="AF23" s="888">
        <v>0.6887150017233501</v>
      </c>
      <c r="AG23" s="888">
        <v>0.6887150017233501</v>
      </c>
      <c r="AH23" s="888">
        <v>0.6887150017233501</v>
      </c>
      <c r="AI23" s="888">
        <v>0.6887150017233501</v>
      </c>
      <c r="AJ23" s="888">
        <v>0.6887150017233501</v>
      </c>
      <c r="AK23" s="888">
        <v>0.6887150017233501</v>
      </c>
      <c r="AL23" s="888">
        <v>0.6887150017233501</v>
      </c>
      <c r="AM23" s="888">
        <v>0.6887150017233501</v>
      </c>
      <c r="AN23" s="888">
        <v>0.6887150017233501</v>
      </c>
      <c r="AO23" s="888">
        <v>0.6887150017233501</v>
      </c>
      <c r="AP23" s="888">
        <v>0.6887150017233501</v>
      </c>
      <c r="AQ23" s="888">
        <v>0.6887150017233501</v>
      </c>
      <c r="AR23" s="888">
        <v>0.6887150017233501</v>
      </c>
      <c r="AS23" s="888">
        <v>0.6887150017233501</v>
      </c>
      <c r="AT23" s="888">
        <v>0.6887150017233501</v>
      </c>
      <c r="AU23" s="888">
        <v>0.6887150017233501</v>
      </c>
      <c r="AV23" s="888">
        <v>0.6887150017233501</v>
      </c>
      <c r="AW23" s="888">
        <v>0.6887150017233501</v>
      </c>
      <c r="AX23" s="888">
        <v>0.6887150017233501</v>
      </c>
      <c r="AY23" s="888">
        <v>0.6887150017233501</v>
      </c>
      <c r="AZ23" s="888">
        <v>0.6887150017233501</v>
      </c>
      <c r="BA23" s="888">
        <v>0.6887150017233501</v>
      </c>
      <c r="BB23" s="888">
        <v>0.6887150017233501</v>
      </c>
      <c r="BC23" s="888">
        <v>0.6887150017233501</v>
      </c>
      <c r="BD23" s="888">
        <v>0.6887150017233501</v>
      </c>
      <c r="BE23" s="888">
        <v>0.6887150017233501</v>
      </c>
      <c r="BF23" s="888">
        <v>0.6887150017233501</v>
      </c>
      <c r="BG23" s="888">
        <v>0.6887150017233501</v>
      </c>
      <c r="BH23" s="888">
        <v>0.6887150017233501</v>
      </c>
      <c r="BI23" s="888">
        <v>0.6887150017233501</v>
      </c>
      <c r="BJ23" s="888">
        <v>0.6887150017233501</v>
      </c>
      <c r="BK23" s="888">
        <v>0.6887150017233501</v>
      </c>
      <c r="BL23" s="888">
        <v>0.6887150017233501</v>
      </c>
      <c r="BM23" s="888">
        <v>0.6887150017233501</v>
      </c>
      <c r="BN23" s="888">
        <v>0.6887150017233501</v>
      </c>
      <c r="BO23" s="888">
        <v>0.6887150017233501</v>
      </c>
      <c r="BP23" s="888">
        <v>0.6887150017233501</v>
      </c>
      <c r="BQ23" s="888">
        <v>0.6887150017233501</v>
      </c>
      <c r="BR23" s="888">
        <v>0.6887150017233501</v>
      </c>
      <c r="BS23" s="888">
        <v>0.6887150017233501</v>
      </c>
      <c r="BT23" s="888">
        <v>0.6887150017233501</v>
      </c>
      <c r="BU23" s="888">
        <v>0.6887150017233501</v>
      </c>
      <c r="BV23" s="888">
        <v>0.6887150017233501</v>
      </c>
      <c r="BW23" s="888">
        <v>0.6887150017233501</v>
      </c>
      <c r="BX23" s="888">
        <v>0.6887150017233501</v>
      </c>
      <c r="BY23" s="888">
        <v>0.6887150017233501</v>
      </c>
      <c r="BZ23" s="888">
        <v>0.6887150017233501</v>
      </c>
      <c r="CA23" s="888">
        <v>0.6887150017233501</v>
      </c>
      <c r="CB23" s="888">
        <v>0.6887150017233501</v>
      </c>
      <c r="CC23" s="888">
        <v>0.6887150017233501</v>
      </c>
      <c r="CD23" s="888">
        <v>0.6887150017233501</v>
      </c>
      <c r="CE23" s="888">
        <v>0.6887150017233501</v>
      </c>
      <c r="CF23" s="889">
        <v>0.6887150017233501</v>
      </c>
    </row>
    <row r="24" spans="1:84">
      <c r="A24" s="876"/>
      <c r="B24" s="890" t="s">
        <v>846</v>
      </c>
      <c r="C24" s="891" t="s">
        <v>843</v>
      </c>
      <c r="D24" s="892">
        <v>0.34914692121942353</v>
      </c>
      <c r="E24" s="893">
        <v>0.34914692121942353</v>
      </c>
      <c r="F24" s="893">
        <v>0.34914692121942353</v>
      </c>
      <c r="G24" s="893">
        <v>0.34914692121942353</v>
      </c>
      <c r="H24" s="893">
        <v>0.34914692121942353</v>
      </c>
      <c r="I24" s="893">
        <v>0.34914692121942353</v>
      </c>
      <c r="J24" s="893">
        <v>0.34914692121942353</v>
      </c>
      <c r="K24" s="893">
        <v>0.34914692121942353</v>
      </c>
      <c r="L24" s="893">
        <v>0.34914692121942353</v>
      </c>
      <c r="M24" s="893">
        <v>0.34914692121942353</v>
      </c>
      <c r="N24" s="893">
        <v>0.34914692121942353</v>
      </c>
      <c r="O24" s="893">
        <v>0.34914692121942353</v>
      </c>
      <c r="P24" s="893">
        <v>0.34914692121942353</v>
      </c>
      <c r="Q24" s="893">
        <v>0.34914692121942353</v>
      </c>
      <c r="R24" s="893">
        <v>0.34914692121942353</v>
      </c>
      <c r="S24" s="893">
        <v>0.34914692121942353</v>
      </c>
      <c r="T24" s="893">
        <v>0.34914692121942353</v>
      </c>
      <c r="U24" s="893">
        <v>0.34914692121942353</v>
      </c>
      <c r="V24" s="893">
        <v>0.34914692121942353</v>
      </c>
      <c r="W24" s="893">
        <v>0.34914692121942353</v>
      </c>
      <c r="X24" s="893">
        <v>0.34914692121942353</v>
      </c>
      <c r="Y24" s="893">
        <v>0.34914692121942353</v>
      </c>
      <c r="Z24" s="893">
        <v>0.34914692121942353</v>
      </c>
      <c r="AA24" s="893">
        <v>0.34914692121942353</v>
      </c>
      <c r="AB24" s="893">
        <v>0.34914692121942353</v>
      </c>
      <c r="AC24" s="893">
        <v>0.34914692121942353</v>
      </c>
      <c r="AD24" s="893">
        <v>0.34914692121942353</v>
      </c>
      <c r="AE24" s="893">
        <v>0.34914692121942353</v>
      </c>
      <c r="AF24" s="893">
        <v>0.34914692121942353</v>
      </c>
      <c r="AG24" s="893">
        <v>0.34914692121942353</v>
      </c>
      <c r="AH24" s="893">
        <v>0.34914692121942353</v>
      </c>
      <c r="AI24" s="893">
        <v>0.34914692121942353</v>
      </c>
      <c r="AJ24" s="893">
        <v>0.34914692121942353</v>
      </c>
      <c r="AK24" s="893">
        <v>0.34914692121942353</v>
      </c>
      <c r="AL24" s="893">
        <v>0.34914692121942353</v>
      </c>
      <c r="AM24" s="893">
        <v>0.34914692121942353</v>
      </c>
      <c r="AN24" s="893">
        <v>0.34914692121942353</v>
      </c>
      <c r="AO24" s="893">
        <v>0.34914692121942353</v>
      </c>
      <c r="AP24" s="893">
        <v>0.34914692121942353</v>
      </c>
      <c r="AQ24" s="893">
        <v>0.34914692121942353</v>
      </c>
      <c r="AR24" s="893">
        <v>0.34914692121942353</v>
      </c>
      <c r="AS24" s="893">
        <v>0.34914692121942353</v>
      </c>
      <c r="AT24" s="893">
        <v>0.34914692121942353</v>
      </c>
      <c r="AU24" s="893">
        <v>0.34914692121942353</v>
      </c>
      <c r="AV24" s="893">
        <v>0.34914692121942353</v>
      </c>
      <c r="AW24" s="893">
        <v>0.34914692121942353</v>
      </c>
      <c r="AX24" s="893">
        <v>0.34914692121942353</v>
      </c>
      <c r="AY24" s="893">
        <v>0.34914692121942353</v>
      </c>
      <c r="AZ24" s="893">
        <v>0.34914692121942353</v>
      </c>
      <c r="BA24" s="893">
        <v>0.34914692121942353</v>
      </c>
      <c r="BB24" s="893">
        <v>0.34914692121942353</v>
      </c>
      <c r="BC24" s="893">
        <v>0.34914692121942353</v>
      </c>
      <c r="BD24" s="893">
        <v>0.34914692121942353</v>
      </c>
      <c r="BE24" s="893">
        <v>0.34914692121942353</v>
      </c>
      <c r="BF24" s="893">
        <v>0.34914692121942353</v>
      </c>
      <c r="BG24" s="893">
        <v>0.34914692121942353</v>
      </c>
      <c r="BH24" s="893">
        <v>0.34914692121942353</v>
      </c>
      <c r="BI24" s="893">
        <v>0.34914692121942353</v>
      </c>
      <c r="BJ24" s="893">
        <v>0.34914692121942353</v>
      </c>
      <c r="BK24" s="893">
        <v>0.34914692121942353</v>
      </c>
      <c r="BL24" s="893">
        <v>0.34914692121942353</v>
      </c>
      <c r="BM24" s="893">
        <v>0.34914692121942353</v>
      </c>
      <c r="BN24" s="893">
        <v>0.34914692121942353</v>
      </c>
      <c r="BO24" s="893">
        <v>0.34914692121942353</v>
      </c>
      <c r="BP24" s="893">
        <v>0.34914692121942353</v>
      </c>
      <c r="BQ24" s="893">
        <v>0.34914692121942353</v>
      </c>
      <c r="BR24" s="893">
        <v>0.34914692121942353</v>
      </c>
      <c r="BS24" s="893">
        <v>0.34914692121942353</v>
      </c>
      <c r="BT24" s="893">
        <v>0.34914692121942353</v>
      </c>
      <c r="BU24" s="893">
        <v>0.34914692121942353</v>
      </c>
      <c r="BV24" s="893">
        <v>0.34914692121942353</v>
      </c>
      <c r="BW24" s="893">
        <v>0.34914692121942353</v>
      </c>
      <c r="BX24" s="893">
        <v>0.34914692121942353</v>
      </c>
      <c r="BY24" s="893">
        <v>0.34914692121942353</v>
      </c>
      <c r="BZ24" s="893">
        <v>0.34914692121942353</v>
      </c>
      <c r="CA24" s="893">
        <v>0.34914692121942353</v>
      </c>
      <c r="CB24" s="893">
        <v>0.34914692121942353</v>
      </c>
      <c r="CC24" s="893">
        <v>0.34914692121942353</v>
      </c>
      <c r="CD24" s="893">
        <v>0.34914692121942353</v>
      </c>
      <c r="CE24" s="893">
        <v>0.34914692121942353</v>
      </c>
      <c r="CF24" s="894">
        <v>0.34914692121942353</v>
      </c>
    </row>
    <row r="25" spans="1:84">
      <c r="A25" s="876"/>
      <c r="B25" s="884" t="str">
        <f>CONCATENATE("Drivmiddel (", $D$122,"-priser)")</f>
        <v>Drivmiddel (-priser)</v>
      </c>
      <c r="C25" s="885" t="s">
        <v>847</v>
      </c>
      <c r="D25" s="886" t="e">
        <f t="shared" ref="D25" si="81">D6/#REF!*#REF!</f>
        <v>#REF!</v>
      </c>
      <c r="E25" s="886" t="e">
        <f t="shared" ref="E25" si="82">E6/#REF!*#REF!</f>
        <v>#REF!</v>
      </c>
      <c r="F25" s="886" t="e">
        <f t="shared" ref="F25" si="83">F6/#REF!*#REF!</f>
        <v>#REF!</v>
      </c>
      <c r="G25" s="886" t="e">
        <f t="shared" ref="G25" si="84">G6/#REF!*#REF!</f>
        <v>#REF!</v>
      </c>
      <c r="H25" s="886" t="e">
        <f t="shared" ref="H25" si="85">H6/#REF!*#REF!</f>
        <v>#REF!</v>
      </c>
      <c r="I25" s="886" t="e">
        <f t="shared" ref="I25" si="86">I6/#REF!*#REF!</f>
        <v>#REF!</v>
      </c>
      <c r="J25" s="886" t="e">
        <f t="shared" ref="J25" si="87">J6/#REF!*#REF!</f>
        <v>#REF!</v>
      </c>
      <c r="K25" s="886" t="e">
        <f t="shared" ref="K25" si="88">K6/#REF!*#REF!</f>
        <v>#REF!</v>
      </c>
      <c r="L25" s="886" t="e">
        <f t="shared" ref="L25" si="89">L6/#REF!*#REF!</f>
        <v>#REF!</v>
      </c>
      <c r="M25" s="886" t="e">
        <f t="shared" ref="M25" si="90">M6/#REF!*#REF!</f>
        <v>#REF!</v>
      </c>
      <c r="N25" s="886" t="e">
        <f t="shared" ref="N25" si="91">N6/#REF!*#REF!</f>
        <v>#REF!</v>
      </c>
      <c r="O25" s="886" t="e">
        <f t="shared" ref="O25" si="92">O6/#REF!*#REF!</f>
        <v>#REF!</v>
      </c>
      <c r="P25" s="886" t="e">
        <f t="shared" ref="P25" si="93">P6/#REF!*#REF!</f>
        <v>#REF!</v>
      </c>
      <c r="Q25" s="886" t="e">
        <f t="shared" ref="Q25" si="94">Q6/#REF!*#REF!</f>
        <v>#REF!</v>
      </c>
      <c r="R25" s="886" t="e">
        <f t="shared" ref="R25" si="95">R6/#REF!*#REF!</f>
        <v>#REF!</v>
      </c>
      <c r="S25" s="886" t="e">
        <f t="shared" ref="S25" si="96">S6/#REF!*#REF!</f>
        <v>#REF!</v>
      </c>
      <c r="T25" s="886" t="e">
        <f t="shared" ref="T25" si="97">T6/#REF!*#REF!</f>
        <v>#REF!</v>
      </c>
      <c r="U25" s="886" t="e">
        <f t="shared" ref="U25" si="98">U6/#REF!*#REF!</f>
        <v>#REF!</v>
      </c>
      <c r="V25" s="886" t="e">
        <f t="shared" ref="V25" si="99">V6/#REF!*#REF!</f>
        <v>#REF!</v>
      </c>
      <c r="W25" s="886" t="e">
        <f t="shared" ref="W25" si="100">W6/#REF!*#REF!</f>
        <v>#REF!</v>
      </c>
      <c r="X25" s="886" t="e">
        <f t="shared" ref="X25" si="101">X6/#REF!*#REF!</f>
        <v>#REF!</v>
      </c>
      <c r="Y25" s="886" t="e">
        <f t="shared" ref="Y25" si="102">Y6/#REF!*#REF!</f>
        <v>#REF!</v>
      </c>
      <c r="Z25" s="886" t="e">
        <f t="shared" ref="Z25" si="103">Z6/#REF!*#REF!</f>
        <v>#REF!</v>
      </c>
      <c r="AA25" s="886" t="e">
        <f t="shared" ref="AA25" si="104">AA6/#REF!*#REF!</f>
        <v>#REF!</v>
      </c>
      <c r="AB25" s="886" t="e">
        <f t="shared" ref="AB25" si="105">AB6/#REF!*#REF!</f>
        <v>#REF!</v>
      </c>
      <c r="AC25" s="886" t="e">
        <f t="shared" ref="AC25" si="106">AC6/#REF!*#REF!</f>
        <v>#REF!</v>
      </c>
      <c r="AD25" s="886" t="e">
        <f t="shared" ref="AD25" si="107">AD6/#REF!*#REF!</f>
        <v>#REF!</v>
      </c>
      <c r="AE25" s="886" t="e">
        <f t="shared" ref="AE25" si="108">AE6/#REF!*#REF!</f>
        <v>#REF!</v>
      </c>
      <c r="AF25" s="886" t="e">
        <f t="shared" ref="AF25" si="109">AF6/#REF!*#REF!</f>
        <v>#REF!</v>
      </c>
      <c r="AG25" s="886" t="e">
        <f t="shared" ref="AG25" si="110">AG6/#REF!*#REF!</f>
        <v>#REF!</v>
      </c>
      <c r="AH25" s="886" t="e">
        <f t="shared" ref="AH25" si="111">AH6/#REF!*#REF!</f>
        <v>#REF!</v>
      </c>
      <c r="AI25" s="886" t="e">
        <f t="shared" ref="AI25" si="112">AI6/#REF!*#REF!</f>
        <v>#REF!</v>
      </c>
      <c r="AJ25" s="886" t="e">
        <f t="shared" ref="AJ25" si="113">AJ6/#REF!*#REF!</f>
        <v>#REF!</v>
      </c>
      <c r="AK25" s="886" t="e">
        <f t="shared" ref="AK25" si="114">AK6/#REF!*#REF!</f>
        <v>#REF!</v>
      </c>
      <c r="AL25" s="886" t="e">
        <f t="shared" ref="AL25" si="115">AL6/#REF!*#REF!</f>
        <v>#REF!</v>
      </c>
      <c r="AM25" s="886" t="e">
        <f t="shared" ref="AM25" si="116">AM6/#REF!*#REF!</f>
        <v>#REF!</v>
      </c>
      <c r="AN25" s="886" t="e">
        <f t="shared" ref="AN25" si="117">AN6/#REF!*#REF!</f>
        <v>#REF!</v>
      </c>
      <c r="AO25" s="886" t="e">
        <f t="shared" ref="AO25" si="118">AO6/#REF!*#REF!</f>
        <v>#REF!</v>
      </c>
      <c r="AP25" s="886" t="e">
        <f t="shared" ref="AP25" si="119">AP6/#REF!*#REF!</f>
        <v>#REF!</v>
      </c>
      <c r="AQ25" s="886" t="e">
        <f t="shared" ref="AQ25" si="120">AQ6/#REF!*#REF!</f>
        <v>#REF!</v>
      </c>
      <c r="AR25" s="886" t="e">
        <f t="shared" ref="AR25" si="121">AR6/#REF!*#REF!</f>
        <v>#REF!</v>
      </c>
      <c r="AS25" s="886" t="e">
        <f t="shared" ref="AS25" si="122">AS6/#REF!*#REF!</f>
        <v>#REF!</v>
      </c>
      <c r="AT25" s="886" t="e">
        <f t="shared" ref="AT25" si="123">AT6/#REF!*#REF!</f>
        <v>#REF!</v>
      </c>
      <c r="AU25" s="886" t="e">
        <f t="shared" ref="AU25" si="124">AU6/#REF!*#REF!</f>
        <v>#REF!</v>
      </c>
      <c r="AV25" s="886" t="e">
        <f t="shared" ref="AV25" si="125">AV6/#REF!*#REF!</f>
        <v>#REF!</v>
      </c>
      <c r="AW25" s="886" t="e">
        <f t="shared" ref="AW25" si="126">AW6/#REF!*#REF!</f>
        <v>#REF!</v>
      </c>
      <c r="AX25" s="886" t="e">
        <f t="shared" ref="AX25" si="127">AX6/#REF!*#REF!</f>
        <v>#REF!</v>
      </c>
      <c r="AY25" s="886" t="e">
        <f t="shared" ref="AY25" si="128">AY6/#REF!*#REF!</f>
        <v>#REF!</v>
      </c>
      <c r="AZ25" s="886" t="e">
        <f t="shared" ref="AZ25" si="129">AZ6/#REF!*#REF!</f>
        <v>#REF!</v>
      </c>
      <c r="BA25" s="886" t="e">
        <f t="shared" ref="BA25" si="130">BA6/#REF!*#REF!</f>
        <v>#REF!</v>
      </c>
      <c r="BB25" s="886" t="e">
        <f t="shared" ref="BB25" si="131">BB6/#REF!*#REF!</f>
        <v>#REF!</v>
      </c>
      <c r="BC25" s="886" t="e">
        <f t="shared" ref="BC25" si="132">BC6/#REF!*#REF!</f>
        <v>#REF!</v>
      </c>
      <c r="BD25" s="886" t="e">
        <f t="shared" ref="BD25" si="133">BD6/#REF!*#REF!</f>
        <v>#REF!</v>
      </c>
      <c r="BE25" s="886" t="e">
        <f t="shared" ref="BE25" si="134">BE6/#REF!*#REF!</f>
        <v>#REF!</v>
      </c>
      <c r="BF25" s="886" t="e">
        <f t="shared" ref="BF25" si="135">BF6/#REF!*#REF!</f>
        <v>#REF!</v>
      </c>
      <c r="BG25" s="886" t="e">
        <f t="shared" ref="BG25" si="136">BG6/#REF!*#REF!</f>
        <v>#REF!</v>
      </c>
      <c r="BH25" s="886" t="e">
        <f t="shared" ref="BH25" si="137">BH6/#REF!*#REF!</f>
        <v>#REF!</v>
      </c>
      <c r="BI25" s="886" t="e">
        <f t="shared" ref="BI25" si="138">BI6/#REF!*#REF!</f>
        <v>#REF!</v>
      </c>
      <c r="BJ25" s="886" t="e">
        <f t="shared" ref="BJ25" si="139">BJ6/#REF!*#REF!</f>
        <v>#REF!</v>
      </c>
      <c r="BK25" s="886" t="e">
        <f t="shared" ref="BK25" si="140">BK6/#REF!*#REF!</f>
        <v>#REF!</v>
      </c>
      <c r="BL25" s="886" t="e">
        <f t="shared" ref="BL25" si="141">BL6/#REF!*#REF!</f>
        <v>#REF!</v>
      </c>
      <c r="BM25" s="886" t="e">
        <f t="shared" ref="BM25" si="142">BM6/#REF!*#REF!</f>
        <v>#REF!</v>
      </c>
      <c r="BN25" s="886" t="e">
        <f t="shared" ref="BN25" si="143">BN6/#REF!*#REF!</f>
        <v>#REF!</v>
      </c>
      <c r="BO25" s="886" t="e">
        <f t="shared" ref="BO25" si="144">BO6/#REF!*#REF!</f>
        <v>#REF!</v>
      </c>
      <c r="BP25" s="886" t="e">
        <f t="shared" ref="BP25" si="145">BP6/#REF!*#REF!</f>
        <v>#REF!</v>
      </c>
      <c r="BQ25" s="886" t="e">
        <f t="shared" ref="BQ25" si="146">BQ6/#REF!*#REF!</f>
        <v>#REF!</v>
      </c>
      <c r="BR25" s="886" t="e">
        <f t="shared" ref="BR25" si="147">BR6/#REF!*#REF!</f>
        <v>#REF!</v>
      </c>
      <c r="BS25" s="886" t="e">
        <f t="shared" ref="BS25" si="148">BS6/#REF!*#REF!</f>
        <v>#REF!</v>
      </c>
      <c r="BT25" s="886" t="e">
        <f t="shared" ref="BT25" si="149">BT6/#REF!*#REF!</f>
        <v>#REF!</v>
      </c>
      <c r="BU25" s="886" t="e">
        <f t="shared" ref="BU25" si="150">BU6/#REF!*#REF!</f>
        <v>#REF!</v>
      </c>
      <c r="BV25" s="886" t="e">
        <f t="shared" ref="BV25" si="151">BV6/#REF!*#REF!</f>
        <v>#REF!</v>
      </c>
      <c r="BW25" s="886" t="e">
        <f t="shared" ref="BW25" si="152">BW6/#REF!*#REF!</f>
        <v>#REF!</v>
      </c>
      <c r="BX25" s="886" t="e">
        <f t="shared" ref="BX25" si="153">BX6/#REF!*#REF!</f>
        <v>#REF!</v>
      </c>
      <c r="BY25" s="886" t="e">
        <f t="shared" ref="BY25" si="154">BY6/#REF!*#REF!</f>
        <v>#REF!</v>
      </c>
      <c r="BZ25" s="886" t="e">
        <f t="shared" ref="BZ25" si="155">BZ6/#REF!*#REF!</f>
        <v>#REF!</v>
      </c>
      <c r="CA25" s="886" t="e">
        <f t="shared" ref="CA25" si="156">CA6/#REF!*#REF!</f>
        <v>#REF!</v>
      </c>
      <c r="CB25" s="886" t="e">
        <f t="shared" ref="CB25" si="157">CB6/#REF!*#REF!</f>
        <v>#REF!</v>
      </c>
      <c r="CC25" s="886" t="e">
        <f t="shared" ref="CC25" si="158">CC6/#REF!*#REF!</f>
        <v>#REF!</v>
      </c>
      <c r="CD25" s="886" t="e">
        <f t="shared" ref="CD25" si="159">CD6/#REF!*#REF!</f>
        <v>#REF!</v>
      </c>
      <c r="CE25" s="886" t="e">
        <f t="shared" ref="CE25" si="160">CE6/#REF!*#REF!</f>
        <v>#REF!</v>
      </c>
      <c r="CF25" s="887" t="e">
        <f t="shared" ref="CF25" si="161">CF6/#REF!*#REF!</f>
        <v>#REF!</v>
      </c>
    </row>
    <row r="26" spans="1:84">
      <c r="A26" s="876"/>
      <c r="B26" s="884" t="s">
        <v>844</v>
      </c>
      <c r="C26" s="885" t="s">
        <v>847</v>
      </c>
      <c r="D26" s="888">
        <v>8.2961231114247289E-2</v>
      </c>
      <c r="E26" s="888">
        <v>8.2961231114247289E-2</v>
      </c>
      <c r="F26" s="888">
        <v>8.2961231114247289E-2</v>
      </c>
      <c r="G26" s="888">
        <v>8.2961231114247289E-2</v>
      </c>
      <c r="H26" s="888">
        <v>8.2961231114247289E-2</v>
      </c>
      <c r="I26" s="888">
        <v>8.2961231114247289E-2</v>
      </c>
      <c r="J26" s="888">
        <v>8.2961231114247289E-2</v>
      </c>
      <c r="K26" s="888">
        <v>8.2961231114247289E-2</v>
      </c>
      <c r="L26" s="888">
        <v>8.2961231114247289E-2</v>
      </c>
      <c r="M26" s="888">
        <v>8.2961231114247289E-2</v>
      </c>
      <c r="N26" s="888">
        <v>8.2961231114247289E-2</v>
      </c>
      <c r="O26" s="888">
        <v>8.2961231114247289E-2</v>
      </c>
      <c r="P26" s="888">
        <v>8.2961231114247289E-2</v>
      </c>
      <c r="Q26" s="888">
        <v>8.2961231114247289E-2</v>
      </c>
      <c r="R26" s="888">
        <v>8.2961231114247289E-2</v>
      </c>
      <c r="S26" s="888">
        <v>8.2961231114247289E-2</v>
      </c>
      <c r="T26" s="888">
        <v>8.2961231114247289E-2</v>
      </c>
      <c r="U26" s="888">
        <v>8.2961231114247289E-2</v>
      </c>
      <c r="V26" s="888">
        <v>8.2961231114247289E-2</v>
      </c>
      <c r="W26" s="888">
        <v>8.2961231114247289E-2</v>
      </c>
      <c r="X26" s="888">
        <v>8.2961231114247289E-2</v>
      </c>
      <c r="Y26" s="888">
        <v>8.2961231114247289E-2</v>
      </c>
      <c r="Z26" s="888">
        <v>8.2961231114247289E-2</v>
      </c>
      <c r="AA26" s="888">
        <v>8.2961231114247289E-2</v>
      </c>
      <c r="AB26" s="888">
        <v>8.2961231114247289E-2</v>
      </c>
      <c r="AC26" s="888">
        <v>8.2961231114247289E-2</v>
      </c>
      <c r="AD26" s="888">
        <v>8.2961231114247289E-2</v>
      </c>
      <c r="AE26" s="888">
        <v>8.2961231114247289E-2</v>
      </c>
      <c r="AF26" s="888">
        <v>8.2961231114247289E-2</v>
      </c>
      <c r="AG26" s="888">
        <v>8.2961231114247289E-2</v>
      </c>
      <c r="AH26" s="888">
        <v>8.2961231114247289E-2</v>
      </c>
      <c r="AI26" s="888">
        <v>8.2961231114247289E-2</v>
      </c>
      <c r="AJ26" s="888">
        <v>8.2961231114247289E-2</v>
      </c>
      <c r="AK26" s="888">
        <v>8.2961231114247289E-2</v>
      </c>
      <c r="AL26" s="888">
        <v>8.2961231114247289E-2</v>
      </c>
      <c r="AM26" s="888">
        <v>8.2961231114247289E-2</v>
      </c>
      <c r="AN26" s="888">
        <v>8.2961231114247289E-2</v>
      </c>
      <c r="AO26" s="888">
        <v>8.2961231114247289E-2</v>
      </c>
      <c r="AP26" s="888">
        <v>8.2961231114247289E-2</v>
      </c>
      <c r="AQ26" s="888">
        <v>8.2961231114247289E-2</v>
      </c>
      <c r="AR26" s="888">
        <v>8.2961231114247289E-2</v>
      </c>
      <c r="AS26" s="888">
        <v>8.2961231114247289E-2</v>
      </c>
      <c r="AT26" s="888">
        <v>8.2961231114247289E-2</v>
      </c>
      <c r="AU26" s="888">
        <v>8.2961231114247289E-2</v>
      </c>
      <c r="AV26" s="888">
        <v>8.2961231114247289E-2</v>
      </c>
      <c r="AW26" s="888">
        <v>8.2961231114247289E-2</v>
      </c>
      <c r="AX26" s="888">
        <v>8.2961231114247289E-2</v>
      </c>
      <c r="AY26" s="888">
        <v>8.2961231114247289E-2</v>
      </c>
      <c r="AZ26" s="888">
        <v>8.2961231114247289E-2</v>
      </c>
      <c r="BA26" s="888">
        <v>8.2961231114247289E-2</v>
      </c>
      <c r="BB26" s="888">
        <v>8.2961231114247289E-2</v>
      </c>
      <c r="BC26" s="888">
        <v>8.2961231114247289E-2</v>
      </c>
      <c r="BD26" s="888">
        <v>8.2961231114247289E-2</v>
      </c>
      <c r="BE26" s="888">
        <v>8.2961231114247289E-2</v>
      </c>
      <c r="BF26" s="888">
        <v>8.2961231114247289E-2</v>
      </c>
      <c r="BG26" s="888">
        <v>8.2961231114247289E-2</v>
      </c>
      <c r="BH26" s="888">
        <v>8.2961231114247289E-2</v>
      </c>
      <c r="BI26" s="888">
        <v>8.2961231114247289E-2</v>
      </c>
      <c r="BJ26" s="888">
        <v>8.2961231114247289E-2</v>
      </c>
      <c r="BK26" s="888">
        <v>8.2961231114247289E-2</v>
      </c>
      <c r="BL26" s="888">
        <v>8.2961231114247289E-2</v>
      </c>
      <c r="BM26" s="888">
        <v>8.2961231114247289E-2</v>
      </c>
      <c r="BN26" s="888">
        <v>8.2961231114247289E-2</v>
      </c>
      <c r="BO26" s="888">
        <v>8.2961231114247289E-2</v>
      </c>
      <c r="BP26" s="888">
        <v>8.2961231114247289E-2</v>
      </c>
      <c r="BQ26" s="888">
        <v>8.2961231114247289E-2</v>
      </c>
      <c r="BR26" s="888">
        <v>8.2961231114247289E-2</v>
      </c>
      <c r="BS26" s="888">
        <v>8.2961231114247289E-2</v>
      </c>
      <c r="BT26" s="888">
        <v>8.2961231114247289E-2</v>
      </c>
      <c r="BU26" s="888">
        <v>8.2961231114247289E-2</v>
      </c>
      <c r="BV26" s="888">
        <v>8.2961231114247289E-2</v>
      </c>
      <c r="BW26" s="888">
        <v>8.2961231114247289E-2</v>
      </c>
      <c r="BX26" s="888">
        <v>8.2961231114247289E-2</v>
      </c>
      <c r="BY26" s="888">
        <v>8.2961231114247289E-2</v>
      </c>
      <c r="BZ26" s="888">
        <v>8.2961231114247289E-2</v>
      </c>
      <c r="CA26" s="888">
        <v>8.2961231114247289E-2</v>
      </c>
      <c r="CB26" s="888">
        <v>8.2961231114247289E-2</v>
      </c>
      <c r="CC26" s="888">
        <v>8.2961231114247289E-2</v>
      </c>
      <c r="CD26" s="888">
        <v>8.2961231114247289E-2</v>
      </c>
      <c r="CE26" s="888">
        <v>8.2961231114247289E-2</v>
      </c>
      <c r="CF26" s="889">
        <v>8.2961231114247289E-2</v>
      </c>
    </row>
    <row r="27" spans="1:84">
      <c r="A27" s="902"/>
      <c r="B27" s="884" t="s">
        <v>845</v>
      </c>
      <c r="C27" s="885" t="s">
        <v>847</v>
      </c>
      <c r="D27" s="888">
        <v>0.88672056471881344</v>
      </c>
      <c r="E27" s="888">
        <v>0.88672056471881344</v>
      </c>
      <c r="F27" s="888">
        <v>0.88672056471881344</v>
      </c>
      <c r="G27" s="888">
        <v>0.88672056471881344</v>
      </c>
      <c r="H27" s="888">
        <v>0.88672056471881344</v>
      </c>
      <c r="I27" s="888">
        <v>0.88672056471881344</v>
      </c>
      <c r="J27" s="888">
        <v>0.88672056471881344</v>
      </c>
      <c r="K27" s="888">
        <v>0.88672056471881344</v>
      </c>
      <c r="L27" s="888">
        <v>0.88672056471881344</v>
      </c>
      <c r="M27" s="888">
        <v>0.88672056471881344</v>
      </c>
      <c r="N27" s="888">
        <v>0.88672056471881344</v>
      </c>
      <c r="O27" s="888">
        <v>0.88672056471881344</v>
      </c>
      <c r="P27" s="888">
        <v>0.88672056471881344</v>
      </c>
      <c r="Q27" s="888">
        <v>0.88672056471881344</v>
      </c>
      <c r="R27" s="888">
        <v>0.88672056471881344</v>
      </c>
      <c r="S27" s="888">
        <v>0.88672056471881344</v>
      </c>
      <c r="T27" s="888">
        <v>0.88672056471881344</v>
      </c>
      <c r="U27" s="888">
        <v>0.88672056471881344</v>
      </c>
      <c r="V27" s="888">
        <v>0.88672056471881344</v>
      </c>
      <c r="W27" s="888">
        <v>0.88672056471881344</v>
      </c>
      <c r="X27" s="888">
        <v>0.88672056471881344</v>
      </c>
      <c r="Y27" s="888">
        <v>0.88672056471881344</v>
      </c>
      <c r="Z27" s="888">
        <v>0.88672056471881344</v>
      </c>
      <c r="AA27" s="888">
        <v>0.88672056471881344</v>
      </c>
      <c r="AB27" s="888">
        <v>0.88672056471881344</v>
      </c>
      <c r="AC27" s="888">
        <v>0.88672056471881344</v>
      </c>
      <c r="AD27" s="888">
        <v>0.88672056471881344</v>
      </c>
      <c r="AE27" s="888">
        <v>0.88672056471881344</v>
      </c>
      <c r="AF27" s="888">
        <v>0.88672056471881344</v>
      </c>
      <c r="AG27" s="888">
        <v>0.88672056471881344</v>
      </c>
      <c r="AH27" s="888">
        <v>0.88672056471881344</v>
      </c>
      <c r="AI27" s="888">
        <v>0.88672056471881344</v>
      </c>
      <c r="AJ27" s="888">
        <v>0.88672056471881344</v>
      </c>
      <c r="AK27" s="888">
        <v>0.88672056471881344</v>
      </c>
      <c r="AL27" s="888">
        <v>0.88672056471881344</v>
      </c>
      <c r="AM27" s="888">
        <v>0.88672056471881344</v>
      </c>
      <c r="AN27" s="888">
        <v>0.88672056471881344</v>
      </c>
      <c r="AO27" s="888">
        <v>0.88672056471881344</v>
      </c>
      <c r="AP27" s="888">
        <v>0.88672056471881344</v>
      </c>
      <c r="AQ27" s="888">
        <v>0.88672056471881344</v>
      </c>
      <c r="AR27" s="888">
        <v>0.88672056471881344</v>
      </c>
      <c r="AS27" s="888">
        <v>0.88672056471881344</v>
      </c>
      <c r="AT27" s="888">
        <v>0.88672056471881344</v>
      </c>
      <c r="AU27" s="888">
        <v>0.88672056471881344</v>
      </c>
      <c r="AV27" s="888">
        <v>0.88672056471881344</v>
      </c>
      <c r="AW27" s="888">
        <v>0.88672056471881344</v>
      </c>
      <c r="AX27" s="888">
        <v>0.88672056471881344</v>
      </c>
      <c r="AY27" s="888">
        <v>0.88672056471881344</v>
      </c>
      <c r="AZ27" s="888">
        <v>0.88672056471881344</v>
      </c>
      <c r="BA27" s="888">
        <v>0.88672056471881344</v>
      </c>
      <c r="BB27" s="888">
        <v>0.88672056471881344</v>
      </c>
      <c r="BC27" s="888">
        <v>0.88672056471881344</v>
      </c>
      <c r="BD27" s="888">
        <v>0.88672056471881344</v>
      </c>
      <c r="BE27" s="888">
        <v>0.88672056471881344</v>
      </c>
      <c r="BF27" s="888">
        <v>0.88672056471881344</v>
      </c>
      <c r="BG27" s="888">
        <v>0.88672056471881344</v>
      </c>
      <c r="BH27" s="888">
        <v>0.88672056471881344</v>
      </c>
      <c r="BI27" s="888">
        <v>0.88672056471881344</v>
      </c>
      <c r="BJ27" s="888">
        <v>0.88672056471881344</v>
      </c>
      <c r="BK27" s="888">
        <v>0.88672056471881344</v>
      </c>
      <c r="BL27" s="888">
        <v>0.88672056471881344</v>
      </c>
      <c r="BM27" s="888">
        <v>0.88672056471881344</v>
      </c>
      <c r="BN27" s="888">
        <v>0.88672056471881344</v>
      </c>
      <c r="BO27" s="888">
        <v>0.88672056471881344</v>
      </c>
      <c r="BP27" s="888">
        <v>0.88672056471881344</v>
      </c>
      <c r="BQ27" s="888">
        <v>0.88672056471881344</v>
      </c>
      <c r="BR27" s="888">
        <v>0.88672056471881344</v>
      </c>
      <c r="BS27" s="888">
        <v>0.88672056471881344</v>
      </c>
      <c r="BT27" s="888">
        <v>0.88672056471881344</v>
      </c>
      <c r="BU27" s="888">
        <v>0.88672056471881344</v>
      </c>
      <c r="BV27" s="888">
        <v>0.88672056471881344</v>
      </c>
      <c r="BW27" s="888">
        <v>0.88672056471881344</v>
      </c>
      <c r="BX27" s="888">
        <v>0.88672056471881344</v>
      </c>
      <c r="BY27" s="888">
        <v>0.88672056471881344</v>
      </c>
      <c r="BZ27" s="888">
        <v>0.88672056471881344</v>
      </c>
      <c r="CA27" s="888">
        <v>0.88672056471881344</v>
      </c>
      <c r="CB27" s="888">
        <v>0.88672056471881344</v>
      </c>
      <c r="CC27" s="888">
        <v>0.88672056471881344</v>
      </c>
      <c r="CD27" s="888">
        <v>0.88672056471881344</v>
      </c>
      <c r="CE27" s="888">
        <v>0.88672056471881344</v>
      </c>
      <c r="CF27" s="889">
        <v>0.88672056471881344</v>
      </c>
    </row>
    <row r="28" spans="1:84">
      <c r="A28" s="876"/>
      <c r="B28" s="884" t="s">
        <v>848</v>
      </c>
      <c r="C28" s="885"/>
      <c r="D28" s="888">
        <v>0.20269818641457316</v>
      </c>
      <c r="E28" s="888">
        <v>0.20269818641457316</v>
      </c>
      <c r="F28" s="888">
        <v>0.20269818641457316</v>
      </c>
      <c r="G28" s="888">
        <v>0.20269818641457316</v>
      </c>
      <c r="H28" s="888">
        <v>0.20269818641457316</v>
      </c>
      <c r="I28" s="888">
        <v>0.20269818641457316</v>
      </c>
      <c r="J28" s="888">
        <v>0.20269818641457316</v>
      </c>
      <c r="K28" s="888">
        <v>0.20269818641457316</v>
      </c>
      <c r="L28" s="888">
        <v>0.20269818641457316</v>
      </c>
      <c r="M28" s="888">
        <v>0.20269818641457316</v>
      </c>
      <c r="N28" s="888">
        <v>0.20269818641457316</v>
      </c>
      <c r="O28" s="888">
        <v>0.20269818641457316</v>
      </c>
      <c r="P28" s="888">
        <v>0.20269818641457316</v>
      </c>
      <c r="Q28" s="888">
        <v>0.20269818641457316</v>
      </c>
      <c r="R28" s="888">
        <v>0.20269818641457316</v>
      </c>
      <c r="S28" s="888">
        <v>0.20269818641457316</v>
      </c>
      <c r="T28" s="888">
        <v>0.20269818641457316</v>
      </c>
      <c r="U28" s="888">
        <v>0.20269818641457316</v>
      </c>
      <c r="V28" s="888">
        <v>0.20269818641457316</v>
      </c>
      <c r="W28" s="888">
        <v>0.20269818641457316</v>
      </c>
      <c r="X28" s="888">
        <v>0.20269818641457316</v>
      </c>
      <c r="Y28" s="888">
        <v>0.20269818641457316</v>
      </c>
      <c r="Z28" s="888">
        <v>0.20269818641457316</v>
      </c>
      <c r="AA28" s="888">
        <v>0.20269818641457316</v>
      </c>
      <c r="AB28" s="888">
        <v>0.20269818641457316</v>
      </c>
      <c r="AC28" s="888">
        <v>0.20269818641457316</v>
      </c>
      <c r="AD28" s="888">
        <v>0.20269818641457316</v>
      </c>
      <c r="AE28" s="888">
        <v>0.20269818641457316</v>
      </c>
      <c r="AF28" s="888">
        <v>0.20269818641457316</v>
      </c>
      <c r="AG28" s="888">
        <v>0.20269818641457316</v>
      </c>
      <c r="AH28" s="888">
        <v>0.20269818641457316</v>
      </c>
      <c r="AI28" s="888">
        <v>0.20269818641457316</v>
      </c>
      <c r="AJ28" s="888">
        <v>0.20269818641457316</v>
      </c>
      <c r="AK28" s="888">
        <v>0.20269818641457316</v>
      </c>
      <c r="AL28" s="888">
        <v>0.20269818641457316</v>
      </c>
      <c r="AM28" s="888">
        <v>0.20269818641457316</v>
      </c>
      <c r="AN28" s="888">
        <v>0.20269818641457316</v>
      </c>
      <c r="AO28" s="888">
        <v>0.20269818641457316</v>
      </c>
      <c r="AP28" s="888">
        <v>0.20269818641457316</v>
      </c>
      <c r="AQ28" s="888">
        <v>0.20269818641457316</v>
      </c>
      <c r="AR28" s="888">
        <v>0.20269818641457316</v>
      </c>
      <c r="AS28" s="888">
        <v>0.20269818641457316</v>
      </c>
      <c r="AT28" s="888">
        <v>0.20269818641457316</v>
      </c>
      <c r="AU28" s="888">
        <v>0.20269818641457316</v>
      </c>
      <c r="AV28" s="888">
        <v>0.20269818641457316</v>
      </c>
      <c r="AW28" s="888">
        <v>0.20269818641457316</v>
      </c>
      <c r="AX28" s="888">
        <v>0.20269818641457316</v>
      </c>
      <c r="AY28" s="888">
        <v>0.20269818641457316</v>
      </c>
      <c r="AZ28" s="888">
        <v>0.20269818641457316</v>
      </c>
      <c r="BA28" s="888">
        <v>0.20269818641457316</v>
      </c>
      <c r="BB28" s="888">
        <v>0.20269818641457316</v>
      </c>
      <c r="BC28" s="888">
        <v>0.20269818641457316</v>
      </c>
      <c r="BD28" s="888">
        <v>0.20269818641457316</v>
      </c>
      <c r="BE28" s="888">
        <v>0.20269818641457316</v>
      </c>
      <c r="BF28" s="888">
        <v>0.20269818641457316</v>
      </c>
      <c r="BG28" s="888">
        <v>0.20269818641457316</v>
      </c>
      <c r="BH28" s="888">
        <v>0.20269818641457316</v>
      </c>
      <c r="BI28" s="888">
        <v>0.20269818641457316</v>
      </c>
      <c r="BJ28" s="888">
        <v>0.20269818641457316</v>
      </c>
      <c r="BK28" s="888">
        <v>0.20269818641457316</v>
      </c>
      <c r="BL28" s="888">
        <v>0.20269818641457316</v>
      </c>
      <c r="BM28" s="888">
        <v>0.20269818641457316</v>
      </c>
      <c r="BN28" s="888">
        <v>0.20269818641457316</v>
      </c>
      <c r="BO28" s="888">
        <v>0.20269818641457316</v>
      </c>
      <c r="BP28" s="888">
        <v>0.20269818641457316</v>
      </c>
      <c r="BQ28" s="888">
        <v>0.20269818641457316</v>
      </c>
      <c r="BR28" s="888">
        <v>0.20269818641457316</v>
      </c>
      <c r="BS28" s="888">
        <v>0.20269818641457316</v>
      </c>
      <c r="BT28" s="888">
        <v>0.20269818641457316</v>
      </c>
      <c r="BU28" s="888">
        <v>0.20269818641457316</v>
      </c>
      <c r="BV28" s="888">
        <v>0.20269818641457316</v>
      </c>
      <c r="BW28" s="888">
        <v>0.20269818641457316</v>
      </c>
      <c r="BX28" s="888">
        <v>0.20269818641457316</v>
      </c>
      <c r="BY28" s="888">
        <v>0.20269818641457316</v>
      </c>
      <c r="BZ28" s="888">
        <v>0.20269818641457316</v>
      </c>
      <c r="CA28" s="888">
        <v>0.20269818641457316</v>
      </c>
      <c r="CB28" s="888">
        <v>0.20269818641457316</v>
      </c>
      <c r="CC28" s="888">
        <v>0.20269818641457316</v>
      </c>
      <c r="CD28" s="888">
        <v>0.20269818641457316</v>
      </c>
      <c r="CE28" s="888">
        <v>0.20269818641457316</v>
      </c>
      <c r="CF28" s="889">
        <v>0.20269818641457316</v>
      </c>
    </row>
    <row r="29" spans="1:84" ht="13.8" thickBot="1">
      <c r="A29" s="876"/>
      <c r="B29" s="895" t="s">
        <v>846</v>
      </c>
      <c r="C29" s="896" t="s">
        <v>847</v>
      </c>
      <c r="D29" s="897">
        <v>0.8472634258961157</v>
      </c>
      <c r="E29" s="898">
        <v>0.8472634258961157</v>
      </c>
      <c r="F29" s="898">
        <v>0.8472634258961157</v>
      </c>
      <c r="G29" s="898">
        <v>0.8472634258961157</v>
      </c>
      <c r="H29" s="898">
        <v>0.8472634258961157</v>
      </c>
      <c r="I29" s="898">
        <v>0.8472634258961157</v>
      </c>
      <c r="J29" s="898">
        <v>0.8472634258961157</v>
      </c>
      <c r="K29" s="898">
        <v>0.8472634258961157</v>
      </c>
      <c r="L29" s="898">
        <v>0.8472634258961157</v>
      </c>
      <c r="M29" s="898">
        <v>0.8472634258961157</v>
      </c>
      <c r="N29" s="898">
        <v>0.8472634258961157</v>
      </c>
      <c r="O29" s="898">
        <v>0.8472634258961157</v>
      </c>
      <c r="P29" s="898">
        <v>0.8472634258961157</v>
      </c>
      <c r="Q29" s="898">
        <v>0.8472634258961157</v>
      </c>
      <c r="R29" s="898">
        <v>0.8472634258961157</v>
      </c>
      <c r="S29" s="898">
        <v>0.8472634258961157</v>
      </c>
      <c r="T29" s="898">
        <v>0.8472634258961157</v>
      </c>
      <c r="U29" s="898">
        <v>0.8472634258961157</v>
      </c>
      <c r="V29" s="898">
        <v>0.8472634258961157</v>
      </c>
      <c r="W29" s="898">
        <v>0.8472634258961157</v>
      </c>
      <c r="X29" s="898">
        <v>0.8472634258961157</v>
      </c>
      <c r="Y29" s="898">
        <v>0.8472634258961157</v>
      </c>
      <c r="Z29" s="898">
        <v>0.8472634258961157</v>
      </c>
      <c r="AA29" s="898">
        <v>0.8472634258961157</v>
      </c>
      <c r="AB29" s="898">
        <v>0.8472634258961157</v>
      </c>
      <c r="AC29" s="898">
        <v>0.8472634258961157</v>
      </c>
      <c r="AD29" s="898">
        <v>0.8472634258961157</v>
      </c>
      <c r="AE29" s="898">
        <v>0.8472634258961157</v>
      </c>
      <c r="AF29" s="898">
        <v>0.8472634258961157</v>
      </c>
      <c r="AG29" s="898">
        <v>0.8472634258961157</v>
      </c>
      <c r="AH29" s="898">
        <v>0.8472634258961157</v>
      </c>
      <c r="AI29" s="898">
        <v>0.8472634258961157</v>
      </c>
      <c r="AJ29" s="898">
        <v>0.8472634258961157</v>
      </c>
      <c r="AK29" s="898">
        <v>0.8472634258961157</v>
      </c>
      <c r="AL29" s="898">
        <v>0.8472634258961157</v>
      </c>
      <c r="AM29" s="898">
        <v>0.8472634258961157</v>
      </c>
      <c r="AN29" s="898">
        <v>0.8472634258961157</v>
      </c>
      <c r="AO29" s="898">
        <v>0.8472634258961157</v>
      </c>
      <c r="AP29" s="898">
        <v>0.8472634258961157</v>
      </c>
      <c r="AQ29" s="898">
        <v>0.8472634258961157</v>
      </c>
      <c r="AR29" s="898">
        <v>0.8472634258961157</v>
      </c>
      <c r="AS29" s="898">
        <v>0.8472634258961157</v>
      </c>
      <c r="AT29" s="898">
        <v>0.8472634258961157</v>
      </c>
      <c r="AU29" s="898">
        <v>0.8472634258961157</v>
      </c>
      <c r="AV29" s="898">
        <v>0.8472634258961157</v>
      </c>
      <c r="AW29" s="898">
        <v>0.8472634258961157</v>
      </c>
      <c r="AX29" s="898">
        <v>0.8472634258961157</v>
      </c>
      <c r="AY29" s="898">
        <v>0.8472634258961157</v>
      </c>
      <c r="AZ29" s="898">
        <v>0.8472634258961157</v>
      </c>
      <c r="BA29" s="898">
        <v>0.8472634258961157</v>
      </c>
      <c r="BB29" s="898">
        <v>0.8472634258961157</v>
      </c>
      <c r="BC29" s="898">
        <v>0.8472634258961157</v>
      </c>
      <c r="BD29" s="898">
        <v>0.8472634258961157</v>
      </c>
      <c r="BE29" s="898">
        <v>0.8472634258961157</v>
      </c>
      <c r="BF29" s="898">
        <v>0.8472634258961157</v>
      </c>
      <c r="BG29" s="898">
        <v>0.8472634258961157</v>
      </c>
      <c r="BH29" s="898">
        <v>0.8472634258961157</v>
      </c>
      <c r="BI29" s="898">
        <v>0.8472634258961157</v>
      </c>
      <c r="BJ29" s="898">
        <v>0.8472634258961157</v>
      </c>
      <c r="BK29" s="898">
        <v>0.8472634258961157</v>
      </c>
      <c r="BL29" s="898">
        <v>0.8472634258961157</v>
      </c>
      <c r="BM29" s="898">
        <v>0.8472634258961157</v>
      </c>
      <c r="BN29" s="898">
        <v>0.8472634258961157</v>
      </c>
      <c r="BO29" s="898">
        <v>0.8472634258961157</v>
      </c>
      <c r="BP29" s="898">
        <v>0.8472634258961157</v>
      </c>
      <c r="BQ29" s="898">
        <v>0.8472634258961157</v>
      </c>
      <c r="BR29" s="898">
        <v>0.8472634258961157</v>
      </c>
      <c r="BS29" s="898">
        <v>0.8472634258961157</v>
      </c>
      <c r="BT29" s="898">
        <v>0.8472634258961157</v>
      </c>
      <c r="BU29" s="898">
        <v>0.8472634258961157</v>
      </c>
      <c r="BV29" s="898">
        <v>0.8472634258961157</v>
      </c>
      <c r="BW29" s="898">
        <v>0.8472634258961157</v>
      </c>
      <c r="BX29" s="898">
        <v>0.8472634258961157</v>
      </c>
      <c r="BY29" s="898">
        <v>0.8472634258961157</v>
      </c>
      <c r="BZ29" s="898">
        <v>0.8472634258961157</v>
      </c>
      <c r="CA29" s="898">
        <v>0.8472634258961157</v>
      </c>
      <c r="CB29" s="898">
        <v>0.8472634258961157</v>
      </c>
      <c r="CC29" s="898">
        <v>0.8472634258961157</v>
      </c>
      <c r="CD29" s="898">
        <v>0.8472634258961157</v>
      </c>
      <c r="CE29" s="898">
        <v>0.8472634258961157</v>
      </c>
      <c r="CF29" s="899">
        <v>0.8472634258961157</v>
      </c>
    </row>
    <row r="30" spans="1:84">
      <c r="A30" s="876"/>
      <c r="B30" s="900"/>
      <c r="C30" s="901"/>
      <c r="D30" s="902"/>
      <c r="E30" s="902"/>
      <c r="F30" s="903"/>
      <c r="G30" s="903"/>
      <c r="H30" s="903"/>
      <c r="I30" s="903"/>
      <c r="J30" s="903"/>
      <c r="K30" s="903"/>
      <c r="L30" s="902"/>
      <c r="M30" s="902"/>
      <c r="N30" s="902"/>
      <c r="O30" s="876"/>
      <c r="P30" s="904"/>
      <c r="Q30" s="905"/>
      <c r="R30" s="906"/>
      <c r="S30" s="905"/>
      <c r="T30" s="876"/>
      <c r="U30" s="876"/>
      <c r="V30" s="876"/>
      <c r="W30" s="876"/>
      <c r="X30" s="876"/>
      <c r="Y30" s="876"/>
      <c r="Z30" s="876"/>
      <c r="AA30" s="876"/>
      <c r="AB30" s="876"/>
      <c r="AC30" s="876"/>
      <c r="AD30" s="876"/>
      <c r="AE30" s="876"/>
      <c r="AF30" s="876"/>
      <c r="AG30" s="876"/>
      <c r="AH30" s="876"/>
      <c r="AI30" s="876"/>
      <c r="AJ30" s="876"/>
      <c r="AK30" s="876"/>
      <c r="AL30" s="876"/>
      <c r="AM30" s="876"/>
      <c r="AN30" s="876"/>
      <c r="AO30" s="876"/>
      <c r="AP30" s="876"/>
      <c r="AQ30" s="876"/>
      <c r="AR30" s="876"/>
      <c r="AS30" s="876"/>
      <c r="AT30" s="876"/>
      <c r="AU30" s="876"/>
      <c r="AV30" s="876"/>
      <c r="AW30" s="876"/>
      <c r="AX30" s="876"/>
      <c r="AY30" s="876"/>
      <c r="AZ30" s="876"/>
      <c r="BA30" s="876"/>
      <c r="BB30" s="876"/>
      <c r="BC30" s="876"/>
      <c r="BD30" s="876"/>
      <c r="BE30" s="876"/>
      <c r="BF30" s="876"/>
      <c r="BG30" s="876"/>
      <c r="BH30" s="876"/>
      <c r="BI30" s="876"/>
      <c r="BJ30" s="876"/>
      <c r="BK30" s="876"/>
      <c r="BL30" s="876"/>
      <c r="BM30" s="876"/>
      <c r="BN30" s="876"/>
      <c r="BO30" s="876"/>
      <c r="BP30" s="876"/>
      <c r="BQ30" s="876"/>
      <c r="BR30" s="876"/>
      <c r="BS30" s="876"/>
      <c r="BT30" s="876"/>
      <c r="BU30" s="876"/>
      <c r="BV30" s="876"/>
      <c r="BW30" s="876"/>
      <c r="BX30" s="876"/>
      <c r="BY30" s="876"/>
      <c r="BZ30" s="876"/>
      <c r="CA30" s="876"/>
      <c r="CB30" s="876"/>
      <c r="CC30" s="876"/>
      <c r="CD30" s="876"/>
      <c r="CE30" s="876"/>
      <c r="CF30" s="876"/>
    </row>
    <row r="31" spans="1:84" ht="13.8" thickBot="1">
      <c r="A31" s="876"/>
      <c r="B31" s="877" t="s">
        <v>849</v>
      </c>
      <c r="C31" s="876"/>
      <c r="D31" s="876"/>
      <c r="E31" s="876"/>
      <c r="F31" s="876"/>
      <c r="G31" s="876"/>
      <c r="H31" s="876"/>
      <c r="I31" s="907">
        <f>I19</f>
        <v>2015</v>
      </c>
      <c r="J31" s="876" t="s">
        <v>841</v>
      </c>
      <c r="K31" s="876"/>
      <c r="L31" s="876"/>
      <c r="M31" s="876"/>
      <c r="N31" s="876"/>
      <c r="O31" s="876"/>
      <c r="P31" s="876"/>
      <c r="Q31" s="876"/>
      <c r="R31" s="876"/>
      <c r="S31" s="876"/>
      <c r="T31" s="876"/>
      <c r="U31" s="876"/>
      <c r="V31" s="876"/>
      <c r="W31" s="876"/>
      <c r="X31" s="876"/>
      <c r="Y31" s="876"/>
      <c r="Z31" s="876"/>
      <c r="AA31" s="876"/>
      <c r="AB31" s="876"/>
      <c r="AC31" s="876"/>
      <c r="AD31" s="876"/>
      <c r="AE31" s="876"/>
      <c r="AF31" s="876"/>
      <c r="AG31" s="876"/>
      <c r="AH31" s="876"/>
      <c r="AI31" s="876"/>
      <c r="AJ31" s="876"/>
      <c r="AK31" s="876"/>
      <c r="AL31" s="876"/>
      <c r="AM31" s="876"/>
      <c r="AN31" s="876"/>
      <c r="AO31" s="876"/>
      <c r="AP31" s="876"/>
      <c r="AQ31" s="876"/>
      <c r="AR31" s="876"/>
      <c r="AS31" s="876"/>
      <c r="AT31" s="876"/>
      <c r="AU31" s="876"/>
      <c r="AV31" s="876"/>
      <c r="AW31" s="876"/>
      <c r="AX31" s="876"/>
      <c r="AY31" s="876"/>
      <c r="AZ31" s="876"/>
      <c r="BA31" s="876"/>
      <c r="BB31" s="876"/>
      <c r="BC31" s="876"/>
      <c r="BD31" s="876"/>
      <c r="BE31" s="876"/>
      <c r="BF31" s="876"/>
      <c r="BG31" s="876"/>
      <c r="BH31" s="876"/>
      <c r="BI31" s="876"/>
      <c r="BJ31" s="876"/>
      <c r="BK31" s="876"/>
      <c r="BL31" s="876"/>
      <c r="BM31" s="876"/>
      <c r="BN31" s="876"/>
      <c r="BO31" s="876"/>
      <c r="BP31" s="876"/>
      <c r="BQ31" s="876"/>
      <c r="BR31" s="876"/>
      <c r="BS31" s="876"/>
      <c r="BT31" s="876"/>
      <c r="BU31" s="876"/>
      <c r="BV31" s="876"/>
      <c r="BW31" s="876"/>
      <c r="BX31" s="876"/>
      <c r="BY31" s="876"/>
      <c r="BZ31" s="876"/>
      <c r="CA31" s="876"/>
      <c r="CB31" s="876"/>
      <c r="CC31" s="876"/>
      <c r="CD31" s="876"/>
      <c r="CE31" s="876"/>
      <c r="CF31" s="876"/>
    </row>
    <row r="32" spans="1:84">
      <c r="A32" s="876"/>
      <c r="B32" s="880" t="s">
        <v>842</v>
      </c>
      <c r="C32" s="881"/>
      <c r="D32" s="882">
        <v>2010</v>
      </c>
      <c r="E32" s="882">
        <v>2011</v>
      </c>
      <c r="F32" s="882">
        <v>2012</v>
      </c>
      <c r="G32" s="882">
        <v>2013</v>
      </c>
      <c r="H32" s="882">
        <v>2014</v>
      </c>
      <c r="I32" s="882">
        <v>2015</v>
      </c>
      <c r="J32" s="882">
        <v>2016</v>
      </c>
      <c r="K32" s="882">
        <v>2017</v>
      </c>
      <c r="L32" s="882">
        <v>2018</v>
      </c>
      <c r="M32" s="882">
        <v>2019</v>
      </c>
      <c r="N32" s="882">
        <v>2020</v>
      </c>
      <c r="O32" s="882">
        <v>2021</v>
      </c>
      <c r="P32" s="882">
        <v>2022</v>
      </c>
      <c r="Q32" s="882">
        <v>2023</v>
      </c>
      <c r="R32" s="882">
        <v>2024</v>
      </c>
      <c r="S32" s="882">
        <v>2025</v>
      </c>
      <c r="T32" s="882">
        <v>2026</v>
      </c>
      <c r="U32" s="882">
        <v>2027</v>
      </c>
      <c r="V32" s="882">
        <v>2028</v>
      </c>
      <c r="W32" s="882">
        <v>2029</v>
      </c>
      <c r="X32" s="882">
        <v>2030</v>
      </c>
      <c r="Y32" s="882">
        <v>2031</v>
      </c>
      <c r="Z32" s="882">
        <v>2032</v>
      </c>
      <c r="AA32" s="882">
        <v>2033</v>
      </c>
      <c r="AB32" s="882">
        <v>2034</v>
      </c>
      <c r="AC32" s="882">
        <v>2035</v>
      </c>
      <c r="AD32" s="882">
        <v>2036</v>
      </c>
      <c r="AE32" s="882">
        <v>2037</v>
      </c>
      <c r="AF32" s="882">
        <v>2038</v>
      </c>
      <c r="AG32" s="882">
        <v>2039</v>
      </c>
      <c r="AH32" s="882">
        <v>2040</v>
      </c>
      <c r="AI32" s="882">
        <v>2041</v>
      </c>
      <c r="AJ32" s="882">
        <v>2042</v>
      </c>
      <c r="AK32" s="882">
        <v>2043</v>
      </c>
      <c r="AL32" s="882">
        <v>2044</v>
      </c>
      <c r="AM32" s="882">
        <v>2045</v>
      </c>
      <c r="AN32" s="882">
        <v>2046</v>
      </c>
      <c r="AO32" s="882">
        <v>2047</v>
      </c>
      <c r="AP32" s="882">
        <v>2048</v>
      </c>
      <c r="AQ32" s="882">
        <v>2049</v>
      </c>
      <c r="AR32" s="882">
        <v>2050</v>
      </c>
      <c r="AS32" s="882">
        <v>2051</v>
      </c>
      <c r="AT32" s="882">
        <v>2052</v>
      </c>
      <c r="AU32" s="882">
        <v>2053</v>
      </c>
      <c r="AV32" s="882">
        <v>2054</v>
      </c>
      <c r="AW32" s="882">
        <v>2055</v>
      </c>
      <c r="AX32" s="882">
        <v>2056</v>
      </c>
      <c r="AY32" s="882">
        <v>2057</v>
      </c>
      <c r="AZ32" s="882">
        <v>2058</v>
      </c>
      <c r="BA32" s="882">
        <v>2059</v>
      </c>
      <c r="BB32" s="882">
        <v>2060</v>
      </c>
      <c r="BC32" s="882">
        <v>2061</v>
      </c>
      <c r="BD32" s="882">
        <v>2062</v>
      </c>
      <c r="BE32" s="882">
        <v>2063</v>
      </c>
      <c r="BF32" s="882">
        <v>2064</v>
      </c>
      <c r="BG32" s="882">
        <v>2065</v>
      </c>
      <c r="BH32" s="882">
        <v>2066</v>
      </c>
      <c r="BI32" s="882">
        <v>2067</v>
      </c>
      <c r="BJ32" s="882">
        <v>2068</v>
      </c>
      <c r="BK32" s="882">
        <v>2069</v>
      </c>
      <c r="BL32" s="882">
        <v>2070</v>
      </c>
      <c r="BM32" s="882">
        <v>2071</v>
      </c>
      <c r="BN32" s="882">
        <v>2072</v>
      </c>
      <c r="BO32" s="882">
        <v>2073</v>
      </c>
      <c r="BP32" s="882">
        <v>2074</v>
      </c>
      <c r="BQ32" s="882">
        <v>2075</v>
      </c>
      <c r="BR32" s="882">
        <v>2076</v>
      </c>
      <c r="BS32" s="882">
        <v>2077</v>
      </c>
      <c r="BT32" s="882">
        <v>2078</v>
      </c>
      <c r="BU32" s="882">
        <v>2079</v>
      </c>
      <c r="BV32" s="882">
        <v>2080</v>
      </c>
      <c r="BW32" s="882">
        <v>2081</v>
      </c>
      <c r="BX32" s="882">
        <v>2082</v>
      </c>
      <c r="BY32" s="882">
        <v>2083</v>
      </c>
      <c r="BZ32" s="882">
        <v>2084</v>
      </c>
      <c r="CA32" s="882">
        <v>2085</v>
      </c>
      <c r="CB32" s="882">
        <v>2086</v>
      </c>
      <c r="CC32" s="882">
        <v>2087</v>
      </c>
      <c r="CD32" s="882">
        <v>2088</v>
      </c>
      <c r="CE32" s="882">
        <v>2089</v>
      </c>
      <c r="CF32" s="883">
        <v>2090</v>
      </c>
    </row>
    <row r="33" spans="1:84">
      <c r="A33" s="876"/>
      <c r="B33" s="884" t="str">
        <f>CONCATENATE("Drivmiddel (", $D$122,"-priser)")</f>
        <v>Drivmiddel (-priser)</v>
      </c>
      <c r="C33" s="885" t="s">
        <v>843</v>
      </c>
      <c r="D33" s="886" t="e">
        <f t="shared" ref="D33" si="162">D3/#REF!*#REF!</f>
        <v>#REF!</v>
      </c>
      <c r="E33" s="886" t="e">
        <f t="shared" ref="E33" si="163">E3/#REF!*#REF!</f>
        <v>#REF!</v>
      </c>
      <c r="F33" s="886" t="e">
        <f t="shared" ref="F33" si="164">F3/#REF!*#REF!</f>
        <v>#REF!</v>
      </c>
      <c r="G33" s="886" t="e">
        <f t="shared" ref="G33" si="165">G3/#REF!*#REF!</f>
        <v>#REF!</v>
      </c>
      <c r="H33" s="886" t="e">
        <f t="shared" ref="H33" si="166">H3/#REF!*#REF!</f>
        <v>#REF!</v>
      </c>
      <c r="I33" s="886" t="e">
        <f t="shared" ref="I33" si="167">I3/#REF!*#REF!</f>
        <v>#REF!</v>
      </c>
      <c r="J33" s="886" t="e">
        <f t="shared" ref="J33" si="168">J3/#REF!*#REF!</f>
        <v>#REF!</v>
      </c>
      <c r="K33" s="886" t="e">
        <f t="shared" ref="K33" si="169">K3/#REF!*#REF!</f>
        <v>#REF!</v>
      </c>
      <c r="L33" s="886" t="e">
        <f t="shared" ref="L33" si="170">L3/#REF!*#REF!</f>
        <v>#REF!</v>
      </c>
      <c r="M33" s="886" t="e">
        <f t="shared" ref="M33" si="171">M3/#REF!*#REF!</f>
        <v>#REF!</v>
      </c>
      <c r="N33" s="886" t="e">
        <f t="shared" ref="N33" si="172">N3/#REF!*#REF!</f>
        <v>#REF!</v>
      </c>
      <c r="O33" s="886" t="e">
        <f t="shared" ref="O33" si="173">O3/#REF!*#REF!</f>
        <v>#REF!</v>
      </c>
      <c r="P33" s="886" t="e">
        <f t="shared" ref="P33" si="174">P3/#REF!*#REF!</f>
        <v>#REF!</v>
      </c>
      <c r="Q33" s="886" t="e">
        <f t="shared" ref="Q33" si="175">Q3/#REF!*#REF!</f>
        <v>#REF!</v>
      </c>
      <c r="R33" s="886" t="e">
        <f t="shared" ref="R33" si="176">R3/#REF!*#REF!</f>
        <v>#REF!</v>
      </c>
      <c r="S33" s="886" t="e">
        <f t="shared" ref="S33" si="177">S3/#REF!*#REF!</f>
        <v>#REF!</v>
      </c>
      <c r="T33" s="886" t="e">
        <f t="shared" ref="T33" si="178">T3/#REF!*#REF!</f>
        <v>#REF!</v>
      </c>
      <c r="U33" s="886" t="e">
        <f t="shared" ref="U33" si="179">U3/#REF!*#REF!</f>
        <v>#REF!</v>
      </c>
      <c r="V33" s="886" t="e">
        <f t="shared" ref="V33" si="180">V3/#REF!*#REF!</f>
        <v>#REF!</v>
      </c>
      <c r="W33" s="886" t="e">
        <f t="shared" ref="W33" si="181">W3/#REF!*#REF!</f>
        <v>#REF!</v>
      </c>
      <c r="X33" s="886" t="e">
        <f t="shared" ref="X33" si="182">X3/#REF!*#REF!</f>
        <v>#REF!</v>
      </c>
      <c r="Y33" s="886" t="e">
        <f t="shared" ref="Y33" si="183">Y3/#REF!*#REF!</f>
        <v>#REF!</v>
      </c>
      <c r="Z33" s="886" t="e">
        <f t="shared" ref="Z33" si="184">Z3/#REF!*#REF!</f>
        <v>#REF!</v>
      </c>
      <c r="AA33" s="886" t="e">
        <f t="shared" ref="AA33" si="185">AA3/#REF!*#REF!</f>
        <v>#REF!</v>
      </c>
      <c r="AB33" s="886" t="e">
        <f t="shared" ref="AB33" si="186">AB3/#REF!*#REF!</f>
        <v>#REF!</v>
      </c>
      <c r="AC33" s="886" t="e">
        <f t="shared" ref="AC33" si="187">AC3/#REF!*#REF!</f>
        <v>#REF!</v>
      </c>
      <c r="AD33" s="886" t="e">
        <f t="shared" ref="AD33" si="188">AD3/#REF!*#REF!</f>
        <v>#REF!</v>
      </c>
      <c r="AE33" s="886" t="e">
        <f t="shared" ref="AE33" si="189">AE3/#REF!*#REF!</f>
        <v>#REF!</v>
      </c>
      <c r="AF33" s="886" t="e">
        <f t="shared" ref="AF33" si="190">AF3/#REF!*#REF!</f>
        <v>#REF!</v>
      </c>
      <c r="AG33" s="886" t="e">
        <f t="shared" ref="AG33" si="191">AG3/#REF!*#REF!</f>
        <v>#REF!</v>
      </c>
      <c r="AH33" s="886" t="e">
        <f t="shared" ref="AH33" si="192">AH3/#REF!*#REF!</f>
        <v>#REF!</v>
      </c>
      <c r="AI33" s="886" t="e">
        <f t="shared" ref="AI33" si="193">AI3/#REF!*#REF!</f>
        <v>#REF!</v>
      </c>
      <c r="AJ33" s="886" t="e">
        <f t="shared" ref="AJ33" si="194">AJ3/#REF!*#REF!</f>
        <v>#REF!</v>
      </c>
      <c r="AK33" s="886" t="e">
        <f t="shared" ref="AK33" si="195">AK3/#REF!*#REF!</f>
        <v>#REF!</v>
      </c>
      <c r="AL33" s="886" t="e">
        <f t="shared" ref="AL33" si="196">AL3/#REF!*#REF!</f>
        <v>#REF!</v>
      </c>
      <c r="AM33" s="886" t="e">
        <f t="shared" ref="AM33" si="197">AM3/#REF!*#REF!</f>
        <v>#REF!</v>
      </c>
      <c r="AN33" s="886" t="e">
        <f t="shared" ref="AN33" si="198">AN3/#REF!*#REF!</f>
        <v>#REF!</v>
      </c>
      <c r="AO33" s="886" t="e">
        <f t="shared" ref="AO33" si="199">AO3/#REF!*#REF!</f>
        <v>#REF!</v>
      </c>
      <c r="AP33" s="886" t="e">
        <f t="shared" ref="AP33" si="200">AP3/#REF!*#REF!</f>
        <v>#REF!</v>
      </c>
      <c r="AQ33" s="886" t="e">
        <f t="shared" ref="AQ33" si="201">AQ3/#REF!*#REF!</f>
        <v>#REF!</v>
      </c>
      <c r="AR33" s="886" t="e">
        <f t="shared" ref="AR33" si="202">AR3/#REF!*#REF!</f>
        <v>#REF!</v>
      </c>
      <c r="AS33" s="886" t="e">
        <f t="shared" ref="AS33" si="203">AS3/#REF!*#REF!</f>
        <v>#REF!</v>
      </c>
      <c r="AT33" s="886" t="e">
        <f t="shared" ref="AT33" si="204">AT3/#REF!*#REF!</f>
        <v>#REF!</v>
      </c>
      <c r="AU33" s="886" t="e">
        <f t="shared" ref="AU33" si="205">AU3/#REF!*#REF!</f>
        <v>#REF!</v>
      </c>
      <c r="AV33" s="886" t="e">
        <f t="shared" ref="AV33" si="206">AV3/#REF!*#REF!</f>
        <v>#REF!</v>
      </c>
      <c r="AW33" s="886" t="e">
        <f t="shared" ref="AW33" si="207">AW3/#REF!*#REF!</f>
        <v>#REF!</v>
      </c>
      <c r="AX33" s="886" t="e">
        <f t="shared" ref="AX33" si="208">AX3/#REF!*#REF!</f>
        <v>#REF!</v>
      </c>
      <c r="AY33" s="886" t="e">
        <f t="shared" ref="AY33" si="209">AY3/#REF!*#REF!</f>
        <v>#REF!</v>
      </c>
      <c r="AZ33" s="886" t="e">
        <f t="shared" ref="AZ33" si="210">AZ3/#REF!*#REF!</f>
        <v>#REF!</v>
      </c>
      <c r="BA33" s="886" t="e">
        <f t="shared" ref="BA33" si="211">BA3/#REF!*#REF!</f>
        <v>#REF!</v>
      </c>
      <c r="BB33" s="886" t="e">
        <f t="shared" ref="BB33" si="212">BB3/#REF!*#REF!</f>
        <v>#REF!</v>
      </c>
      <c r="BC33" s="886" t="e">
        <f t="shared" ref="BC33" si="213">BC3/#REF!*#REF!</f>
        <v>#REF!</v>
      </c>
      <c r="BD33" s="886" t="e">
        <f t="shared" ref="BD33" si="214">BD3/#REF!*#REF!</f>
        <v>#REF!</v>
      </c>
      <c r="BE33" s="886" t="e">
        <f t="shared" ref="BE33" si="215">BE3/#REF!*#REF!</f>
        <v>#REF!</v>
      </c>
      <c r="BF33" s="886" t="e">
        <f t="shared" ref="BF33" si="216">BF3/#REF!*#REF!</f>
        <v>#REF!</v>
      </c>
      <c r="BG33" s="886" t="e">
        <f t="shared" ref="BG33" si="217">BG3/#REF!*#REF!</f>
        <v>#REF!</v>
      </c>
      <c r="BH33" s="886" t="e">
        <f t="shared" ref="BH33" si="218">BH3/#REF!*#REF!</f>
        <v>#REF!</v>
      </c>
      <c r="BI33" s="886" t="e">
        <f t="shared" ref="BI33" si="219">BI3/#REF!*#REF!</f>
        <v>#REF!</v>
      </c>
      <c r="BJ33" s="886" t="e">
        <f t="shared" ref="BJ33" si="220">BJ3/#REF!*#REF!</f>
        <v>#REF!</v>
      </c>
      <c r="BK33" s="886" t="e">
        <f t="shared" ref="BK33" si="221">BK3/#REF!*#REF!</f>
        <v>#REF!</v>
      </c>
      <c r="BL33" s="886" t="e">
        <f t="shared" ref="BL33" si="222">BL3/#REF!*#REF!</f>
        <v>#REF!</v>
      </c>
      <c r="BM33" s="886" t="e">
        <f t="shared" ref="BM33" si="223">BM3/#REF!*#REF!</f>
        <v>#REF!</v>
      </c>
      <c r="BN33" s="886" t="e">
        <f t="shared" ref="BN33" si="224">BN3/#REF!*#REF!</f>
        <v>#REF!</v>
      </c>
      <c r="BO33" s="886" t="e">
        <f t="shared" ref="BO33" si="225">BO3/#REF!*#REF!</f>
        <v>#REF!</v>
      </c>
      <c r="BP33" s="886" t="e">
        <f t="shared" ref="BP33" si="226">BP3/#REF!*#REF!</f>
        <v>#REF!</v>
      </c>
      <c r="BQ33" s="886" t="e">
        <f t="shared" ref="BQ33" si="227">BQ3/#REF!*#REF!</f>
        <v>#REF!</v>
      </c>
      <c r="BR33" s="886" t="e">
        <f t="shared" ref="BR33" si="228">BR3/#REF!*#REF!</f>
        <v>#REF!</v>
      </c>
      <c r="BS33" s="886" t="e">
        <f t="shared" ref="BS33" si="229">BS3/#REF!*#REF!</f>
        <v>#REF!</v>
      </c>
      <c r="BT33" s="886" t="e">
        <f t="shared" ref="BT33" si="230">BT3/#REF!*#REF!</f>
        <v>#REF!</v>
      </c>
      <c r="BU33" s="886" t="e">
        <f t="shared" ref="BU33" si="231">BU3/#REF!*#REF!</f>
        <v>#REF!</v>
      </c>
      <c r="BV33" s="886" t="e">
        <f t="shared" ref="BV33" si="232">BV3/#REF!*#REF!</f>
        <v>#REF!</v>
      </c>
      <c r="BW33" s="886" t="e">
        <f t="shared" ref="BW33" si="233">BW3/#REF!*#REF!</f>
        <v>#REF!</v>
      </c>
      <c r="BX33" s="886" t="e">
        <f t="shared" ref="BX33" si="234">BX3/#REF!*#REF!</f>
        <v>#REF!</v>
      </c>
      <c r="BY33" s="886" t="e">
        <f t="shared" ref="BY33" si="235">BY3/#REF!*#REF!</f>
        <v>#REF!</v>
      </c>
      <c r="BZ33" s="886" t="e">
        <f t="shared" ref="BZ33" si="236">BZ3/#REF!*#REF!</f>
        <v>#REF!</v>
      </c>
      <c r="CA33" s="886" t="e">
        <f t="shared" ref="CA33" si="237">CA3/#REF!*#REF!</f>
        <v>#REF!</v>
      </c>
      <c r="CB33" s="886" t="e">
        <f t="shared" ref="CB33" si="238">CB3/#REF!*#REF!</f>
        <v>#REF!</v>
      </c>
      <c r="CC33" s="886" t="e">
        <f t="shared" ref="CC33" si="239">CC3/#REF!*#REF!</f>
        <v>#REF!</v>
      </c>
      <c r="CD33" s="886" t="e">
        <f t="shared" ref="CD33" si="240">CD3/#REF!*#REF!</f>
        <v>#REF!</v>
      </c>
      <c r="CE33" s="886" t="e">
        <f t="shared" ref="CE33" si="241">CE3/#REF!*#REF!</f>
        <v>#REF!</v>
      </c>
      <c r="CF33" s="887" t="e">
        <f t="shared" ref="CF33" si="242">CF3/#REF!*#REF!</f>
        <v>#REF!</v>
      </c>
    </row>
    <row r="34" spans="1:84">
      <c r="A34" s="876"/>
      <c r="B34" s="884" t="s">
        <v>844</v>
      </c>
      <c r="C34" s="885" t="s">
        <v>843</v>
      </c>
      <c r="D34" s="888">
        <v>6.6368984891397836E-2</v>
      </c>
      <c r="E34" s="888">
        <v>6.6368984891397836E-2</v>
      </c>
      <c r="F34" s="888">
        <v>6.6368984891397836E-2</v>
      </c>
      <c r="G34" s="888">
        <v>6.6368984891397836E-2</v>
      </c>
      <c r="H34" s="888">
        <v>6.6368984891397836E-2</v>
      </c>
      <c r="I34" s="888">
        <v>6.6368984891397836E-2</v>
      </c>
      <c r="J34" s="888">
        <v>6.6368984891397836E-2</v>
      </c>
      <c r="K34" s="888">
        <v>6.6368984891397836E-2</v>
      </c>
      <c r="L34" s="888">
        <v>6.6368984891397836E-2</v>
      </c>
      <c r="M34" s="888">
        <v>6.6368984891397836E-2</v>
      </c>
      <c r="N34" s="888">
        <v>6.6368984891397836E-2</v>
      </c>
      <c r="O34" s="888">
        <v>6.6368984891397836E-2</v>
      </c>
      <c r="P34" s="888">
        <v>6.6368984891397836E-2</v>
      </c>
      <c r="Q34" s="888">
        <v>6.6368984891397836E-2</v>
      </c>
      <c r="R34" s="888">
        <v>6.6368984891397836E-2</v>
      </c>
      <c r="S34" s="888">
        <v>6.6368984891397836E-2</v>
      </c>
      <c r="T34" s="888">
        <v>6.6368984891397836E-2</v>
      </c>
      <c r="U34" s="888">
        <v>6.6368984891397836E-2</v>
      </c>
      <c r="V34" s="888">
        <v>6.6368984891397836E-2</v>
      </c>
      <c r="W34" s="888">
        <v>6.6368984891397836E-2</v>
      </c>
      <c r="X34" s="888">
        <v>6.6368984891397836E-2</v>
      </c>
      <c r="Y34" s="888">
        <v>6.6368984891397836E-2</v>
      </c>
      <c r="Z34" s="888">
        <v>6.6368984891397836E-2</v>
      </c>
      <c r="AA34" s="888">
        <v>6.6368984891397836E-2</v>
      </c>
      <c r="AB34" s="888">
        <v>6.6368984891397836E-2</v>
      </c>
      <c r="AC34" s="888">
        <v>6.6368984891397836E-2</v>
      </c>
      <c r="AD34" s="888">
        <v>6.6368984891397836E-2</v>
      </c>
      <c r="AE34" s="888">
        <v>6.6368984891397836E-2</v>
      </c>
      <c r="AF34" s="888">
        <v>6.6368984891397836E-2</v>
      </c>
      <c r="AG34" s="888">
        <v>6.6368984891397836E-2</v>
      </c>
      <c r="AH34" s="888">
        <v>6.6368984891397836E-2</v>
      </c>
      <c r="AI34" s="888">
        <v>6.6368984891397836E-2</v>
      </c>
      <c r="AJ34" s="888">
        <v>6.6368984891397836E-2</v>
      </c>
      <c r="AK34" s="888">
        <v>6.6368984891397836E-2</v>
      </c>
      <c r="AL34" s="888">
        <v>6.6368984891397836E-2</v>
      </c>
      <c r="AM34" s="888">
        <v>6.6368984891397836E-2</v>
      </c>
      <c r="AN34" s="888">
        <v>6.6368984891397836E-2</v>
      </c>
      <c r="AO34" s="888">
        <v>6.6368984891397836E-2</v>
      </c>
      <c r="AP34" s="888">
        <v>6.6368984891397836E-2</v>
      </c>
      <c r="AQ34" s="888">
        <v>6.6368984891397836E-2</v>
      </c>
      <c r="AR34" s="888">
        <v>6.6368984891397836E-2</v>
      </c>
      <c r="AS34" s="888">
        <v>6.6368984891397836E-2</v>
      </c>
      <c r="AT34" s="888">
        <v>6.6368984891397836E-2</v>
      </c>
      <c r="AU34" s="888">
        <v>6.6368984891397836E-2</v>
      </c>
      <c r="AV34" s="888">
        <v>6.6368984891397836E-2</v>
      </c>
      <c r="AW34" s="888">
        <v>6.6368984891397836E-2</v>
      </c>
      <c r="AX34" s="888">
        <v>6.6368984891397836E-2</v>
      </c>
      <c r="AY34" s="888">
        <v>6.6368984891397836E-2</v>
      </c>
      <c r="AZ34" s="888">
        <v>6.6368984891397836E-2</v>
      </c>
      <c r="BA34" s="888">
        <v>6.6368984891397836E-2</v>
      </c>
      <c r="BB34" s="888">
        <v>6.6368984891397836E-2</v>
      </c>
      <c r="BC34" s="888">
        <v>6.6368984891397836E-2</v>
      </c>
      <c r="BD34" s="888">
        <v>6.6368984891397836E-2</v>
      </c>
      <c r="BE34" s="888">
        <v>6.6368984891397836E-2</v>
      </c>
      <c r="BF34" s="888">
        <v>6.6368984891397836E-2</v>
      </c>
      <c r="BG34" s="888">
        <v>6.6368984891397836E-2</v>
      </c>
      <c r="BH34" s="888">
        <v>6.6368984891397836E-2</v>
      </c>
      <c r="BI34" s="888">
        <v>6.6368984891397836E-2</v>
      </c>
      <c r="BJ34" s="888">
        <v>6.6368984891397836E-2</v>
      </c>
      <c r="BK34" s="888">
        <v>6.6368984891397836E-2</v>
      </c>
      <c r="BL34" s="888">
        <v>6.6368984891397836E-2</v>
      </c>
      <c r="BM34" s="888">
        <v>6.6368984891397836E-2</v>
      </c>
      <c r="BN34" s="888">
        <v>6.6368984891397836E-2</v>
      </c>
      <c r="BO34" s="888">
        <v>6.6368984891397836E-2</v>
      </c>
      <c r="BP34" s="888">
        <v>6.6368984891397836E-2</v>
      </c>
      <c r="BQ34" s="888">
        <v>6.6368984891397836E-2</v>
      </c>
      <c r="BR34" s="888">
        <v>6.6368984891397836E-2</v>
      </c>
      <c r="BS34" s="888">
        <v>6.6368984891397836E-2</v>
      </c>
      <c r="BT34" s="888">
        <v>6.6368984891397836E-2</v>
      </c>
      <c r="BU34" s="888">
        <v>6.6368984891397836E-2</v>
      </c>
      <c r="BV34" s="888">
        <v>6.6368984891397836E-2</v>
      </c>
      <c r="BW34" s="888">
        <v>6.6368984891397836E-2</v>
      </c>
      <c r="BX34" s="888">
        <v>6.6368984891397836E-2</v>
      </c>
      <c r="BY34" s="888">
        <v>6.6368984891397836E-2</v>
      </c>
      <c r="BZ34" s="888">
        <v>6.6368984891397836E-2</v>
      </c>
      <c r="CA34" s="888">
        <v>6.6368984891397836E-2</v>
      </c>
      <c r="CB34" s="888">
        <v>6.6368984891397836E-2</v>
      </c>
      <c r="CC34" s="888">
        <v>6.6368984891397836E-2</v>
      </c>
      <c r="CD34" s="888">
        <v>6.6368984891397836E-2</v>
      </c>
      <c r="CE34" s="888">
        <v>6.6368984891397836E-2</v>
      </c>
      <c r="CF34" s="889">
        <v>6.6368984891397836E-2</v>
      </c>
    </row>
    <row r="35" spans="1:84">
      <c r="A35" s="876"/>
      <c r="B35" s="884" t="s">
        <v>845</v>
      </c>
      <c r="C35" s="885" t="s">
        <v>843</v>
      </c>
      <c r="D35" s="888">
        <v>0.17565965101840542</v>
      </c>
      <c r="E35" s="888">
        <v>0.17565965101840542</v>
      </c>
      <c r="F35" s="888">
        <v>0.17565965101840542</v>
      </c>
      <c r="G35" s="888">
        <v>0.17565965101840542</v>
      </c>
      <c r="H35" s="888">
        <v>0.17565965101840542</v>
      </c>
      <c r="I35" s="888">
        <v>0.17565965101840542</v>
      </c>
      <c r="J35" s="888">
        <v>0.17565965101840542</v>
      </c>
      <c r="K35" s="888">
        <v>0.17565965101840542</v>
      </c>
      <c r="L35" s="888">
        <v>0.17565965101840542</v>
      </c>
      <c r="M35" s="888">
        <v>0.17565965101840542</v>
      </c>
      <c r="N35" s="888">
        <v>0.17565965101840542</v>
      </c>
      <c r="O35" s="888">
        <v>0.17565965101840542</v>
      </c>
      <c r="P35" s="888">
        <v>0.17565965101840542</v>
      </c>
      <c r="Q35" s="888">
        <v>0.17565965101840542</v>
      </c>
      <c r="R35" s="888">
        <v>0.17565965101840542</v>
      </c>
      <c r="S35" s="888">
        <v>0.17565965101840542</v>
      </c>
      <c r="T35" s="888">
        <v>0.17565965101840542</v>
      </c>
      <c r="U35" s="888">
        <v>0.17565965101840542</v>
      </c>
      <c r="V35" s="888">
        <v>0.17565965101840542</v>
      </c>
      <c r="W35" s="888">
        <v>0.17565965101840542</v>
      </c>
      <c r="X35" s="888">
        <v>0.17565965101840542</v>
      </c>
      <c r="Y35" s="888">
        <v>0.17565965101840542</v>
      </c>
      <c r="Z35" s="888">
        <v>0.17565965101840542</v>
      </c>
      <c r="AA35" s="888">
        <v>0.17565965101840542</v>
      </c>
      <c r="AB35" s="888">
        <v>0.17565965101840542</v>
      </c>
      <c r="AC35" s="888">
        <v>0.17565965101840542</v>
      </c>
      <c r="AD35" s="888">
        <v>0.17565965101840542</v>
      </c>
      <c r="AE35" s="888">
        <v>0.17565965101840542</v>
      </c>
      <c r="AF35" s="888">
        <v>0.17565965101840542</v>
      </c>
      <c r="AG35" s="888">
        <v>0.17565965101840542</v>
      </c>
      <c r="AH35" s="888">
        <v>0.17565965101840542</v>
      </c>
      <c r="AI35" s="888">
        <v>0.17565965101840542</v>
      </c>
      <c r="AJ35" s="888">
        <v>0.17565965101840542</v>
      </c>
      <c r="AK35" s="888">
        <v>0.17565965101840542</v>
      </c>
      <c r="AL35" s="888">
        <v>0.17565965101840542</v>
      </c>
      <c r="AM35" s="888">
        <v>0.17565965101840542</v>
      </c>
      <c r="AN35" s="888">
        <v>0.17565965101840542</v>
      </c>
      <c r="AO35" s="888">
        <v>0.17565965101840542</v>
      </c>
      <c r="AP35" s="888">
        <v>0.17565965101840542</v>
      </c>
      <c r="AQ35" s="888">
        <v>0.17565965101840542</v>
      </c>
      <c r="AR35" s="888">
        <v>0.17565965101840542</v>
      </c>
      <c r="AS35" s="888">
        <v>0.17565965101840542</v>
      </c>
      <c r="AT35" s="888">
        <v>0.17565965101840542</v>
      </c>
      <c r="AU35" s="888">
        <v>0.17565965101840542</v>
      </c>
      <c r="AV35" s="888">
        <v>0.17565965101840542</v>
      </c>
      <c r="AW35" s="888">
        <v>0.17565965101840542</v>
      </c>
      <c r="AX35" s="888">
        <v>0.17565965101840542</v>
      </c>
      <c r="AY35" s="888">
        <v>0.17565965101840542</v>
      </c>
      <c r="AZ35" s="888">
        <v>0.17565965101840542</v>
      </c>
      <c r="BA35" s="888">
        <v>0.17565965101840542</v>
      </c>
      <c r="BB35" s="888">
        <v>0.17565965101840542</v>
      </c>
      <c r="BC35" s="888">
        <v>0.17565965101840542</v>
      </c>
      <c r="BD35" s="888">
        <v>0.17565965101840542</v>
      </c>
      <c r="BE35" s="888">
        <v>0.17565965101840542</v>
      </c>
      <c r="BF35" s="888">
        <v>0.17565965101840542</v>
      </c>
      <c r="BG35" s="888">
        <v>0.17565965101840542</v>
      </c>
      <c r="BH35" s="888">
        <v>0.17565965101840542</v>
      </c>
      <c r="BI35" s="888">
        <v>0.17565965101840542</v>
      </c>
      <c r="BJ35" s="888">
        <v>0.17565965101840542</v>
      </c>
      <c r="BK35" s="888">
        <v>0.17565965101840542</v>
      </c>
      <c r="BL35" s="888">
        <v>0.17565965101840542</v>
      </c>
      <c r="BM35" s="888">
        <v>0.17565965101840542</v>
      </c>
      <c r="BN35" s="888">
        <v>0.17565965101840542</v>
      </c>
      <c r="BO35" s="888">
        <v>0.17565965101840542</v>
      </c>
      <c r="BP35" s="888">
        <v>0.17565965101840542</v>
      </c>
      <c r="BQ35" s="888">
        <v>0.17565965101840542</v>
      </c>
      <c r="BR35" s="888">
        <v>0.17565965101840542</v>
      </c>
      <c r="BS35" s="888">
        <v>0.17565965101840542</v>
      </c>
      <c r="BT35" s="888">
        <v>0.17565965101840542</v>
      </c>
      <c r="BU35" s="888">
        <v>0.17565965101840542</v>
      </c>
      <c r="BV35" s="888">
        <v>0.17565965101840542</v>
      </c>
      <c r="BW35" s="888">
        <v>0.17565965101840542</v>
      </c>
      <c r="BX35" s="888">
        <v>0.17565965101840542</v>
      </c>
      <c r="BY35" s="888">
        <v>0.17565965101840542</v>
      </c>
      <c r="BZ35" s="888">
        <v>0.17565965101840542</v>
      </c>
      <c r="CA35" s="888">
        <v>0.17565965101840542</v>
      </c>
      <c r="CB35" s="888">
        <v>0.17565965101840542</v>
      </c>
      <c r="CC35" s="888">
        <v>0.17565965101840542</v>
      </c>
      <c r="CD35" s="888">
        <v>0.17565965101840542</v>
      </c>
      <c r="CE35" s="888">
        <v>0.17565965101840542</v>
      </c>
      <c r="CF35" s="889">
        <v>0.17565965101840542</v>
      </c>
    </row>
    <row r="36" spans="1:84">
      <c r="A36" s="876"/>
      <c r="B36" s="890" t="s">
        <v>846</v>
      </c>
      <c r="C36" s="891" t="s">
        <v>843</v>
      </c>
      <c r="D36" s="892">
        <v>5.6348825030477501E-2</v>
      </c>
      <c r="E36" s="893">
        <v>5.6348825030477501E-2</v>
      </c>
      <c r="F36" s="893">
        <v>5.6348825030477501E-2</v>
      </c>
      <c r="G36" s="893">
        <v>5.6348825030477501E-2</v>
      </c>
      <c r="H36" s="893">
        <v>5.6348825030477501E-2</v>
      </c>
      <c r="I36" s="893">
        <v>5.6348825030477501E-2</v>
      </c>
      <c r="J36" s="893">
        <v>5.6348825030477501E-2</v>
      </c>
      <c r="K36" s="893">
        <v>5.6348825030477501E-2</v>
      </c>
      <c r="L36" s="893">
        <v>5.6348825030477501E-2</v>
      </c>
      <c r="M36" s="893">
        <v>5.6348825030477501E-2</v>
      </c>
      <c r="N36" s="893">
        <v>5.6348825030477501E-2</v>
      </c>
      <c r="O36" s="893">
        <v>5.6348825030477501E-2</v>
      </c>
      <c r="P36" s="893">
        <v>5.6348825030477501E-2</v>
      </c>
      <c r="Q36" s="893">
        <v>5.6348825030477501E-2</v>
      </c>
      <c r="R36" s="893">
        <v>5.6348825030477501E-2</v>
      </c>
      <c r="S36" s="893">
        <v>5.6348825030477501E-2</v>
      </c>
      <c r="T36" s="893">
        <v>5.6348825030477501E-2</v>
      </c>
      <c r="U36" s="893">
        <v>5.6348825030477501E-2</v>
      </c>
      <c r="V36" s="893">
        <v>5.6348825030477501E-2</v>
      </c>
      <c r="W36" s="893">
        <v>5.6348825030477501E-2</v>
      </c>
      <c r="X36" s="893">
        <v>5.6348825030477501E-2</v>
      </c>
      <c r="Y36" s="893">
        <v>5.6348825030477501E-2</v>
      </c>
      <c r="Z36" s="893">
        <v>5.6348825030477501E-2</v>
      </c>
      <c r="AA36" s="893">
        <v>5.6348825030477501E-2</v>
      </c>
      <c r="AB36" s="893">
        <v>5.6348825030477501E-2</v>
      </c>
      <c r="AC36" s="893">
        <v>5.6348825030477501E-2</v>
      </c>
      <c r="AD36" s="893">
        <v>5.6348825030477501E-2</v>
      </c>
      <c r="AE36" s="893">
        <v>5.6348825030477501E-2</v>
      </c>
      <c r="AF36" s="893">
        <v>5.6348825030477501E-2</v>
      </c>
      <c r="AG36" s="893">
        <v>5.6348825030477501E-2</v>
      </c>
      <c r="AH36" s="893">
        <v>5.6348825030477501E-2</v>
      </c>
      <c r="AI36" s="893">
        <v>5.6348825030477501E-2</v>
      </c>
      <c r="AJ36" s="893">
        <v>5.6348825030477501E-2</v>
      </c>
      <c r="AK36" s="893">
        <v>5.6348825030477501E-2</v>
      </c>
      <c r="AL36" s="893">
        <v>5.6348825030477501E-2</v>
      </c>
      <c r="AM36" s="893">
        <v>5.6348825030477501E-2</v>
      </c>
      <c r="AN36" s="893">
        <v>5.6348825030477501E-2</v>
      </c>
      <c r="AO36" s="893">
        <v>5.6348825030477501E-2</v>
      </c>
      <c r="AP36" s="893">
        <v>5.6348825030477501E-2</v>
      </c>
      <c r="AQ36" s="893">
        <v>5.6348825030477501E-2</v>
      </c>
      <c r="AR36" s="893">
        <v>5.6348825030477501E-2</v>
      </c>
      <c r="AS36" s="893">
        <v>5.6348825030477501E-2</v>
      </c>
      <c r="AT36" s="893">
        <v>5.6348825030477501E-2</v>
      </c>
      <c r="AU36" s="893">
        <v>5.6348825030477501E-2</v>
      </c>
      <c r="AV36" s="893">
        <v>5.6348825030477501E-2</v>
      </c>
      <c r="AW36" s="893">
        <v>5.6348825030477501E-2</v>
      </c>
      <c r="AX36" s="893">
        <v>5.6348825030477501E-2</v>
      </c>
      <c r="AY36" s="893">
        <v>5.6348825030477501E-2</v>
      </c>
      <c r="AZ36" s="893">
        <v>5.6348825030477501E-2</v>
      </c>
      <c r="BA36" s="893">
        <v>5.6348825030477501E-2</v>
      </c>
      <c r="BB36" s="893">
        <v>5.6348825030477501E-2</v>
      </c>
      <c r="BC36" s="893">
        <v>5.6348825030477501E-2</v>
      </c>
      <c r="BD36" s="893">
        <v>5.6348825030477501E-2</v>
      </c>
      <c r="BE36" s="893">
        <v>5.6348825030477501E-2</v>
      </c>
      <c r="BF36" s="893">
        <v>5.6348825030477501E-2</v>
      </c>
      <c r="BG36" s="893">
        <v>5.6348825030477501E-2</v>
      </c>
      <c r="BH36" s="893">
        <v>5.6348825030477501E-2</v>
      </c>
      <c r="BI36" s="893">
        <v>5.6348825030477501E-2</v>
      </c>
      <c r="BJ36" s="893">
        <v>5.6348825030477501E-2</v>
      </c>
      <c r="BK36" s="893">
        <v>5.6348825030477501E-2</v>
      </c>
      <c r="BL36" s="893">
        <v>5.6348825030477501E-2</v>
      </c>
      <c r="BM36" s="893">
        <v>5.6348825030477501E-2</v>
      </c>
      <c r="BN36" s="893">
        <v>5.6348825030477501E-2</v>
      </c>
      <c r="BO36" s="893">
        <v>5.6348825030477501E-2</v>
      </c>
      <c r="BP36" s="893">
        <v>5.6348825030477501E-2</v>
      </c>
      <c r="BQ36" s="893">
        <v>5.6348825030477501E-2</v>
      </c>
      <c r="BR36" s="893">
        <v>5.6348825030477501E-2</v>
      </c>
      <c r="BS36" s="893">
        <v>5.6348825030477501E-2</v>
      </c>
      <c r="BT36" s="893">
        <v>5.6348825030477501E-2</v>
      </c>
      <c r="BU36" s="893">
        <v>5.6348825030477501E-2</v>
      </c>
      <c r="BV36" s="893">
        <v>5.6348825030477501E-2</v>
      </c>
      <c r="BW36" s="893">
        <v>5.6348825030477501E-2</v>
      </c>
      <c r="BX36" s="893">
        <v>5.6348825030477501E-2</v>
      </c>
      <c r="BY36" s="893">
        <v>5.6348825030477501E-2</v>
      </c>
      <c r="BZ36" s="893">
        <v>5.6348825030477501E-2</v>
      </c>
      <c r="CA36" s="893">
        <v>5.6348825030477501E-2</v>
      </c>
      <c r="CB36" s="893">
        <v>5.6348825030477501E-2</v>
      </c>
      <c r="CC36" s="893">
        <v>5.6348825030477501E-2</v>
      </c>
      <c r="CD36" s="893">
        <v>5.6348825030477501E-2</v>
      </c>
      <c r="CE36" s="893">
        <v>5.6348825030477501E-2</v>
      </c>
      <c r="CF36" s="894">
        <v>5.6348825030477501E-2</v>
      </c>
    </row>
    <row r="37" spans="1:84">
      <c r="A37" s="876"/>
      <c r="B37" s="884" t="str">
        <f>CONCATENATE("Drivmiddel (", $D$122,"-priser)")</f>
        <v>Drivmiddel (-priser)</v>
      </c>
      <c r="C37" s="885" t="s">
        <v>847</v>
      </c>
      <c r="D37" s="886" t="e">
        <f t="shared" ref="D37" si="243">D6/#REF!*#REF!</f>
        <v>#REF!</v>
      </c>
      <c r="E37" s="886" t="e">
        <f t="shared" ref="E37" si="244">E6/#REF!*#REF!</f>
        <v>#REF!</v>
      </c>
      <c r="F37" s="886" t="e">
        <f t="shared" ref="F37" si="245">F6/#REF!*#REF!</f>
        <v>#REF!</v>
      </c>
      <c r="G37" s="886" t="e">
        <f t="shared" ref="G37" si="246">G6/#REF!*#REF!</f>
        <v>#REF!</v>
      </c>
      <c r="H37" s="886" t="e">
        <f t="shared" ref="H37" si="247">H6/#REF!*#REF!</f>
        <v>#REF!</v>
      </c>
      <c r="I37" s="886" t="e">
        <f t="shared" ref="I37" si="248">I6/#REF!*#REF!</f>
        <v>#REF!</v>
      </c>
      <c r="J37" s="886" t="e">
        <f t="shared" ref="J37" si="249">J6/#REF!*#REF!</f>
        <v>#REF!</v>
      </c>
      <c r="K37" s="886" t="e">
        <f t="shared" ref="K37" si="250">K6/#REF!*#REF!</f>
        <v>#REF!</v>
      </c>
      <c r="L37" s="886" t="e">
        <f t="shared" ref="L37" si="251">L6/#REF!*#REF!</f>
        <v>#REF!</v>
      </c>
      <c r="M37" s="886" t="e">
        <f t="shared" ref="M37" si="252">M6/#REF!*#REF!</f>
        <v>#REF!</v>
      </c>
      <c r="N37" s="886" t="e">
        <f t="shared" ref="N37" si="253">N6/#REF!*#REF!</f>
        <v>#REF!</v>
      </c>
      <c r="O37" s="886" t="e">
        <f t="shared" ref="O37" si="254">O6/#REF!*#REF!</f>
        <v>#REF!</v>
      </c>
      <c r="P37" s="886" t="e">
        <f t="shared" ref="P37" si="255">P6/#REF!*#REF!</f>
        <v>#REF!</v>
      </c>
      <c r="Q37" s="886" t="e">
        <f t="shared" ref="Q37" si="256">Q6/#REF!*#REF!</f>
        <v>#REF!</v>
      </c>
      <c r="R37" s="886" t="e">
        <f t="shared" ref="R37" si="257">R6/#REF!*#REF!</f>
        <v>#REF!</v>
      </c>
      <c r="S37" s="886" t="e">
        <f t="shared" ref="S37" si="258">S6/#REF!*#REF!</f>
        <v>#REF!</v>
      </c>
      <c r="T37" s="886" t="e">
        <f t="shared" ref="T37" si="259">T6/#REF!*#REF!</f>
        <v>#REF!</v>
      </c>
      <c r="U37" s="886" t="e">
        <f t="shared" ref="U37" si="260">U6/#REF!*#REF!</f>
        <v>#REF!</v>
      </c>
      <c r="V37" s="886" t="e">
        <f t="shared" ref="V37" si="261">V6/#REF!*#REF!</f>
        <v>#REF!</v>
      </c>
      <c r="W37" s="886" t="e">
        <f t="shared" ref="W37" si="262">W6/#REF!*#REF!</f>
        <v>#REF!</v>
      </c>
      <c r="X37" s="886" t="e">
        <f t="shared" ref="X37" si="263">X6/#REF!*#REF!</f>
        <v>#REF!</v>
      </c>
      <c r="Y37" s="886" t="e">
        <f t="shared" ref="Y37" si="264">Y6/#REF!*#REF!</f>
        <v>#REF!</v>
      </c>
      <c r="Z37" s="886" t="e">
        <f t="shared" ref="Z37" si="265">Z6/#REF!*#REF!</f>
        <v>#REF!</v>
      </c>
      <c r="AA37" s="886" t="e">
        <f t="shared" ref="AA37" si="266">AA6/#REF!*#REF!</f>
        <v>#REF!</v>
      </c>
      <c r="AB37" s="886" t="e">
        <f t="shared" ref="AB37" si="267">AB6/#REF!*#REF!</f>
        <v>#REF!</v>
      </c>
      <c r="AC37" s="886" t="e">
        <f t="shared" ref="AC37" si="268">AC6/#REF!*#REF!</f>
        <v>#REF!</v>
      </c>
      <c r="AD37" s="886" t="e">
        <f t="shared" ref="AD37" si="269">AD6/#REF!*#REF!</f>
        <v>#REF!</v>
      </c>
      <c r="AE37" s="886" t="e">
        <f t="shared" ref="AE37" si="270">AE6/#REF!*#REF!</f>
        <v>#REF!</v>
      </c>
      <c r="AF37" s="886" t="e">
        <f t="shared" ref="AF37" si="271">AF6/#REF!*#REF!</f>
        <v>#REF!</v>
      </c>
      <c r="AG37" s="886" t="e">
        <f t="shared" ref="AG37" si="272">AG6/#REF!*#REF!</f>
        <v>#REF!</v>
      </c>
      <c r="AH37" s="886" t="e">
        <f t="shared" ref="AH37" si="273">AH6/#REF!*#REF!</f>
        <v>#REF!</v>
      </c>
      <c r="AI37" s="886" t="e">
        <f t="shared" ref="AI37" si="274">AI6/#REF!*#REF!</f>
        <v>#REF!</v>
      </c>
      <c r="AJ37" s="886" t="e">
        <f t="shared" ref="AJ37" si="275">AJ6/#REF!*#REF!</f>
        <v>#REF!</v>
      </c>
      <c r="AK37" s="886" t="e">
        <f t="shared" ref="AK37" si="276">AK6/#REF!*#REF!</f>
        <v>#REF!</v>
      </c>
      <c r="AL37" s="886" t="e">
        <f t="shared" ref="AL37" si="277">AL6/#REF!*#REF!</f>
        <v>#REF!</v>
      </c>
      <c r="AM37" s="886" t="e">
        <f t="shared" ref="AM37" si="278">AM6/#REF!*#REF!</f>
        <v>#REF!</v>
      </c>
      <c r="AN37" s="886" t="e">
        <f t="shared" ref="AN37" si="279">AN6/#REF!*#REF!</f>
        <v>#REF!</v>
      </c>
      <c r="AO37" s="886" t="e">
        <f t="shared" ref="AO37" si="280">AO6/#REF!*#REF!</f>
        <v>#REF!</v>
      </c>
      <c r="AP37" s="886" t="e">
        <f t="shared" ref="AP37" si="281">AP6/#REF!*#REF!</f>
        <v>#REF!</v>
      </c>
      <c r="AQ37" s="886" t="e">
        <f t="shared" ref="AQ37" si="282">AQ6/#REF!*#REF!</f>
        <v>#REF!</v>
      </c>
      <c r="AR37" s="886" t="e">
        <f t="shared" ref="AR37" si="283">AR6/#REF!*#REF!</f>
        <v>#REF!</v>
      </c>
      <c r="AS37" s="886" t="e">
        <f t="shared" ref="AS37" si="284">AS6/#REF!*#REF!</f>
        <v>#REF!</v>
      </c>
      <c r="AT37" s="886" t="e">
        <f t="shared" ref="AT37" si="285">AT6/#REF!*#REF!</f>
        <v>#REF!</v>
      </c>
      <c r="AU37" s="886" t="e">
        <f t="shared" ref="AU37" si="286">AU6/#REF!*#REF!</f>
        <v>#REF!</v>
      </c>
      <c r="AV37" s="886" t="e">
        <f t="shared" ref="AV37" si="287">AV6/#REF!*#REF!</f>
        <v>#REF!</v>
      </c>
      <c r="AW37" s="886" t="e">
        <f t="shared" ref="AW37" si="288">AW6/#REF!*#REF!</f>
        <v>#REF!</v>
      </c>
      <c r="AX37" s="886" t="e">
        <f t="shared" ref="AX37" si="289">AX6/#REF!*#REF!</f>
        <v>#REF!</v>
      </c>
      <c r="AY37" s="886" t="e">
        <f t="shared" ref="AY37" si="290">AY6/#REF!*#REF!</f>
        <v>#REF!</v>
      </c>
      <c r="AZ37" s="886" t="e">
        <f t="shared" ref="AZ37" si="291">AZ6/#REF!*#REF!</f>
        <v>#REF!</v>
      </c>
      <c r="BA37" s="886" t="e">
        <f t="shared" ref="BA37" si="292">BA6/#REF!*#REF!</f>
        <v>#REF!</v>
      </c>
      <c r="BB37" s="886" t="e">
        <f t="shared" ref="BB37" si="293">BB6/#REF!*#REF!</f>
        <v>#REF!</v>
      </c>
      <c r="BC37" s="886" t="e">
        <f t="shared" ref="BC37" si="294">BC6/#REF!*#REF!</f>
        <v>#REF!</v>
      </c>
      <c r="BD37" s="886" t="e">
        <f t="shared" ref="BD37" si="295">BD6/#REF!*#REF!</f>
        <v>#REF!</v>
      </c>
      <c r="BE37" s="886" t="e">
        <f t="shared" ref="BE37" si="296">BE6/#REF!*#REF!</f>
        <v>#REF!</v>
      </c>
      <c r="BF37" s="886" t="e">
        <f t="shared" ref="BF37" si="297">BF6/#REF!*#REF!</f>
        <v>#REF!</v>
      </c>
      <c r="BG37" s="886" t="e">
        <f t="shared" ref="BG37" si="298">BG6/#REF!*#REF!</f>
        <v>#REF!</v>
      </c>
      <c r="BH37" s="886" t="e">
        <f t="shared" ref="BH37" si="299">BH6/#REF!*#REF!</f>
        <v>#REF!</v>
      </c>
      <c r="BI37" s="886" t="e">
        <f t="shared" ref="BI37" si="300">BI6/#REF!*#REF!</f>
        <v>#REF!</v>
      </c>
      <c r="BJ37" s="886" t="e">
        <f t="shared" ref="BJ37" si="301">BJ6/#REF!*#REF!</f>
        <v>#REF!</v>
      </c>
      <c r="BK37" s="886" t="e">
        <f t="shared" ref="BK37" si="302">BK6/#REF!*#REF!</f>
        <v>#REF!</v>
      </c>
      <c r="BL37" s="886" t="e">
        <f t="shared" ref="BL37" si="303">BL6/#REF!*#REF!</f>
        <v>#REF!</v>
      </c>
      <c r="BM37" s="886" t="e">
        <f t="shared" ref="BM37" si="304">BM6/#REF!*#REF!</f>
        <v>#REF!</v>
      </c>
      <c r="BN37" s="886" t="e">
        <f t="shared" ref="BN37" si="305">BN6/#REF!*#REF!</f>
        <v>#REF!</v>
      </c>
      <c r="BO37" s="886" t="e">
        <f t="shared" ref="BO37" si="306">BO6/#REF!*#REF!</f>
        <v>#REF!</v>
      </c>
      <c r="BP37" s="886" t="e">
        <f t="shared" ref="BP37" si="307">BP6/#REF!*#REF!</f>
        <v>#REF!</v>
      </c>
      <c r="BQ37" s="886" t="e">
        <f t="shared" ref="BQ37" si="308">BQ6/#REF!*#REF!</f>
        <v>#REF!</v>
      </c>
      <c r="BR37" s="886" t="e">
        <f t="shared" ref="BR37" si="309">BR6/#REF!*#REF!</f>
        <v>#REF!</v>
      </c>
      <c r="BS37" s="886" t="e">
        <f t="shared" ref="BS37" si="310">BS6/#REF!*#REF!</f>
        <v>#REF!</v>
      </c>
      <c r="BT37" s="886" t="e">
        <f t="shared" ref="BT37" si="311">BT6/#REF!*#REF!</f>
        <v>#REF!</v>
      </c>
      <c r="BU37" s="886" t="e">
        <f t="shared" ref="BU37" si="312">BU6/#REF!*#REF!</f>
        <v>#REF!</v>
      </c>
      <c r="BV37" s="886" t="e">
        <f t="shared" ref="BV37" si="313">BV6/#REF!*#REF!</f>
        <v>#REF!</v>
      </c>
      <c r="BW37" s="886" t="e">
        <f t="shared" ref="BW37" si="314">BW6/#REF!*#REF!</f>
        <v>#REF!</v>
      </c>
      <c r="BX37" s="886" t="e">
        <f t="shared" ref="BX37" si="315">BX6/#REF!*#REF!</f>
        <v>#REF!</v>
      </c>
      <c r="BY37" s="886" t="e">
        <f t="shared" ref="BY37" si="316">BY6/#REF!*#REF!</f>
        <v>#REF!</v>
      </c>
      <c r="BZ37" s="886" t="e">
        <f t="shared" ref="BZ37" si="317">BZ6/#REF!*#REF!</f>
        <v>#REF!</v>
      </c>
      <c r="CA37" s="886" t="e">
        <f t="shared" ref="CA37" si="318">CA6/#REF!*#REF!</f>
        <v>#REF!</v>
      </c>
      <c r="CB37" s="886" t="e">
        <f t="shared" ref="CB37" si="319">CB6/#REF!*#REF!</f>
        <v>#REF!</v>
      </c>
      <c r="CC37" s="886" t="e">
        <f t="shared" ref="CC37" si="320">CC6/#REF!*#REF!</f>
        <v>#REF!</v>
      </c>
      <c r="CD37" s="886" t="e">
        <f t="shared" ref="CD37" si="321">CD6/#REF!*#REF!</f>
        <v>#REF!</v>
      </c>
      <c r="CE37" s="886" t="e">
        <f t="shared" ref="CE37" si="322">CE6/#REF!*#REF!</f>
        <v>#REF!</v>
      </c>
      <c r="CF37" s="887" t="e">
        <f t="shared" ref="CF37" si="323">CF6/#REF!*#REF!</f>
        <v>#REF!</v>
      </c>
    </row>
    <row r="38" spans="1:84">
      <c r="A38" s="876"/>
      <c r="B38" s="908" t="s">
        <v>844</v>
      </c>
      <c r="C38" s="909" t="s">
        <v>847</v>
      </c>
      <c r="D38" s="910">
        <v>8.2961231114247289E-2</v>
      </c>
      <c r="E38" s="910">
        <v>8.2961231114247289E-2</v>
      </c>
      <c r="F38" s="910">
        <v>8.2961231114247289E-2</v>
      </c>
      <c r="G38" s="910">
        <v>8.2961231114247289E-2</v>
      </c>
      <c r="H38" s="910">
        <v>8.2961231114247289E-2</v>
      </c>
      <c r="I38" s="910">
        <v>8.2961231114247289E-2</v>
      </c>
      <c r="J38" s="910">
        <v>8.2961231114247289E-2</v>
      </c>
      <c r="K38" s="910">
        <v>8.2961231114247289E-2</v>
      </c>
      <c r="L38" s="910">
        <v>8.2961231114247289E-2</v>
      </c>
      <c r="M38" s="910">
        <v>8.2961231114247289E-2</v>
      </c>
      <c r="N38" s="910">
        <v>8.2961231114247289E-2</v>
      </c>
      <c r="O38" s="910">
        <v>8.2961231114247289E-2</v>
      </c>
      <c r="P38" s="910">
        <v>8.2961231114247289E-2</v>
      </c>
      <c r="Q38" s="910">
        <v>8.2961231114247289E-2</v>
      </c>
      <c r="R38" s="910">
        <v>8.2961231114247289E-2</v>
      </c>
      <c r="S38" s="910">
        <v>8.2961231114247289E-2</v>
      </c>
      <c r="T38" s="910">
        <v>8.2961231114247289E-2</v>
      </c>
      <c r="U38" s="910">
        <v>8.2961231114247289E-2</v>
      </c>
      <c r="V38" s="910">
        <v>8.2961231114247289E-2</v>
      </c>
      <c r="W38" s="910">
        <v>8.2961231114247289E-2</v>
      </c>
      <c r="X38" s="910">
        <v>8.2961231114247289E-2</v>
      </c>
      <c r="Y38" s="910">
        <v>8.2961231114247289E-2</v>
      </c>
      <c r="Z38" s="910">
        <v>8.2961231114247289E-2</v>
      </c>
      <c r="AA38" s="910">
        <v>8.2961231114247289E-2</v>
      </c>
      <c r="AB38" s="910">
        <v>8.2961231114247289E-2</v>
      </c>
      <c r="AC38" s="910">
        <v>8.2961231114247289E-2</v>
      </c>
      <c r="AD38" s="910">
        <v>8.2961231114247289E-2</v>
      </c>
      <c r="AE38" s="910">
        <v>8.2961231114247289E-2</v>
      </c>
      <c r="AF38" s="910">
        <v>8.2961231114247289E-2</v>
      </c>
      <c r="AG38" s="910">
        <v>8.2961231114247289E-2</v>
      </c>
      <c r="AH38" s="910">
        <v>8.2961231114247289E-2</v>
      </c>
      <c r="AI38" s="910">
        <v>8.2961231114247289E-2</v>
      </c>
      <c r="AJ38" s="910">
        <v>8.2961231114247289E-2</v>
      </c>
      <c r="AK38" s="910">
        <v>8.2961231114247289E-2</v>
      </c>
      <c r="AL38" s="910">
        <v>8.2961231114247289E-2</v>
      </c>
      <c r="AM38" s="910">
        <v>8.2961231114247289E-2</v>
      </c>
      <c r="AN38" s="910">
        <v>8.2961231114247289E-2</v>
      </c>
      <c r="AO38" s="910">
        <v>8.2961231114247289E-2</v>
      </c>
      <c r="AP38" s="910">
        <v>8.2961231114247289E-2</v>
      </c>
      <c r="AQ38" s="910">
        <v>8.2961231114247289E-2</v>
      </c>
      <c r="AR38" s="910">
        <v>8.2961231114247289E-2</v>
      </c>
      <c r="AS38" s="910">
        <v>8.2961231114247289E-2</v>
      </c>
      <c r="AT38" s="910">
        <v>8.2961231114247289E-2</v>
      </c>
      <c r="AU38" s="910">
        <v>8.2961231114247289E-2</v>
      </c>
      <c r="AV38" s="910">
        <v>8.2961231114247289E-2</v>
      </c>
      <c r="AW38" s="910">
        <v>8.2961231114247289E-2</v>
      </c>
      <c r="AX38" s="910">
        <v>8.2961231114247289E-2</v>
      </c>
      <c r="AY38" s="910">
        <v>8.2961231114247289E-2</v>
      </c>
      <c r="AZ38" s="910">
        <v>8.2961231114247289E-2</v>
      </c>
      <c r="BA38" s="910">
        <v>8.2961231114247289E-2</v>
      </c>
      <c r="BB38" s="910">
        <v>8.2961231114247289E-2</v>
      </c>
      <c r="BC38" s="910">
        <v>8.2961231114247289E-2</v>
      </c>
      <c r="BD38" s="910">
        <v>8.2961231114247289E-2</v>
      </c>
      <c r="BE38" s="910">
        <v>8.2961231114247289E-2</v>
      </c>
      <c r="BF38" s="910">
        <v>8.2961231114247289E-2</v>
      </c>
      <c r="BG38" s="910">
        <v>8.2961231114247289E-2</v>
      </c>
      <c r="BH38" s="910">
        <v>8.2961231114247289E-2</v>
      </c>
      <c r="BI38" s="910">
        <v>8.2961231114247289E-2</v>
      </c>
      <c r="BJ38" s="910">
        <v>8.2961231114247289E-2</v>
      </c>
      <c r="BK38" s="910">
        <v>8.2961231114247289E-2</v>
      </c>
      <c r="BL38" s="910">
        <v>8.2961231114247289E-2</v>
      </c>
      <c r="BM38" s="910">
        <v>8.2961231114247289E-2</v>
      </c>
      <c r="BN38" s="910">
        <v>8.2961231114247289E-2</v>
      </c>
      <c r="BO38" s="910">
        <v>8.2961231114247289E-2</v>
      </c>
      <c r="BP38" s="910">
        <v>8.2961231114247289E-2</v>
      </c>
      <c r="BQ38" s="910">
        <v>8.2961231114247289E-2</v>
      </c>
      <c r="BR38" s="910">
        <v>8.2961231114247289E-2</v>
      </c>
      <c r="BS38" s="910">
        <v>8.2961231114247289E-2</v>
      </c>
      <c r="BT38" s="910">
        <v>8.2961231114247289E-2</v>
      </c>
      <c r="BU38" s="910">
        <v>8.2961231114247289E-2</v>
      </c>
      <c r="BV38" s="910">
        <v>8.2961231114247289E-2</v>
      </c>
      <c r="BW38" s="910">
        <v>8.2961231114247289E-2</v>
      </c>
      <c r="BX38" s="910">
        <v>8.2961231114247289E-2</v>
      </c>
      <c r="BY38" s="910">
        <v>8.2961231114247289E-2</v>
      </c>
      <c r="BZ38" s="910">
        <v>8.2961231114247289E-2</v>
      </c>
      <c r="CA38" s="910">
        <v>8.2961231114247289E-2</v>
      </c>
      <c r="CB38" s="910">
        <v>8.2961231114247289E-2</v>
      </c>
      <c r="CC38" s="910">
        <v>8.2961231114247289E-2</v>
      </c>
      <c r="CD38" s="910">
        <v>8.2961231114247289E-2</v>
      </c>
      <c r="CE38" s="910">
        <v>8.2961231114247289E-2</v>
      </c>
      <c r="CF38" s="911">
        <v>8.2961231114247289E-2</v>
      </c>
    </row>
    <row r="39" spans="1:84">
      <c r="A39" s="876"/>
      <c r="B39" s="908" t="s">
        <v>845</v>
      </c>
      <c r="C39" s="909" t="s">
        <v>847</v>
      </c>
      <c r="D39" s="910">
        <v>0.27066146024179261</v>
      </c>
      <c r="E39" s="910">
        <v>0.27066146024179261</v>
      </c>
      <c r="F39" s="910">
        <v>0.27066146024179261</v>
      </c>
      <c r="G39" s="910">
        <v>0.27066146024179261</v>
      </c>
      <c r="H39" s="910">
        <v>0.27066146024179261</v>
      </c>
      <c r="I39" s="910">
        <v>0.27066146024179261</v>
      </c>
      <c r="J39" s="910">
        <v>0.27066146024179261</v>
      </c>
      <c r="K39" s="910">
        <v>0.27066146024179261</v>
      </c>
      <c r="L39" s="910">
        <v>0.27066146024179261</v>
      </c>
      <c r="M39" s="910">
        <v>0.27066146024179261</v>
      </c>
      <c r="N39" s="910">
        <v>0.27066146024179261</v>
      </c>
      <c r="O39" s="910">
        <v>0.27066146024179261</v>
      </c>
      <c r="P39" s="910">
        <v>0.27066146024179261</v>
      </c>
      <c r="Q39" s="910">
        <v>0.27066146024179261</v>
      </c>
      <c r="R39" s="910">
        <v>0.27066146024179261</v>
      </c>
      <c r="S39" s="910">
        <v>0.27066146024179261</v>
      </c>
      <c r="T39" s="910">
        <v>0.27066146024179261</v>
      </c>
      <c r="U39" s="910">
        <v>0.27066146024179261</v>
      </c>
      <c r="V39" s="910">
        <v>0.27066146024179261</v>
      </c>
      <c r="W39" s="910">
        <v>0.27066146024179261</v>
      </c>
      <c r="X39" s="910">
        <v>0.27066146024179261</v>
      </c>
      <c r="Y39" s="910">
        <v>0.27066146024179261</v>
      </c>
      <c r="Z39" s="910">
        <v>0.27066146024179261</v>
      </c>
      <c r="AA39" s="910">
        <v>0.27066146024179261</v>
      </c>
      <c r="AB39" s="910">
        <v>0.27066146024179261</v>
      </c>
      <c r="AC39" s="910">
        <v>0.27066146024179261</v>
      </c>
      <c r="AD39" s="910">
        <v>0.27066146024179261</v>
      </c>
      <c r="AE39" s="910">
        <v>0.27066146024179261</v>
      </c>
      <c r="AF39" s="910">
        <v>0.27066146024179261</v>
      </c>
      <c r="AG39" s="910">
        <v>0.27066146024179261</v>
      </c>
      <c r="AH39" s="910">
        <v>0.27066146024179261</v>
      </c>
      <c r="AI39" s="910">
        <v>0.27066146024179261</v>
      </c>
      <c r="AJ39" s="910">
        <v>0.27066146024179261</v>
      </c>
      <c r="AK39" s="910">
        <v>0.27066146024179261</v>
      </c>
      <c r="AL39" s="910">
        <v>0.27066146024179261</v>
      </c>
      <c r="AM39" s="910">
        <v>0.27066146024179261</v>
      </c>
      <c r="AN39" s="910">
        <v>0.27066146024179261</v>
      </c>
      <c r="AO39" s="910">
        <v>0.27066146024179261</v>
      </c>
      <c r="AP39" s="910">
        <v>0.27066146024179261</v>
      </c>
      <c r="AQ39" s="910">
        <v>0.27066146024179261</v>
      </c>
      <c r="AR39" s="910">
        <v>0.27066146024179261</v>
      </c>
      <c r="AS39" s="910">
        <v>0.27066146024179261</v>
      </c>
      <c r="AT39" s="910">
        <v>0.27066146024179261</v>
      </c>
      <c r="AU39" s="910">
        <v>0.27066146024179261</v>
      </c>
      <c r="AV39" s="910">
        <v>0.27066146024179261</v>
      </c>
      <c r="AW39" s="910">
        <v>0.27066146024179261</v>
      </c>
      <c r="AX39" s="910">
        <v>0.27066146024179261</v>
      </c>
      <c r="AY39" s="910">
        <v>0.27066146024179261</v>
      </c>
      <c r="AZ39" s="910">
        <v>0.27066146024179261</v>
      </c>
      <c r="BA39" s="910">
        <v>0.27066146024179261</v>
      </c>
      <c r="BB39" s="910">
        <v>0.27066146024179261</v>
      </c>
      <c r="BC39" s="910">
        <v>0.27066146024179261</v>
      </c>
      <c r="BD39" s="910">
        <v>0.27066146024179261</v>
      </c>
      <c r="BE39" s="910">
        <v>0.27066146024179261</v>
      </c>
      <c r="BF39" s="910">
        <v>0.27066146024179261</v>
      </c>
      <c r="BG39" s="910">
        <v>0.27066146024179261</v>
      </c>
      <c r="BH39" s="910">
        <v>0.27066146024179261</v>
      </c>
      <c r="BI39" s="910">
        <v>0.27066146024179261</v>
      </c>
      <c r="BJ39" s="910">
        <v>0.27066146024179261</v>
      </c>
      <c r="BK39" s="910">
        <v>0.27066146024179261</v>
      </c>
      <c r="BL39" s="910">
        <v>0.27066146024179261</v>
      </c>
      <c r="BM39" s="910">
        <v>0.27066146024179261</v>
      </c>
      <c r="BN39" s="910">
        <v>0.27066146024179261</v>
      </c>
      <c r="BO39" s="910">
        <v>0.27066146024179261</v>
      </c>
      <c r="BP39" s="910">
        <v>0.27066146024179261</v>
      </c>
      <c r="BQ39" s="910">
        <v>0.27066146024179261</v>
      </c>
      <c r="BR39" s="910">
        <v>0.27066146024179261</v>
      </c>
      <c r="BS39" s="910">
        <v>0.27066146024179261</v>
      </c>
      <c r="BT39" s="910">
        <v>0.27066146024179261</v>
      </c>
      <c r="BU39" s="910">
        <v>0.27066146024179261</v>
      </c>
      <c r="BV39" s="910">
        <v>0.27066146024179261</v>
      </c>
      <c r="BW39" s="910">
        <v>0.27066146024179261</v>
      </c>
      <c r="BX39" s="910">
        <v>0.27066146024179261</v>
      </c>
      <c r="BY39" s="910">
        <v>0.27066146024179261</v>
      </c>
      <c r="BZ39" s="910">
        <v>0.27066146024179261</v>
      </c>
      <c r="CA39" s="910">
        <v>0.27066146024179261</v>
      </c>
      <c r="CB39" s="910">
        <v>0.27066146024179261</v>
      </c>
      <c r="CC39" s="910">
        <v>0.27066146024179261</v>
      </c>
      <c r="CD39" s="910">
        <v>0.27066146024179261</v>
      </c>
      <c r="CE39" s="910">
        <v>0.27066146024179261</v>
      </c>
      <c r="CF39" s="911">
        <v>0.27066146024179261</v>
      </c>
    </row>
    <row r="40" spans="1:84" ht="13.8" thickBot="1">
      <c r="A40" s="876"/>
      <c r="B40" s="912" t="s">
        <v>846</v>
      </c>
      <c r="C40" s="913" t="s">
        <v>847</v>
      </c>
      <c r="D40" s="914">
        <v>0.12676968828854276</v>
      </c>
      <c r="E40" s="915">
        <v>0.12676968828854276</v>
      </c>
      <c r="F40" s="915">
        <v>0.12676968828854276</v>
      </c>
      <c r="G40" s="915">
        <v>0.12676968828854276</v>
      </c>
      <c r="H40" s="915">
        <v>0.12676968828854276</v>
      </c>
      <c r="I40" s="915">
        <v>0.12676968828854276</v>
      </c>
      <c r="J40" s="915">
        <v>0.12676968828854276</v>
      </c>
      <c r="K40" s="915">
        <v>0.12676968828854276</v>
      </c>
      <c r="L40" s="915">
        <v>0.12676968828854276</v>
      </c>
      <c r="M40" s="915">
        <v>0.12676968828854276</v>
      </c>
      <c r="N40" s="915">
        <v>0.12676968828854276</v>
      </c>
      <c r="O40" s="915">
        <v>0.12676968828854276</v>
      </c>
      <c r="P40" s="915">
        <v>0.12676968828854276</v>
      </c>
      <c r="Q40" s="915">
        <v>0.12676968828854276</v>
      </c>
      <c r="R40" s="915">
        <v>0.12676968828854276</v>
      </c>
      <c r="S40" s="915">
        <v>0.12676968828854276</v>
      </c>
      <c r="T40" s="915">
        <v>0.12676968828854276</v>
      </c>
      <c r="U40" s="915">
        <v>0.12676968828854276</v>
      </c>
      <c r="V40" s="915">
        <v>0.12676968828854276</v>
      </c>
      <c r="W40" s="915">
        <v>0.12676968828854276</v>
      </c>
      <c r="X40" s="915">
        <v>0.12676968828854276</v>
      </c>
      <c r="Y40" s="915">
        <v>0.12676968828854276</v>
      </c>
      <c r="Z40" s="915">
        <v>0.12676968828854276</v>
      </c>
      <c r="AA40" s="915">
        <v>0.12676968828854276</v>
      </c>
      <c r="AB40" s="915">
        <v>0.12676968828854276</v>
      </c>
      <c r="AC40" s="915">
        <v>0.12676968828854276</v>
      </c>
      <c r="AD40" s="915">
        <v>0.12676968828854276</v>
      </c>
      <c r="AE40" s="915">
        <v>0.12676968828854276</v>
      </c>
      <c r="AF40" s="915">
        <v>0.12676968828854276</v>
      </c>
      <c r="AG40" s="915">
        <v>0.12676968828854276</v>
      </c>
      <c r="AH40" s="915">
        <v>0.12676968828854276</v>
      </c>
      <c r="AI40" s="915">
        <v>0.12676968828854276</v>
      </c>
      <c r="AJ40" s="915">
        <v>0.12676968828854276</v>
      </c>
      <c r="AK40" s="915">
        <v>0.12676968828854276</v>
      </c>
      <c r="AL40" s="915">
        <v>0.12676968828854276</v>
      </c>
      <c r="AM40" s="915">
        <v>0.12676968828854276</v>
      </c>
      <c r="AN40" s="915">
        <v>0.12676968828854276</v>
      </c>
      <c r="AO40" s="915">
        <v>0.12676968828854276</v>
      </c>
      <c r="AP40" s="915">
        <v>0.12676968828854276</v>
      </c>
      <c r="AQ40" s="915">
        <v>0.12676968828854276</v>
      </c>
      <c r="AR40" s="915">
        <v>0.12676968828854276</v>
      </c>
      <c r="AS40" s="915">
        <v>0.12676968828854276</v>
      </c>
      <c r="AT40" s="915">
        <v>0.12676968828854276</v>
      </c>
      <c r="AU40" s="915">
        <v>0.12676968828854276</v>
      </c>
      <c r="AV40" s="915">
        <v>0.12676968828854276</v>
      </c>
      <c r="AW40" s="915">
        <v>0.12676968828854276</v>
      </c>
      <c r="AX40" s="915">
        <v>0.12676968828854276</v>
      </c>
      <c r="AY40" s="915">
        <v>0.12676968828854276</v>
      </c>
      <c r="AZ40" s="915">
        <v>0.12676968828854276</v>
      </c>
      <c r="BA40" s="915">
        <v>0.12676968828854276</v>
      </c>
      <c r="BB40" s="915">
        <v>0.12676968828854276</v>
      </c>
      <c r="BC40" s="915">
        <v>0.12676968828854276</v>
      </c>
      <c r="BD40" s="915">
        <v>0.12676968828854276</v>
      </c>
      <c r="BE40" s="915">
        <v>0.12676968828854276</v>
      </c>
      <c r="BF40" s="915">
        <v>0.12676968828854276</v>
      </c>
      <c r="BG40" s="915">
        <v>0.12676968828854276</v>
      </c>
      <c r="BH40" s="915">
        <v>0.12676968828854276</v>
      </c>
      <c r="BI40" s="915">
        <v>0.12676968828854276</v>
      </c>
      <c r="BJ40" s="915">
        <v>0.12676968828854276</v>
      </c>
      <c r="BK40" s="915">
        <v>0.12676968828854276</v>
      </c>
      <c r="BL40" s="915">
        <v>0.12676968828854276</v>
      </c>
      <c r="BM40" s="915">
        <v>0.12676968828854276</v>
      </c>
      <c r="BN40" s="915">
        <v>0.12676968828854276</v>
      </c>
      <c r="BO40" s="915">
        <v>0.12676968828854276</v>
      </c>
      <c r="BP40" s="915">
        <v>0.12676968828854276</v>
      </c>
      <c r="BQ40" s="915">
        <v>0.12676968828854276</v>
      </c>
      <c r="BR40" s="915">
        <v>0.12676968828854276</v>
      </c>
      <c r="BS40" s="915">
        <v>0.12676968828854276</v>
      </c>
      <c r="BT40" s="915">
        <v>0.12676968828854276</v>
      </c>
      <c r="BU40" s="915">
        <v>0.12676968828854276</v>
      </c>
      <c r="BV40" s="915">
        <v>0.12676968828854276</v>
      </c>
      <c r="BW40" s="915">
        <v>0.12676968828854276</v>
      </c>
      <c r="BX40" s="915">
        <v>0.12676968828854276</v>
      </c>
      <c r="BY40" s="915">
        <v>0.12676968828854276</v>
      </c>
      <c r="BZ40" s="915">
        <v>0.12676968828854276</v>
      </c>
      <c r="CA40" s="915">
        <v>0.12676968828854276</v>
      </c>
      <c r="CB40" s="915">
        <v>0.12676968828854276</v>
      </c>
      <c r="CC40" s="915">
        <v>0.12676968828854276</v>
      </c>
      <c r="CD40" s="915">
        <v>0.12676968828854276</v>
      </c>
      <c r="CE40" s="915">
        <v>0.12676968828854276</v>
      </c>
      <c r="CF40" s="916">
        <v>0.12676968828854276</v>
      </c>
    </row>
    <row r="41" spans="1:84">
      <c r="A41" s="876"/>
      <c r="B41" s="876"/>
      <c r="C41" s="876"/>
      <c r="D41" s="876"/>
      <c r="E41" s="876"/>
      <c r="F41" s="876"/>
      <c r="G41" s="876"/>
      <c r="H41" s="876"/>
      <c r="I41" s="876"/>
      <c r="J41" s="876"/>
      <c r="K41" s="876"/>
      <c r="L41" s="876"/>
      <c r="M41" s="876"/>
      <c r="N41" s="876"/>
      <c r="O41" s="876"/>
      <c r="P41" s="876"/>
      <c r="Q41" s="876"/>
      <c r="R41" s="876"/>
      <c r="S41" s="876"/>
      <c r="T41" s="876"/>
      <c r="U41" s="876"/>
      <c r="V41" s="876"/>
      <c r="W41" s="876"/>
      <c r="X41" s="876"/>
      <c r="Y41" s="876"/>
      <c r="Z41" s="876"/>
      <c r="AA41" s="876"/>
      <c r="AB41" s="876"/>
      <c r="AC41" s="876"/>
      <c r="AD41" s="876"/>
      <c r="AE41" s="876"/>
      <c r="AF41" s="876"/>
      <c r="AG41" s="876"/>
      <c r="AH41" s="876"/>
      <c r="AI41" s="876"/>
      <c r="AJ41" s="876"/>
      <c r="AK41" s="876"/>
      <c r="AL41" s="876"/>
      <c r="AM41" s="876"/>
      <c r="AN41" s="876"/>
      <c r="AO41" s="876"/>
      <c r="AP41" s="876"/>
      <c r="AQ41" s="876"/>
      <c r="AR41" s="876"/>
      <c r="AS41" s="876"/>
      <c r="AT41" s="876"/>
      <c r="AU41" s="876"/>
      <c r="AV41" s="876"/>
      <c r="AW41" s="876"/>
      <c r="AX41" s="876"/>
      <c r="AY41" s="876"/>
      <c r="AZ41" s="876"/>
      <c r="BA41" s="876"/>
      <c r="BB41" s="876"/>
      <c r="BC41" s="876"/>
      <c r="BD41" s="876"/>
      <c r="BE41" s="876"/>
      <c r="BF41" s="876"/>
      <c r="BG41" s="876"/>
      <c r="BH41" s="876"/>
      <c r="BI41" s="876"/>
      <c r="BJ41" s="876"/>
      <c r="BK41" s="876"/>
      <c r="BL41" s="876"/>
      <c r="BM41" s="876"/>
      <c r="BN41" s="876"/>
      <c r="BO41" s="876"/>
      <c r="BP41" s="876"/>
      <c r="BQ41" s="876"/>
      <c r="BR41" s="876"/>
      <c r="BS41" s="876"/>
      <c r="BT41" s="876"/>
      <c r="BU41" s="876"/>
      <c r="BV41" s="876"/>
      <c r="BW41" s="876"/>
      <c r="BX41" s="876"/>
      <c r="BY41" s="876"/>
      <c r="BZ41" s="876"/>
      <c r="CA41" s="876"/>
      <c r="CB41" s="876"/>
      <c r="CC41" s="876"/>
      <c r="CD41" s="876"/>
      <c r="CE41" s="876"/>
      <c r="CF41" s="876"/>
    </row>
    <row r="42" spans="1:84" ht="13.8" thickBot="1">
      <c r="A42" s="876"/>
      <c r="B42" s="877" t="s">
        <v>850</v>
      </c>
      <c r="C42" s="876"/>
      <c r="D42" s="876"/>
      <c r="E42" s="876"/>
      <c r="F42" s="876"/>
      <c r="G42" s="876"/>
      <c r="H42" s="876"/>
      <c r="I42" s="907">
        <f>$I$140</f>
        <v>0</v>
      </c>
      <c r="J42" s="876" t="s">
        <v>841</v>
      </c>
      <c r="K42" s="876"/>
      <c r="L42" s="876"/>
      <c r="M42" s="876"/>
      <c r="N42" s="876"/>
      <c r="O42" s="876"/>
      <c r="P42" s="876"/>
      <c r="Q42" s="876"/>
      <c r="R42" s="876"/>
      <c r="S42" s="876"/>
      <c r="T42" s="876"/>
      <c r="U42" s="876"/>
      <c r="V42" s="876"/>
      <c r="W42" s="876"/>
      <c r="X42" s="876"/>
      <c r="Y42" s="876"/>
      <c r="Z42" s="876"/>
      <c r="AA42" s="876"/>
      <c r="AB42" s="876"/>
      <c r="AC42" s="876"/>
      <c r="AD42" s="876"/>
      <c r="AE42" s="876"/>
      <c r="AF42" s="876"/>
      <c r="AG42" s="876"/>
      <c r="AH42" s="876"/>
      <c r="AI42" s="876"/>
      <c r="AJ42" s="876"/>
      <c r="AK42" s="876"/>
      <c r="AL42" s="876"/>
      <c r="AM42" s="876"/>
      <c r="AN42" s="876"/>
      <c r="AO42" s="876"/>
      <c r="AP42" s="876"/>
      <c r="AQ42" s="876"/>
      <c r="AR42" s="876"/>
      <c r="AS42" s="876"/>
      <c r="AT42" s="876"/>
      <c r="AU42" s="876"/>
      <c r="AV42" s="876"/>
      <c r="AW42" s="876"/>
      <c r="AX42" s="876"/>
      <c r="AY42" s="876"/>
      <c r="AZ42" s="876"/>
      <c r="BA42" s="876"/>
      <c r="BB42" s="876"/>
      <c r="BC42" s="876"/>
      <c r="BD42" s="876"/>
      <c r="BE42" s="876"/>
      <c r="BF42" s="876"/>
      <c r="BG42" s="876"/>
      <c r="BH42" s="876"/>
      <c r="BI42" s="876"/>
      <c r="BJ42" s="876"/>
      <c r="BK42" s="876"/>
      <c r="BL42" s="876"/>
      <c r="BM42" s="876"/>
      <c r="BN42" s="876"/>
      <c r="BO42" s="876"/>
      <c r="BP42" s="876"/>
      <c r="BQ42" s="876"/>
      <c r="BR42" s="876"/>
      <c r="BS42" s="876"/>
      <c r="BT42" s="876"/>
      <c r="BU42" s="876"/>
      <c r="BV42" s="876"/>
      <c r="BW42" s="876"/>
      <c r="BX42" s="876"/>
      <c r="BY42" s="876"/>
      <c r="BZ42" s="876"/>
      <c r="CA42" s="876"/>
      <c r="CB42" s="876"/>
      <c r="CC42" s="876"/>
      <c r="CD42" s="876"/>
      <c r="CE42" s="876"/>
      <c r="CF42" s="876"/>
    </row>
    <row r="43" spans="1:84">
      <c r="A43" s="876"/>
      <c r="B43" s="880" t="s">
        <v>842</v>
      </c>
      <c r="C43" s="881"/>
      <c r="D43" s="882">
        <v>2010</v>
      </c>
      <c r="E43" s="882">
        <v>2011</v>
      </c>
      <c r="F43" s="882">
        <v>2012</v>
      </c>
      <c r="G43" s="882">
        <v>2013</v>
      </c>
      <c r="H43" s="882">
        <v>2014</v>
      </c>
      <c r="I43" s="882">
        <v>2015</v>
      </c>
      <c r="J43" s="882">
        <v>2016</v>
      </c>
      <c r="K43" s="882">
        <v>2017</v>
      </c>
      <c r="L43" s="882">
        <v>2018</v>
      </c>
      <c r="M43" s="882">
        <v>2019</v>
      </c>
      <c r="N43" s="882">
        <v>2020</v>
      </c>
      <c r="O43" s="882">
        <v>2021</v>
      </c>
      <c r="P43" s="882">
        <v>2022</v>
      </c>
      <c r="Q43" s="882">
        <v>2023</v>
      </c>
      <c r="R43" s="882">
        <v>2024</v>
      </c>
      <c r="S43" s="882">
        <v>2025</v>
      </c>
      <c r="T43" s="882">
        <v>2026</v>
      </c>
      <c r="U43" s="882">
        <v>2027</v>
      </c>
      <c r="V43" s="882">
        <v>2028</v>
      </c>
      <c r="W43" s="882">
        <v>2029</v>
      </c>
      <c r="X43" s="882">
        <v>2030</v>
      </c>
      <c r="Y43" s="882">
        <v>2031</v>
      </c>
      <c r="Z43" s="882">
        <v>2032</v>
      </c>
      <c r="AA43" s="882">
        <v>2033</v>
      </c>
      <c r="AB43" s="882">
        <v>2034</v>
      </c>
      <c r="AC43" s="882">
        <v>2035</v>
      </c>
      <c r="AD43" s="882">
        <v>2036</v>
      </c>
      <c r="AE43" s="882">
        <v>2037</v>
      </c>
      <c r="AF43" s="882">
        <v>2038</v>
      </c>
      <c r="AG43" s="882">
        <v>2039</v>
      </c>
      <c r="AH43" s="882">
        <v>2040</v>
      </c>
      <c r="AI43" s="882">
        <v>2041</v>
      </c>
      <c r="AJ43" s="882">
        <v>2042</v>
      </c>
      <c r="AK43" s="882">
        <v>2043</v>
      </c>
      <c r="AL43" s="882">
        <v>2044</v>
      </c>
      <c r="AM43" s="882">
        <v>2045</v>
      </c>
      <c r="AN43" s="882">
        <v>2046</v>
      </c>
      <c r="AO43" s="882">
        <v>2047</v>
      </c>
      <c r="AP43" s="882">
        <v>2048</v>
      </c>
      <c r="AQ43" s="882">
        <v>2049</v>
      </c>
      <c r="AR43" s="882">
        <v>2050</v>
      </c>
      <c r="AS43" s="882">
        <v>2051</v>
      </c>
      <c r="AT43" s="882">
        <v>2052</v>
      </c>
      <c r="AU43" s="882">
        <v>2053</v>
      </c>
      <c r="AV43" s="882">
        <v>2054</v>
      </c>
      <c r="AW43" s="882">
        <v>2055</v>
      </c>
      <c r="AX43" s="882">
        <v>2056</v>
      </c>
      <c r="AY43" s="882">
        <v>2057</v>
      </c>
      <c r="AZ43" s="882">
        <v>2058</v>
      </c>
      <c r="BA43" s="882">
        <v>2059</v>
      </c>
      <c r="BB43" s="882">
        <v>2060</v>
      </c>
      <c r="BC43" s="882">
        <v>2061</v>
      </c>
      <c r="BD43" s="882">
        <v>2062</v>
      </c>
      <c r="BE43" s="882">
        <v>2063</v>
      </c>
      <c r="BF43" s="882">
        <v>2064</v>
      </c>
      <c r="BG43" s="882">
        <v>2065</v>
      </c>
      <c r="BH43" s="882">
        <v>2066</v>
      </c>
      <c r="BI43" s="882">
        <v>2067</v>
      </c>
      <c r="BJ43" s="882">
        <v>2068</v>
      </c>
      <c r="BK43" s="882">
        <v>2069</v>
      </c>
      <c r="BL43" s="882">
        <v>2070</v>
      </c>
      <c r="BM43" s="882">
        <v>2071</v>
      </c>
      <c r="BN43" s="882">
        <v>2072</v>
      </c>
      <c r="BO43" s="882">
        <v>2073</v>
      </c>
      <c r="BP43" s="882">
        <v>2074</v>
      </c>
      <c r="BQ43" s="882">
        <v>2075</v>
      </c>
      <c r="BR43" s="882">
        <v>2076</v>
      </c>
      <c r="BS43" s="882">
        <v>2077</v>
      </c>
      <c r="BT43" s="882">
        <v>2078</v>
      </c>
      <c r="BU43" s="882">
        <v>2079</v>
      </c>
      <c r="BV43" s="882">
        <v>2080</v>
      </c>
      <c r="BW43" s="882">
        <v>2081</v>
      </c>
      <c r="BX43" s="882">
        <v>2082</v>
      </c>
      <c r="BY43" s="882">
        <v>2083</v>
      </c>
      <c r="BZ43" s="882">
        <v>2084</v>
      </c>
      <c r="CA43" s="882">
        <v>2085</v>
      </c>
      <c r="CB43" s="882">
        <v>2086</v>
      </c>
      <c r="CC43" s="882">
        <v>2087</v>
      </c>
      <c r="CD43" s="882">
        <v>2088</v>
      </c>
      <c r="CE43" s="882">
        <v>2089</v>
      </c>
      <c r="CF43" s="883">
        <v>2090</v>
      </c>
    </row>
    <row r="44" spans="1:84">
      <c r="A44" s="876"/>
      <c r="B44" s="884" t="str">
        <f>CONCATENATE("Drivmiddel (", $D$122,"-priser)")</f>
        <v>Drivmiddel (-priser)</v>
      </c>
      <c r="C44" s="885" t="s">
        <v>843</v>
      </c>
      <c r="D44" s="886" t="e">
        <f t="shared" ref="D44" si="324">D4/#REF!*#REF!</f>
        <v>#REF!</v>
      </c>
      <c r="E44" s="886" t="e">
        <f t="shared" ref="E44" si="325">E4/#REF!*#REF!</f>
        <v>#REF!</v>
      </c>
      <c r="F44" s="886" t="e">
        <f t="shared" ref="F44" si="326">F4/#REF!*#REF!</f>
        <v>#REF!</v>
      </c>
      <c r="G44" s="886" t="e">
        <f t="shared" ref="G44" si="327">G4/#REF!*#REF!</f>
        <v>#REF!</v>
      </c>
      <c r="H44" s="886" t="e">
        <f t="shared" ref="H44" si="328">H4/#REF!*#REF!</f>
        <v>#REF!</v>
      </c>
      <c r="I44" s="886" t="e">
        <f t="shared" ref="I44" si="329">I4/#REF!*#REF!</f>
        <v>#REF!</v>
      </c>
      <c r="J44" s="886" t="e">
        <f t="shared" ref="J44" si="330">J4/#REF!*#REF!</f>
        <v>#REF!</v>
      </c>
      <c r="K44" s="886" t="e">
        <f t="shared" ref="K44" si="331">K4/#REF!*#REF!</f>
        <v>#REF!</v>
      </c>
      <c r="L44" s="886" t="e">
        <f t="shared" ref="L44" si="332">L4/#REF!*#REF!</f>
        <v>#REF!</v>
      </c>
      <c r="M44" s="886" t="e">
        <f t="shared" ref="M44" si="333">M4/#REF!*#REF!</f>
        <v>#REF!</v>
      </c>
      <c r="N44" s="886" t="e">
        <f t="shared" ref="N44" si="334">N4/#REF!*#REF!</f>
        <v>#REF!</v>
      </c>
      <c r="O44" s="886" t="e">
        <f t="shared" ref="O44" si="335">O4/#REF!*#REF!</f>
        <v>#REF!</v>
      </c>
      <c r="P44" s="886" t="e">
        <f t="shared" ref="P44" si="336">P4/#REF!*#REF!</f>
        <v>#REF!</v>
      </c>
      <c r="Q44" s="886" t="e">
        <f t="shared" ref="Q44" si="337">Q4/#REF!*#REF!</f>
        <v>#REF!</v>
      </c>
      <c r="R44" s="886" t="e">
        <f t="shared" ref="R44" si="338">R4/#REF!*#REF!</f>
        <v>#REF!</v>
      </c>
      <c r="S44" s="886" t="e">
        <f t="shared" ref="S44" si="339">S4/#REF!*#REF!</f>
        <v>#REF!</v>
      </c>
      <c r="T44" s="886" t="e">
        <f t="shared" ref="T44" si="340">T4/#REF!*#REF!</f>
        <v>#REF!</v>
      </c>
      <c r="U44" s="886" t="e">
        <f t="shared" ref="U44" si="341">U4/#REF!*#REF!</f>
        <v>#REF!</v>
      </c>
      <c r="V44" s="886" t="e">
        <f t="shared" ref="V44" si="342">V4/#REF!*#REF!</f>
        <v>#REF!</v>
      </c>
      <c r="W44" s="886" t="e">
        <f t="shared" ref="W44" si="343">W4/#REF!*#REF!</f>
        <v>#REF!</v>
      </c>
      <c r="X44" s="886" t="e">
        <f t="shared" ref="X44" si="344">X4/#REF!*#REF!</f>
        <v>#REF!</v>
      </c>
      <c r="Y44" s="886" t="e">
        <f t="shared" ref="Y44" si="345">Y4/#REF!*#REF!</f>
        <v>#REF!</v>
      </c>
      <c r="Z44" s="886" t="e">
        <f t="shared" ref="Z44" si="346">Z4/#REF!*#REF!</f>
        <v>#REF!</v>
      </c>
      <c r="AA44" s="886" t="e">
        <f t="shared" ref="AA44" si="347">AA4/#REF!*#REF!</f>
        <v>#REF!</v>
      </c>
      <c r="AB44" s="886" t="e">
        <f t="shared" ref="AB44" si="348">AB4/#REF!*#REF!</f>
        <v>#REF!</v>
      </c>
      <c r="AC44" s="886" t="e">
        <f t="shared" ref="AC44" si="349">AC4/#REF!*#REF!</f>
        <v>#REF!</v>
      </c>
      <c r="AD44" s="886" t="e">
        <f t="shared" ref="AD44" si="350">AD4/#REF!*#REF!</f>
        <v>#REF!</v>
      </c>
      <c r="AE44" s="886" t="e">
        <f t="shared" ref="AE44" si="351">AE4/#REF!*#REF!</f>
        <v>#REF!</v>
      </c>
      <c r="AF44" s="886" t="e">
        <f t="shared" ref="AF44" si="352">AF4/#REF!*#REF!</f>
        <v>#REF!</v>
      </c>
      <c r="AG44" s="886" t="e">
        <f t="shared" ref="AG44" si="353">AG4/#REF!*#REF!</f>
        <v>#REF!</v>
      </c>
      <c r="AH44" s="886" t="e">
        <f t="shared" ref="AH44" si="354">AH4/#REF!*#REF!</f>
        <v>#REF!</v>
      </c>
      <c r="AI44" s="886" t="e">
        <f t="shared" ref="AI44" si="355">AI4/#REF!*#REF!</f>
        <v>#REF!</v>
      </c>
      <c r="AJ44" s="886" t="e">
        <f t="shared" ref="AJ44" si="356">AJ4/#REF!*#REF!</f>
        <v>#REF!</v>
      </c>
      <c r="AK44" s="886" t="e">
        <f t="shared" ref="AK44" si="357">AK4/#REF!*#REF!</f>
        <v>#REF!</v>
      </c>
      <c r="AL44" s="886" t="e">
        <f t="shared" ref="AL44" si="358">AL4/#REF!*#REF!</f>
        <v>#REF!</v>
      </c>
      <c r="AM44" s="886" t="e">
        <f t="shared" ref="AM44" si="359">AM4/#REF!*#REF!</f>
        <v>#REF!</v>
      </c>
      <c r="AN44" s="886" t="e">
        <f t="shared" ref="AN44" si="360">AN4/#REF!*#REF!</f>
        <v>#REF!</v>
      </c>
      <c r="AO44" s="886" t="e">
        <f t="shared" ref="AO44" si="361">AO4/#REF!*#REF!</f>
        <v>#REF!</v>
      </c>
      <c r="AP44" s="886" t="e">
        <f t="shared" ref="AP44" si="362">AP4/#REF!*#REF!</f>
        <v>#REF!</v>
      </c>
      <c r="AQ44" s="886" t="e">
        <f t="shared" ref="AQ44" si="363">AQ4/#REF!*#REF!</f>
        <v>#REF!</v>
      </c>
      <c r="AR44" s="886" t="e">
        <f t="shared" ref="AR44" si="364">AR4/#REF!*#REF!</f>
        <v>#REF!</v>
      </c>
      <c r="AS44" s="886" t="e">
        <f t="shared" ref="AS44" si="365">AS4/#REF!*#REF!</f>
        <v>#REF!</v>
      </c>
      <c r="AT44" s="886" t="e">
        <f t="shared" ref="AT44" si="366">AT4/#REF!*#REF!</f>
        <v>#REF!</v>
      </c>
      <c r="AU44" s="886" t="e">
        <f t="shared" ref="AU44" si="367">AU4/#REF!*#REF!</f>
        <v>#REF!</v>
      </c>
      <c r="AV44" s="886" t="e">
        <f t="shared" ref="AV44" si="368">AV4/#REF!*#REF!</f>
        <v>#REF!</v>
      </c>
      <c r="AW44" s="886" t="e">
        <f t="shared" ref="AW44" si="369">AW4/#REF!*#REF!</f>
        <v>#REF!</v>
      </c>
      <c r="AX44" s="886" t="e">
        <f t="shared" ref="AX44" si="370">AX4/#REF!*#REF!</f>
        <v>#REF!</v>
      </c>
      <c r="AY44" s="886" t="e">
        <f t="shared" ref="AY44" si="371">AY4/#REF!*#REF!</f>
        <v>#REF!</v>
      </c>
      <c r="AZ44" s="886" t="e">
        <f t="shared" ref="AZ44" si="372">AZ4/#REF!*#REF!</f>
        <v>#REF!</v>
      </c>
      <c r="BA44" s="886" t="e">
        <f t="shared" ref="BA44" si="373">BA4/#REF!*#REF!</f>
        <v>#REF!</v>
      </c>
      <c r="BB44" s="886" t="e">
        <f t="shared" ref="BB44" si="374">BB4/#REF!*#REF!</f>
        <v>#REF!</v>
      </c>
      <c r="BC44" s="886" t="e">
        <f t="shared" ref="BC44" si="375">BC4/#REF!*#REF!</f>
        <v>#REF!</v>
      </c>
      <c r="BD44" s="886" t="e">
        <f t="shared" ref="BD44" si="376">BD4/#REF!*#REF!</f>
        <v>#REF!</v>
      </c>
      <c r="BE44" s="886" t="e">
        <f t="shared" ref="BE44" si="377">BE4/#REF!*#REF!</f>
        <v>#REF!</v>
      </c>
      <c r="BF44" s="886" t="e">
        <f t="shared" ref="BF44" si="378">BF4/#REF!*#REF!</f>
        <v>#REF!</v>
      </c>
      <c r="BG44" s="886" t="e">
        <f t="shared" ref="BG44" si="379">BG4/#REF!*#REF!</f>
        <v>#REF!</v>
      </c>
      <c r="BH44" s="886" t="e">
        <f t="shared" ref="BH44" si="380">BH4/#REF!*#REF!</f>
        <v>#REF!</v>
      </c>
      <c r="BI44" s="886" t="e">
        <f t="shared" ref="BI44" si="381">BI4/#REF!*#REF!</f>
        <v>#REF!</v>
      </c>
      <c r="BJ44" s="886" t="e">
        <f t="shared" ref="BJ44" si="382">BJ4/#REF!*#REF!</f>
        <v>#REF!</v>
      </c>
      <c r="BK44" s="886" t="e">
        <f t="shared" ref="BK44" si="383">BK4/#REF!*#REF!</f>
        <v>#REF!</v>
      </c>
      <c r="BL44" s="886" t="e">
        <f t="shared" ref="BL44" si="384">BL4/#REF!*#REF!</f>
        <v>#REF!</v>
      </c>
      <c r="BM44" s="886" t="e">
        <f t="shared" ref="BM44" si="385">BM4/#REF!*#REF!</f>
        <v>#REF!</v>
      </c>
      <c r="BN44" s="886" t="e">
        <f t="shared" ref="BN44" si="386">BN4/#REF!*#REF!</f>
        <v>#REF!</v>
      </c>
      <c r="BO44" s="886" t="e">
        <f t="shared" ref="BO44" si="387">BO4/#REF!*#REF!</f>
        <v>#REF!</v>
      </c>
      <c r="BP44" s="886" t="e">
        <f t="shared" ref="BP44" si="388">BP4/#REF!*#REF!</f>
        <v>#REF!</v>
      </c>
      <c r="BQ44" s="886" t="e">
        <f t="shared" ref="BQ44" si="389">BQ4/#REF!*#REF!</f>
        <v>#REF!</v>
      </c>
      <c r="BR44" s="886" t="e">
        <f t="shared" ref="BR44" si="390">BR4/#REF!*#REF!</f>
        <v>#REF!</v>
      </c>
      <c r="BS44" s="886" t="e">
        <f t="shared" ref="BS44" si="391">BS4/#REF!*#REF!</f>
        <v>#REF!</v>
      </c>
      <c r="BT44" s="886" t="e">
        <f t="shared" ref="BT44" si="392">BT4/#REF!*#REF!</f>
        <v>#REF!</v>
      </c>
      <c r="BU44" s="886" t="e">
        <f t="shared" ref="BU44" si="393">BU4/#REF!*#REF!</f>
        <v>#REF!</v>
      </c>
      <c r="BV44" s="886" t="e">
        <f t="shared" ref="BV44" si="394">BV4/#REF!*#REF!</f>
        <v>#REF!</v>
      </c>
      <c r="BW44" s="886" t="e">
        <f t="shared" ref="BW44" si="395">BW4/#REF!*#REF!</f>
        <v>#REF!</v>
      </c>
      <c r="BX44" s="886" t="e">
        <f t="shared" ref="BX44" si="396">BX4/#REF!*#REF!</f>
        <v>#REF!</v>
      </c>
      <c r="BY44" s="886" t="e">
        <f t="shared" ref="BY44" si="397">BY4/#REF!*#REF!</f>
        <v>#REF!</v>
      </c>
      <c r="BZ44" s="886" t="e">
        <f t="shared" ref="BZ44" si="398">BZ4/#REF!*#REF!</f>
        <v>#REF!</v>
      </c>
      <c r="CA44" s="886" t="e">
        <f t="shared" ref="CA44" si="399">CA4/#REF!*#REF!</f>
        <v>#REF!</v>
      </c>
      <c r="CB44" s="886" t="e">
        <f t="shared" ref="CB44" si="400">CB4/#REF!*#REF!</f>
        <v>#REF!</v>
      </c>
      <c r="CC44" s="886" t="e">
        <f t="shared" ref="CC44" si="401">CC4/#REF!*#REF!</f>
        <v>#REF!</v>
      </c>
      <c r="CD44" s="886" t="e">
        <f t="shared" ref="CD44" si="402">CD4/#REF!*#REF!</f>
        <v>#REF!</v>
      </c>
      <c r="CE44" s="886" t="e">
        <f t="shared" ref="CE44" si="403">CE4/#REF!*#REF!</f>
        <v>#REF!</v>
      </c>
      <c r="CF44" s="887" t="e">
        <f t="shared" ref="CF44" si="404">CF4/#REF!*#REF!</f>
        <v>#REF!</v>
      </c>
    </row>
    <row r="45" spans="1:84">
      <c r="A45" s="876"/>
      <c r="B45" s="884" t="s">
        <v>844</v>
      </c>
      <c r="C45" s="885" t="s">
        <v>843</v>
      </c>
      <c r="D45" s="888">
        <v>7.7763871721240496E-2</v>
      </c>
      <c r="E45" s="888">
        <v>7.7763871721240496E-2</v>
      </c>
      <c r="F45" s="888">
        <v>7.7763871721240496E-2</v>
      </c>
      <c r="G45" s="888">
        <v>7.7763871721240496E-2</v>
      </c>
      <c r="H45" s="888">
        <v>7.7763871721240496E-2</v>
      </c>
      <c r="I45" s="888">
        <v>7.7763871721240496E-2</v>
      </c>
      <c r="J45" s="888">
        <v>7.7763871721240496E-2</v>
      </c>
      <c r="K45" s="888">
        <v>7.7763871721240496E-2</v>
      </c>
      <c r="L45" s="888">
        <v>7.7763871721240496E-2</v>
      </c>
      <c r="M45" s="888">
        <v>7.7763871721240496E-2</v>
      </c>
      <c r="N45" s="888">
        <v>7.7763871721240496E-2</v>
      </c>
      <c r="O45" s="888">
        <v>7.7763871721240496E-2</v>
      </c>
      <c r="P45" s="888">
        <v>7.7763871721240496E-2</v>
      </c>
      <c r="Q45" s="888">
        <v>7.7763871721240496E-2</v>
      </c>
      <c r="R45" s="888">
        <v>7.7763871721240496E-2</v>
      </c>
      <c r="S45" s="888">
        <v>7.7763871721240496E-2</v>
      </c>
      <c r="T45" s="888">
        <v>7.7763871721240496E-2</v>
      </c>
      <c r="U45" s="888">
        <v>7.7763871721240496E-2</v>
      </c>
      <c r="V45" s="888">
        <v>7.7763871721240496E-2</v>
      </c>
      <c r="W45" s="888">
        <v>7.7763871721240496E-2</v>
      </c>
      <c r="X45" s="888">
        <v>7.7763871721240496E-2</v>
      </c>
      <c r="Y45" s="888">
        <v>7.7763871721240496E-2</v>
      </c>
      <c r="Z45" s="888">
        <v>7.7763871721240496E-2</v>
      </c>
      <c r="AA45" s="888">
        <v>7.7763871721240496E-2</v>
      </c>
      <c r="AB45" s="888">
        <v>7.7763871721240496E-2</v>
      </c>
      <c r="AC45" s="888">
        <v>7.7763871721240496E-2</v>
      </c>
      <c r="AD45" s="888">
        <v>7.7763871721240496E-2</v>
      </c>
      <c r="AE45" s="888">
        <v>7.7763871721240496E-2</v>
      </c>
      <c r="AF45" s="888">
        <v>7.7763871721240496E-2</v>
      </c>
      <c r="AG45" s="888">
        <v>7.7763871721240496E-2</v>
      </c>
      <c r="AH45" s="888">
        <v>7.7763871721240496E-2</v>
      </c>
      <c r="AI45" s="888">
        <v>7.7763871721240496E-2</v>
      </c>
      <c r="AJ45" s="888">
        <v>7.7763871721240496E-2</v>
      </c>
      <c r="AK45" s="888">
        <v>7.7763871721240496E-2</v>
      </c>
      <c r="AL45" s="888">
        <v>7.7763871721240496E-2</v>
      </c>
      <c r="AM45" s="888">
        <v>7.7763871721240496E-2</v>
      </c>
      <c r="AN45" s="888">
        <v>7.7763871721240496E-2</v>
      </c>
      <c r="AO45" s="888">
        <v>7.7763871721240496E-2</v>
      </c>
      <c r="AP45" s="888">
        <v>7.7763871721240496E-2</v>
      </c>
      <c r="AQ45" s="888">
        <v>7.7763871721240496E-2</v>
      </c>
      <c r="AR45" s="888">
        <v>7.7763871721240496E-2</v>
      </c>
      <c r="AS45" s="888">
        <v>7.7763871721240496E-2</v>
      </c>
      <c r="AT45" s="888">
        <v>7.7763871721240496E-2</v>
      </c>
      <c r="AU45" s="888">
        <v>7.7763871721240496E-2</v>
      </c>
      <c r="AV45" s="888">
        <v>7.7763871721240496E-2</v>
      </c>
      <c r="AW45" s="888">
        <v>7.7763871721240496E-2</v>
      </c>
      <c r="AX45" s="888">
        <v>7.7763871721240496E-2</v>
      </c>
      <c r="AY45" s="888">
        <v>7.7763871721240496E-2</v>
      </c>
      <c r="AZ45" s="888">
        <v>7.7763871721240496E-2</v>
      </c>
      <c r="BA45" s="888">
        <v>7.7763871721240496E-2</v>
      </c>
      <c r="BB45" s="888">
        <v>7.7763871721240496E-2</v>
      </c>
      <c r="BC45" s="888">
        <v>7.7763871721240496E-2</v>
      </c>
      <c r="BD45" s="888">
        <v>7.7763871721240496E-2</v>
      </c>
      <c r="BE45" s="888">
        <v>7.7763871721240496E-2</v>
      </c>
      <c r="BF45" s="888">
        <v>7.7763871721240496E-2</v>
      </c>
      <c r="BG45" s="888">
        <v>7.7763871721240496E-2</v>
      </c>
      <c r="BH45" s="888">
        <v>7.7763871721240496E-2</v>
      </c>
      <c r="BI45" s="888">
        <v>7.7763871721240496E-2</v>
      </c>
      <c r="BJ45" s="888">
        <v>7.7763871721240496E-2</v>
      </c>
      <c r="BK45" s="888">
        <v>7.7763871721240496E-2</v>
      </c>
      <c r="BL45" s="888">
        <v>7.7763871721240496E-2</v>
      </c>
      <c r="BM45" s="888">
        <v>7.7763871721240496E-2</v>
      </c>
      <c r="BN45" s="888">
        <v>7.7763871721240496E-2</v>
      </c>
      <c r="BO45" s="888">
        <v>7.7763871721240496E-2</v>
      </c>
      <c r="BP45" s="888">
        <v>7.7763871721240496E-2</v>
      </c>
      <c r="BQ45" s="888">
        <v>7.7763871721240496E-2</v>
      </c>
      <c r="BR45" s="888">
        <v>7.7763871721240496E-2</v>
      </c>
      <c r="BS45" s="888">
        <v>7.7763871721240496E-2</v>
      </c>
      <c r="BT45" s="888">
        <v>7.7763871721240496E-2</v>
      </c>
      <c r="BU45" s="888">
        <v>7.7763871721240496E-2</v>
      </c>
      <c r="BV45" s="888">
        <v>7.7763871721240496E-2</v>
      </c>
      <c r="BW45" s="888">
        <v>7.7763871721240496E-2</v>
      </c>
      <c r="BX45" s="888">
        <v>7.7763871721240496E-2</v>
      </c>
      <c r="BY45" s="888">
        <v>7.7763871721240496E-2</v>
      </c>
      <c r="BZ45" s="888">
        <v>7.7763871721240496E-2</v>
      </c>
      <c r="CA45" s="888">
        <v>7.7763871721240496E-2</v>
      </c>
      <c r="CB45" s="888">
        <v>7.7763871721240496E-2</v>
      </c>
      <c r="CC45" s="888">
        <v>7.7763871721240496E-2</v>
      </c>
      <c r="CD45" s="888">
        <v>7.7763871721240496E-2</v>
      </c>
      <c r="CE45" s="888">
        <v>7.7763871721240496E-2</v>
      </c>
      <c r="CF45" s="889">
        <v>7.7763871721240496E-2</v>
      </c>
    </row>
    <row r="46" spans="1:84">
      <c r="A46" s="876"/>
      <c r="B46" s="884" t="s">
        <v>845</v>
      </c>
      <c r="C46" s="885" t="s">
        <v>843</v>
      </c>
      <c r="D46" s="888">
        <v>1.0538307363788479</v>
      </c>
      <c r="E46" s="888">
        <v>1.0538307363788479</v>
      </c>
      <c r="F46" s="888">
        <v>1.0538307363788479</v>
      </c>
      <c r="G46" s="888">
        <v>1.0538307363788479</v>
      </c>
      <c r="H46" s="888">
        <v>1.0538307363788479</v>
      </c>
      <c r="I46" s="888">
        <v>1.0538307363788479</v>
      </c>
      <c r="J46" s="888">
        <v>1.0538307363788479</v>
      </c>
      <c r="K46" s="888">
        <v>1.0538307363788479</v>
      </c>
      <c r="L46" s="888">
        <v>1.0538307363788479</v>
      </c>
      <c r="M46" s="888">
        <v>1.0538307363788479</v>
      </c>
      <c r="N46" s="888">
        <v>1.0538307363788479</v>
      </c>
      <c r="O46" s="888">
        <v>1.0538307363788479</v>
      </c>
      <c r="P46" s="888">
        <v>1.0538307363788479</v>
      </c>
      <c r="Q46" s="888">
        <v>1.0538307363788479</v>
      </c>
      <c r="R46" s="888">
        <v>1.0538307363788479</v>
      </c>
      <c r="S46" s="888">
        <v>1.0538307363788479</v>
      </c>
      <c r="T46" s="888">
        <v>1.0538307363788479</v>
      </c>
      <c r="U46" s="888">
        <v>1.0538307363788479</v>
      </c>
      <c r="V46" s="888">
        <v>1.0538307363788479</v>
      </c>
      <c r="W46" s="888">
        <v>1.0538307363788479</v>
      </c>
      <c r="X46" s="888">
        <v>1.0538307363788479</v>
      </c>
      <c r="Y46" s="888">
        <v>1.0538307363788479</v>
      </c>
      <c r="Z46" s="888">
        <v>1.0538307363788479</v>
      </c>
      <c r="AA46" s="888">
        <v>1.0538307363788479</v>
      </c>
      <c r="AB46" s="888">
        <v>1.0538307363788479</v>
      </c>
      <c r="AC46" s="888">
        <v>1.0538307363788479</v>
      </c>
      <c r="AD46" s="888">
        <v>1.0538307363788479</v>
      </c>
      <c r="AE46" s="888">
        <v>1.0538307363788479</v>
      </c>
      <c r="AF46" s="888">
        <v>1.0538307363788479</v>
      </c>
      <c r="AG46" s="888">
        <v>1.0538307363788479</v>
      </c>
      <c r="AH46" s="888">
        <v>1.0538307363788479</v>
      </c>
      <c r="AI46" s="888">
        <v>1.0538307363788479</v>
      </c>
      <c r="AJ46" s="888">
        <v>1.0538307363788479</v>
      </c>
      <c r="AK46" s="888">
        <v>1.0538307363788479</v>
      </c>
      <c r="AL46" s="888">
        <v>1.0538307363788479</v>
      </c>
      <c r="AM46" s="888">
        <v>1.0538307363788479</v>
      </c>
      <c r="AN46" s="888">
        <v>1.0538307363788479</v>
      </c>
      <c r="AO46" s="888">
        <v>1.0538307363788479</v>
      </c>
      <c r="AP46" s="888">
        <v>1.0538307363788479</v>
      </c>
      <c r="AQ46" s="888">
        <v>1.0538307363788479</v>
      </c>
      <c r="AR46" s="888">
        <v>1.0538307363788479</v>
      </c>
      <c r="AS46" s="888">
        <v>1.0538307363788479</v>
      </c>
      <c r="AT46" s="888">
        <v>1.0538307363788479</v>
      </c>
      <c r="AU46" s="888">
        <v>1.0538307363788479</v>
      </c>
      <c r="AV46" s="888">
        <v>1.0538307363788479</v>
      </c>
      <c r="AW46" s="888">
        <v>1.0538307363788479</v>
      </c>
      <c r="AX46" s="888">
        <v>1.0538307363788479</v>
      </c>
      <c r="AY46" s="888">
        <v>1.0538307363788479</v>
      </c>
      <c r="AZ46" s="888">
        <v>1.0538307363788479</v>
      </c>
      <c r="BA46" s="888">
        <v>1.0538307363788479</v>
      </c>
      <c r="BB46" s="888">
        <v>1.0538307363788479</v>
      </c>
      <c r="BC46" s="888">
        <v>1.0538307363788479</v>
      </c>
      <c r="BD46" s="888">
        <v>1.0538307363788479</v>
      </c>
      <c r="BE46" s="888">
        <v>1.0538307363788479</v>
      </c>
      <c r="BF46" s="888">
        <v>1.0538307363788479</v>
      </c>
      <c r="BG46" s="888">
        <v>1.0538307363788479</v>
      </c>
      <c r="BH46" s="888">
        <v>1.0538307363788479</v>
      </c>
      <c r="BI46" s="888">
        <v>1.0538307363788479</v>
      </c>
      <c r="BJ46" s="888">
        <v>1.0538307363788479</v>
      </c>
      <c r="BK46" s="888">
        <v>1.0538307363788479</v>
      </c>
      <c r="BL46" s="888">
        <v>1.0538307363788479</v>
      </c>
      <c r="BM46" s="888">
        <v>1.0538307363788479</v>
      </c>
      <c r="BN46" s="888">
        <v>1.0538307363788479</v>
      </c>
      <c r="BO46" s="888">
        <v>1.0538307363788479</v>
      </c>
      <c r="BP46" s="888">
        <v>1.0538307363788479</v>
      </c>
      <c r="BQ46" s="888">
        <v>1.0538307363788479</v>
      </c>
      <c r="BR46" s="888">
        <v>1.0538307363788479</v>
      </c>
      <c r="BS46" s="888">
        <v>1.0538307363788479</v>
      </c>
      <c r="BT46" s="888">
        <v>1.0538307363788479</v>
      </c>
      <c r="BU46" s="888">
        <v>1.0538307363788479</v>
      </c>
      <c r="BV46" s="888">
        <v>1.0538307363788479</v>
      </c>
      <c r="BW46" s="888">
        <v>1.0538307363788479</v>
      </c>
      <c r="BX46" s="888">
        <v>1.0538307363788479</v>
      </c>
      <c r="BY46" s="888">
        <v>1.0538307363788479</v>
      </c>
      <c r="BZ46" s="888">
        <v>1.0538307363788479</v>
      </c>
      <c r="CA46" s="888">
        <v>1.0538307363788479</v>
      </c>
      <c r="CB46" s="888">
        <v>1.0538307363788479</v>
      </c>
      <c r="CC46" s="888">
        <v>1.0538307363788479</v>
      </c>
      <c r="CD46" s="888">
        <v>1.0538307363788479</v>
      </c>
      <c r="CE46" s="888">
        <v>1.0538307363788479</v>
      </c>
      <c r="CF46" s="889">
        <v>1.0538307363788479</v>
      </c>
    </row>
    <row r="47" spans="1:84">
      <c r="A47" s="876"/>
      <c r="B47" s="890" t="s">
        <v>846</v>
      </c>
      <c r="C47" s="891" t="s">
        <v>843</v>
      </c>
      <c r="D47" s="892">
        <v>0.31729159478660818</v>
      </c>
      <c r="E47" s="893">
        <v>0.31729159478660818</v>
      </c>
      <c r="F47" s="893">
        <v>0.31729159478660818</v>
      </c>
      <c r="G47" s="893">
        <v>0.31729159478660818</v>
      </c>
      <c r="H47" s="893">
        <v>0.31729159478660818</v>
      </c>
      <c r="I47" s="893">
        <v>0.31729159478660818</v>
      </c>
      <c r="J47" s="893">
        <v>0.31729159478660818</v>
      </c>
      <c r="K47" s="893">
        <v>0.31729159478660818</v>
      </c>
      <c r="L47" s="893">
        <v>0.31729159478660818</v>
      </c>
      <c r="M47" s="893">
        <v>0.31729159478660818</v>
      </c>
      <c r="N47" s="893">
        <v>0.31729159478660818</v>
      </c>
      <c r="O47" s="893">
        <v>0.31729159478660818</v>
      </c>
      <c r="P47" s="893">
        <v>0.31729159478660818</v>
      </c>
      <c r="Q47" s="893">
        <v>0.31729159478660818</v>
      </c>
      <c r="R47" s="893">
        <v>0.31729159478660818</v>
      </c>
      <c r="S47" s="893">
        <v>0.31729159478660818</v>
      </c>
      <c r="T47" s="893">
        <v>0.31729159478660818</v>
      </c>
      <c r="U47" s="893">
        <v>0.31729159478660818</v>
      </c>
      <c r="V47" s="893">
        <v>0.31729159478660818</v>
      </c>
      <c r="W47" s="893">
        <v>0.31729159478660818</v>
      </c>
      <c r="X47" s="893">
        <v>0.31729159478660818</v>
      </c>
      <c r="Y47" s="893">
        <v>0.31729159478660818</v>
      </c>
      <c r="Z47" s="893">
        <v>0.31729159478660818</v>
      </c>
      <c r="AA47" s="893">
        <v>0.31729159478660818</v>
      </c>
      <c r="AB47" s="893">
        <v>0.31729159478660818</v>
      </c>
      <c r="AC47" s="893">
        <v>0.31729159478660818</v>
      </c>
      <c r="AD47" s="893">
        <v>0.31729159478660818</v>
      </c>
      <c r="AE47" s="893">
        <v>0.31729159478660818</v>
      </c>
      <c r="AF47" s="893">
        <v>0.31729159478660818</v>
      </c>
      <c r="AG47" s="893">
        <v>0.31729159478660818</v>
      </c>
      <c r="AH47" s="893">
        <v>0.31729159478660818</v>
      </c>
      <c r="AI47" s="893">
        <v>0.31729159478660818</v>
      </c>
      <c r="AJ47" s="893">
        <v>0.31729159478660818</v>
      </c>
      <c r="AK47" s="893">
        <v>0.31729159478660818</v>
      </c>
      <c r="AL47" s="893">
        <v>0.31729159478660818</v>
      </c>
      <c r="AM47" s="893">
        <v>0.31729159478660818</v>
      </c>
      <c r="AN47" s="893">
        <v>0.31729159478660818</v>
      </c>
      <c r="AO47" s="893">
        <v>0.31729159478660818</v>
      </c>
      <c r="AP47" s="893">
        <v>0.31729159478660818</v>
      </c>
      <c r="AQ47" s="893">
        <v>0.31729159478660818</v>
      </c>
      <c r="AR47" s="893">
        <v>0.31729159478660818</v>
      </c>
      <c r="AS47" s="893">
        <v>0.31729159478660818</v>
      </c>
      <c r="AT47" s="893">
        <v>0.31729159478660818</v>
      </c>
      <c r="AU47" s="893">
        <v>0.31729159478660818</v>
      </c>
      <c r="AV47" s="893">
        <v>0.31729159478660818</v>
      </c>
      <c r="AW47" s="893">
        <v>0.31729159478660818</v>
      </c>
      <c r="AX47" s="893">
        <v>0.31729159478660818</v>
      </c>
      <c r="AY47" s="893">
        <v>0.31729159478660818</v>
      </c>
      <c r="AZ47" s="893">
        <v>0.31729159478660818</v>
      </c>
      <c r="BA47" s="893">
        <v>0.31729159478660818</v>
      </c>
      <c r="BB47" s="893">
        <v>0.31729159478660818</v>
      </c>
      <c r="BC47" s="893">
        <v>0.31729159478660818</v>
      </c>
      <c r="BD47" s="893">
        <v>0.31729159478660818</v>
      </c>
      <c r="BE47" s="893">
        <v>0.31729159478660818</v>
      </c>
      <c r="BF47" s="893">
        <v>0.31729159478660818</v>
      </c>
      <c r="BG47" s="893">
        <v>0.31729159478660818</v>
      </c>
      <c r="BH47" s="893">
        <v>0.31729159478660818</v>
      </c>
      <c r="BI47" s="893">
        <v>0.31729159478660818</v>
      </c>
      <c r="BJ47" s="893">
        <v>0.31729159478660818</v>
      </c>
      <c r="BK47" s="893">
        <v>0.31729159478660818</v>
      </c>
      <c r="BL47" s="893">
        <v>0.31729159478660818</v>
      </c>
      <c r="BM47" s="893">
        <v>0.31729159478660818</v>
      </c>
      <c r="BN47" s="893">
        <v>0.31729159478660818</v>
      </c>
      <c r="BO47" s="893">
        <v>0.31729159478660818</v>
      </c>
      <c r="BP47" s="893">
        <v>0.31729159478660818</v>
      </c>
      <c r="BQ47" s="893">
        <v>0.31729159478660818</v>
      </c>
      <c r="BR47" s="893">
        <v>0.31729159478660818</v>
      </c>
      <c r="BS47" s="893">
        <v>0.31729159478660818</v>
      </c>
      <c r="BT47" s="893">
        <v>0.31729159478660818</v>
      </c>
      <c r="BU47" s="893">
        <v>0.31729159478660818</v>
      </c>
      <c r="BV47" s="893">
        <v>0.31729159478660818</v>
      </c>
      <c r="BW47" s="893">
        <v>0.31729159478660818</v>
      </c>
      <c r="BX47" s="893">
        <v>0.31729159478660818</v>
      </c>
      <c r="BY47" s="893">
        <v>0.31729159478660818</v>
      </c>
      <c r="BZ47" s="893">
        <v>0.31729159478660818</v>
      </c>
      <c r="CA47" s="893">
        <v>0.31729159478660818</v>
      </c>
      <c r="CB47" s="893">
        <v>0.31729159478660818</v>
      </c>
      <c r="CC47" s="893">
        <v>0.31729159478660818</v>
      </c>
      <c r="CD47" s="893">
        <v>0.31729159478660818</v>
      </c>
      <c r="CE47" s="893">
        <v>0.31729159478660818</v>
      </c>
      <c r="CF47" s="894">
        <v>0.31729159478660818</v>
      </c>
    </row>
    <row r="48" spans="1:84">
      <c r="A48" s="876"/>
      <c r="B48" s="884" t="str">
        <f>CONCATENATE("Drivmiddel (", $D$122,"-priser)")</f>
        <v>Drivmiddel (-priser)</v>
      </c>
      <c r="C48" s="885" t="s">
        <v>847</v>
      </c>
      <c r="D48" s="886" t="e">
        <f t="shared" ref="D48" si="405">D7/#REF!*#REF!</f>
        <v>#REF!</v>
      </c>
      <c r="E48" s="886" t="e">
        <f t="shared" ref="E48" si="406">E7/#REF!*#REF!</f>
        <v>#REF!</v>
      </c>
      <c r="F48" s="886" t="e">
        <f t="shared" ref="F48" si="407">F7/#REF!*#REF!</f>
        <v>#REF!</v>
      </c>
      <c r="G48" s="886" t="e">
        <f t="shared" ref="G48" si="408">G7/#REF!*#REF!</f>
        <v>#REF!</v>
      </c>
      <c r="H48" s="886" t="e">
        <f t="shared" ref="H48" si="409">H7/#REF!*#REF!</f>
        <v>#REF!</v>
      </c>
      <c r="I48" s="886" t="e">
        <f t="shared" ref="I48" si="410">I7/#REF!*#REF!</f>
        <v>#REF!</v>
      </c>
      <c r="J48" s="886" t="e">
        <f t="shared" ref="J48" si="411">J7/#REF!*#REF!</f>
        <v>#REF!</v>
      </c>
      <c r="K48" s="886" t="e">
        <f t="shared" ref="K48" si="412">K7/#REF!*#REF!</f>
        <v>#REF!</v>
      </c>
      <c r="L48" s="886" t="e">
        <f t="shared" ref="L48" si="413">L7/#REF!*#REF!</f>
        <v>#REF!</v>
      </c>
      <c r="M48" s="886" t="e">
        <f t="shared" ref="M48" si="414">M7/#REF!*#REF!</f>
        <v>#REF!</v>
      </c>
      <c r="N48" s="886" t="e">
        <f t="shared" ref="N48" si="415">N7/#REF!*#REF!</f>
        <v>#REF!</v>
      </c>
      <c r="O48" s="886" t="e">
        <f t="shared" ref="O48" si="416">O7/#REF!*#REF!</f>
        <v>#REF!</v>
      </c>
      <c r="P48" s="886" t="e">
        <f t="shared" ref="P48" si="417">P7/#REF!*#REF!</f>
        <v>#REF!</v>
      </c>
      <c r="Q48" s="886" t="e">
        <f t="shared" ref="Q48" si="418">Q7/#REF!*#REF!</f>
        <v>#REF!</v>
      </c>
      <c r="R48" s="886" t="e">
        <f t="shared" ref="R48" si="419">R7/#REF!*#REF!</f>
        <v>#REF!</v>
      </c>
      <c r="S48" s="886" t="e">
        <f t="shared" ref="S48" si="420">S7/#REF!*#REF!</f>
        <v>#REF!</v>
      </c>
      <c r="T48" s="886" t="e">
        <f t="shared" ref="T48" si="421">T7/#REF!*#REF!</f>
        <v>#REF!</v>
      </c>
      <c r="U48" s="886" t="e">
        <f t="shared" ref="U48" si="422">U7/#REF!*#REF!</f>
        <v>#REF!</v>
      </c>
      <c r="V48" s="886" t="e">
        <f t="shared" ref="V48" si="423">V7/#REF!*#REF!</f>
        <v>#REF!</v>
      </c>
      <c r="W48" s="886" t="e">
        <f t="shared" ref="W48" si="424">W7/#REF!*#REF!</f>
        <v>#REF!</v>
      </c>
      <c r="X48" s="886" t="e">
        <f t="shared" ref="X48" si="425">X7/#REF!*#REF!</f>
        <v>#REF!</v>
      </c>
      <c r="Y48" s="886" t="e">
        <f t="shared" ref="Y48" si="426">Y7/#REF!*#REF!</f>
        <v>#REF!</v>
      </c>
      <c r="Z48" s="886" t="e">
        <f t="shared" ref="Z48" si="427">Z7/#REF!*#REF!</f>
        <v>#REF!</v>
      </c>
      <c r="AA48" s="886" t="e">
        <f t="shared" ref="AA48" si="428">AA7/#REF!*#REF!</f>
        <v>#REF!</v>
      </c>
      <c r="AB48" s="886" t="e">
        <f t="shared" ref="AB48" si="429">AB7/#REF!*#REF!</f>
        <v>#REF!</v>
      </c>
      <c r="AC48" s="886" t="e">
        <f t="shared" ref="AC48" si="430">AC7/#REF!*#REF!</f>
        <v>#REF!</v>
      </c>
      <c r="AD48" s="886" t="e">
        <f t="shared" ref="AD48" si="431">AD7/#REF!*#REF!</f>
        <v>#REF!</v>
      </c>
      <c r="AE48" s="886" t="e">
        <f t="shared" ref="AE48" si="432">AE7/#REF!*#REF!</f>
        <v>#REF!</v>
      </c>
      <c r="AF48" s="886" t="e">
        <f t="shared" ref="AF48" si="433">AF7/#REF!*#REF!</f>
        <v>#REF!</v>
      </c>
      <c r="AG48" s="886" t="e">
        <f t="shared" ref="AG48" si="434">AG7/#REF!*#REF!</f>
        <v>#REF!</v>
      </c>
      <c r="AH48" s="886" t="e">
        <f t="shared" ref="AH48" si="435">AH7/#REF!*#REF!</f>
        <v>#REF!</v>
      </c>
      <c r="AI48" s="886" t="e">
        <f t="shared" ref="AI48" si="436">AI7/#REF!*#REF!</f>
        <v>#REF!</v>
      </c>
      <c r="AJ48" s="886" t="e">
        <f t="shared" ref="AJ48" si="437">AJ7/#REF!*#REF!</f>
        <v>#REF!</v>
      </c>
      <c r="AK48" s="886" t="e">
        <f t="shared" ref="AK48" si="438">AK7/#REF!*#REF!</f>
        <v>#REF!</v>
      </c>
      <c r="AL48" s="886" t="e">
        <f t="shared" ref="AL48" si="439">AL7/#REF!*#REF!</f>
        <v>#REF!</v>
      </c>
      <c r="AM48" s="886" t="e">
        <f t="shared" ref="AM48" si="440">AM7/#REF!*#REF!</f>
        <v>#REF!</v>
      </c>
      <c r="AN48" s="886" t="e">
        <f t="shared" ref="AN48" si="441">AN7/#REF!*#REF!</f>
        <v>#REF!</v>
      </c>
      <c r="AO48" s="886" t="e">
        <f t="shared" ref="AO48" si="442">AO7/#REF!*#REF!</f>
        <v>#REF!</v>
      </c>
      <c r="AP48" s="886" t="e">
        <f t="shared" ref="AP48" si="443">AP7/#REF!*#REF!</f>
        <v>#REF!</v>
      </c>
      <c r="AQ48" s="886" t="e">
        <f t="shared" ref="AQ48" si="444">AQ7/#REF!*#REF!</f>
        <v>#REF!</v>
      </c>
      <c r="AR48" s="886" t="e">
        <f t="shared" ref="AR48" si="445">AR7/#REF!*#REF!</f>
        <v>#REF!</v>
      </c>
      <c r="AS48" s="886" t="e">
        <f t="shared" ref="AS48" si="446">AS7/#REF!*#REF!</f>
        <v>#REF!</v>
      </c>
      <c r="AT48" s="886" t="e">
        <f t="shared" ref="AT48" si="447">AT7/#REF!*#REF!</f>
        <v>#REF!</v>
      </c>
      <c r="AU48" s="886" t="e">
        <f t="shared" ref="AU48" si="448">AU7/#REF!*#REF!</f>
        <v>#REF!</v>
      </c>
      <c r="AV48" s="886" t="e">
        <f t="shared" ref="AV48" si="449">AV7/#REF!*#REF!</f>
        <v>#REF!</v>
      </c>
      <c r="AW48" s="886" t="e">
        <f t="shared" ref="AW48" si="450">AW7/#REF!*#REF!</f>
        <v>#REF!</v>
      </c>
      <c r="AX48" s="886" t="e">
        <f t="shared" ref="AX48" si="451">AX7/#REF!*#REF!</f>
        <v>#REF!</v>
      </c>
      <c r="AY48" s="886" t="e">
        <f t="shared" ref="AY48" si="452">AY7/#REF!*#REF!</f>
        <v>#REF!</v>
      </c>
      <c r="AZ48" s="886" t="e">
        <f t="shared" ref="AZ48" si="453">AZ7/#REF!*#REF!</f>
        <v>#REF!</v>
      </c>
      <c r="BA48" s="886" t="e">
        <f t="shared" ref="BA48" si="454">BA7/#REF!*#REF!</f>
        <v>#REF!</v>
      </c>
      <c r="BB48" s="886" t="e">
        <f t="shared" ref="BB48" si="455">BB7/#REF!*#REF!</f>
        <v>#REF!</v>
      </c>
      <c r="BC48" s="886" t="e">
        <f t="shared" ref="BC48" si="456">BC7/#REF!*#REF!</f>
        <v>#REF!</v>
      </c>
      <c r="BD48" s="886" t="e">
        <f t="shared" ref="BD48" si="457">BD7/#REF!*#REF!</f>
        <v>#REF!</v>
      </c>
      <c r="BE48" s="886" t="e">
        <f t="shared" ref="BE48" si="458">BE7/#REF!*#REF!</f>
        <v>#REF!</v>
      </c>
      <c r="BF48" s="886" t="e">
        <f t="shared" ref="BF48" si="459">BF7/#REF!*#REF!</f>
        <v>#REF!</v>
      </c>
      <c r="BG48" s="886" t="e">
        <f t="shared" ref="BG48" si="460">BG7/#REF!*#REF!</f>
        <v>#REF!</v>
      </c>
      <c r="BH48" s="886" t="e">
        <f t="shared" ref="BH48" si="461">BH7/#REF!*#REF!</f>
        <v>#REF!</v>
      </c>
      <c r="BI48" s="886" t="e">
        <f t="shared" ref="BI48" si="462">BI7/#REF!*#REF!</f>
        <v>#REF!</v>
      </c>
      <c r="BJ48" s="886" t="e">
        <f t="shared" ref="BJ48" si="463">BJ7/#REF!*#REF!</f>
        <v>#REF!</v>
      </c>
      <c r="BK48" s="886" t="e">
        <f t="shared" ref="BK48" si="464">BK7/#REF!*#REF!</f>
        <v>#REF!</v>
      </c>
      <c r="BL48" s="886" t="e">
        <f t="shared" ref="BL48" si="465">BL7/#REF!*#REF!</f>
        <v>#REF!</v>
      </c>
      <c r="BM48" s="886" t="e">
        <f t="shared" ref="BM48" si="466">BM7/#REF!*#REF!</f>
        <v>#REF!</v>
      </c>
      <c r="BN48" s="886" t="e">
        <f t="shared" ref="BN48" si="467">BN7/#REF!*#REF!</f>
        <v>#REF!</v>
      </c>
      <c r="BO48" s="886" t="e">
        <f t="shared" ref="BO48" si="468">BO7/#REF!*#REF!</f>
        <v>#REF!</v>
      </c>
      <c r="BP48" s="886" t="e">
        <f t="shared" ref="BP48" si="469">BP7/#REF!*#REF!</f>
        <v>#REF!</v>
      </c>
      <c r="BQ48" s="886" t="e">
        <f t="shared" ref="BQ48" si="470">BQ7/#REF!*#REF!</f>
        <v>#REF!</v>
      </c>
      <c r="BR48" s="886" t="e">
        <f t="shared" ref="BR48" si="471">BR7/#REF!*#REF!</f>
        <v>#REF!</v>
      </c>
      <c r="BS48" s="886" t="e">
        <f t="shared" ref="BS48" si="472">BS7/#REF!*#REF!</f>
        <v>#REF!</v>
      </c>
      <c r="BT48" s="886" t="e">
        <f t="shared" ref="BT48" si="473">BT7/#REF!*#REF!</f>
        <v>#REF!</v>
      </c>
      <c r="BU48" s="886" t="e">
        <f t="shared" ref="BU48" si="474">BU7/#REF!*#REF!</f>
        <v>#REF!</v>
      </c>
      <c r="BV48" s="886" t="e">
        <f t="shared" ref="BV48" si="475">BV7/#REF!*#REF!</f>
        <v>#REF!</v>
      </c>
      <c r="BW48" s="886" t="e">
        <f t="shared" ref="BW48" si="476">BW7/#REF!*#REF!</f>
        <v>#REF!</v>
      </c>
      <c r="BX48" s="886" t="e">
        <f t="shared" ref="BX48" si="477">BX7/#REF!*#REF!</f>
        <v>#REF!</v>
      </c>
      <c r="BY48" s="886" t="e">
        <f t="shared" ref="BY48" si="478">BY7/#REF!*#REF!</f>
        <v>#REF!</v>
      </c>
      <c r="BZ48" s="886" t="e">
        <f t="shared" ref="BZ48" si="479">BZ7/#REF!*#REF!</f>
        <v>#REF!</v>
      </c>
      <c r="CA48" s="886" t="e">
        <f t="shared" ref="CA48" si="480">CA7/#REF!*#REF!</f>
        <v>#REF!</v>
      </c>
      <c r="CB48" s="886" t="e">
        <f t="shared" ref="CB48" si="481">CB7/#REF!*#REF!</f>
        <v>#REF!</v>
      </c>
      <c r="CC48" s="886" t="e">
        <f t="shared" ref="CC48" si="482">CC7/#REF!*#REF!</f>
        <v>#REF!</v>
      </c>
      <c r="CD48" s="886" t="e">
        <f t="shared" ref="CD48" si="483">CD7/#REF!*#REF!</f>
        <v>#REF!</v>
      </c>
      <c r="CE48" s="886" t="e">
        <f t="shared" ref="CE48" si="484">CE7/#REF!*#REF!</f>
        <v>#REF!</v>
      </c>
      <c r="CF48" s="887" t="e">
        <f t="shared" ref="CF48" si="485">CF7/#REF!*#REF!</f>
        <v>#REF!</v>
      </c>
    </row>
    <row r="49" spans="1:84">
      <c r="A49" s="876"/>
      <c r="B49" s="884" t="s">
        <v>844</v>
      </c>
      <c r="C49" s="885" t="s">
        <v>847</v>
      </c>
      <c r="D49" s="888">
        <v>9.7204839651550606E-2</v>
      </c>
      <c r="E49" s="888">
        <v>9.7204839651550606E-2</v>
      </c>
      <c r="F49" s="888">
        <v>9.7204839651550606E-2</v>
      </c>
      <c r="G49" s="888">
        <v>9.7204839651550606E-2</v>
      </c>
      <c r="H49" s="888">
        <v>9.7204839651550606E-2</v>
      </c>
      <c r="I49" s="888">
        <v>9.7204839651550606E-2</v>
      </c>
      <c r="J49" s="888">
        <v>9.7204839651550606E-2</v>
      </c>
      <c r="K49" s="888">
        <v>9.7204839651550606E-2</v>
      </c>
      <c r="L49" s="888">
        <v>9.7204839651550606E-2</v>
      </c>
      <c r="M49" s="888">
        <v>9.7204839651550606E-2</v>
      </c>
      <c r="N49" s="888">
        <v>9.7204839651550606E-2</v>
      </c>
      <c r="O49" s="888">
        <v>9.7204839651550606E-2</v>
      </c>
      <c r="P49" s="888">
        <v>9.7204839651550606E-2</v>
      </c>
      <c r="Q49" s="888">
        <v>9.7204839651550606E-2</v>
      </c>
      <c r="R49" s="888">
        <v>9.7204839651550606E-2</v>
      </c>
      <c r="S49" s="888">
        <v>9.7204839651550606E-2</v>
      </c>
      <c r="T49" s="888">
        <v>9.7204839651550606E-2</v>
      </c>
      <c r="U49" s="888">
        <v>9.7204839651550606E-2</v>
      </c>
      <c r="V49" s="888">
        <v>9.7204839651550606E-2</v>
      </c>
      <c r="W49" s="888">
        <v>9.7204839651550606E-2</v>
      </c>
      <c r="X49" s="888">
        <v>9.7204839651550606E-2</v>
      </c>
      <c r="Y49" s="888">
        <v>9.7204839651550606E-2</v>
      </c>
      <c r="Z49" s="888">
        <v>9.7204839651550606E-2</v>
      </c>
      <c r="AA49" s="888">
        <v>9.7204839651550606E-2</v>
      </c>
      <c r="AB49" s="888">
        <v>9.7204839651550606E-2</v>
      </c>
      <c r="AC49" s="888">
        <v>9.7204839651550606E-2</v>
      </c>
      <c r="AD49" s="888">
        <v>9.7204839651550606E-2</v>
      </c>
      <c r="AE49" s="888">
        <v>9.7204839651550606E-2</v>
      </c>
      <c r="AF49" s="888">
        <v>9.7204839651550606E-2</v>
      </c>
      <c r="AG49" s="888">
        <v>9.7204839651550606E-2</v>
      </c>
      <c r="AH49" s="888">
        <v>9.7204839651550606E-2</v>
      </c>
      <c r="AI49" s="888">
        <v>9.7204839651550606E-2</v>
      </c>
      <c r="AJ49" s="888">
        <v>9.7204839651550606E-2</v>
      </c>
      <c r="AK49" s="888">
        <v>9.7204839651550606E-2</v>
      </c>
      <c r="AL49" s="888">
        <v>9.7204839651550606E-2</v>
      </c>
      <c r="AM49" s="888">
        <v>9.7204839651550606E-2</v>
      </c>
      <c r="AN49" s="888">
        <v>9.7204839651550606E-2</v>
      </c>
      <c r="AO49" s="888">
        <v>9.7204839651550606E-2</v>
      </c>
      <c r="AP49" s="888">
        <v>9.7204839651550606E-2</v>
      </c>
      <c r="AQ49" s="888">
        <v>9.7204839651550606E-2</v>
      </c>
      <c r="AR49" s="888">
        <v>9.7204839651550606E-2</v>
      </c>
      <c r="AS49" s="888">
        <v>9.7204839651550606E-2</v>
      </c>
      <c r="AT49" s="888">
        <v>9.7204839651550606E-2</v>
      </c>
      <c r="AU49" s="888">
        <v>9.7204839651550606E-2</v>
      </c>
      <c r="AV49" s="888">
        <v>9.7204839651550606E-2</v>
      </c>
      <c r="AW49" s="888">
        <v>9.7204839651550606E-2</v>
      </c>
      <c r="AX49" s="888">
        <v>9.7204839651550606E-2</v>
      </c>
      <c r="AY49" s="888">
        <v>9.7204839651550606E-2</v>
      </c>
      <c r="AZ49" s="888">
        <v>9.7204839651550606E-2</v>
      </c>
      <c r="BA49" s="888">
        <v>9.7204839651550606E-2</v>
      </c>
      <c r="BB49" s="888">
        <v>9.7204839651550606E-2</v>
      </c>
      <c r="BC49" s="888">
        <v>9.7204839651550606E-2</v>
      </c>
      <c r="BD49" s="888">
        <v>9.7204839651550606E-2</v>
      </c>
      <c r="BE49" s="888">
        <v>9.7204839651550606E-2</v>
      </c>
      <c r="BF49" s="888">
        <v>9.7204839651550606E-2</v>
      </c>
      <c r="BG49" s="888">
        <v>9.7204839651550606E-2</v>
      </c>
      <c r="BH49" s="888">
        <v>9.7204839651550606E-2</v>
      </c>
      <c r="BI49" s="888">
        <v>9.7204839651550606E-2</v>
      </c>
      <c r="BJ49" s="888">
        <v>9.7204839651550606E-2</v>
      </c>
      <c r="BK49" s="888">
        <v>9.7204839651550606E-2</v>
      </c>
      <c r="BL49" s="888">
        <v>9.7204839651550606E-2</v>
      </c>
      <c r="BM49" s="888">
        <v>9.7204839651550606E-2</v>
      </c>
      <c r="BN49" s="888">
        <v>9.7204839651550606E-2</v>
      </c>
      <c r="BO49" s="888">
        <v>9.7204839651550606E-2</v>
      </c>
      <c r="BP49" s="888">
        <v>9.7204839651550606E-2</v>
      </c>
      <c r="BQ49" s="888">
        <v>9.7204839651550606E-2</v>
      </c>
      <c r="BR49" s="888">
        <v>9.7204839651550606E-2</v>
      </c>
      <c r="BS49" s="888">
        <v>9.7204839651550606E-2</v>
      </c>
      <c r="BT49" s="888">
        <v>9.7204839651550606E-2</v>
      </c>
      <c r="BU49" s="888">
        <v>9.7204839651550606E-2</v>
      </c>
      <c r="BV49" s="888">
        <v>9.7204839651550606E-2</v>
      </c>
      <c r="BW49" s="888">
        <v>9.7204839651550606E-2</v>
      </c>
      <c r="BX49" s="888">
        <v>9.7204839651550606E-2</v>
      </c>
      <c r="BY49" s="888">
        <v>9.7204839651550606E-2</v>
      </c>
      <c r="BZ49" s="888">
        <v>9.7204839651550606E-2</v>
      </c>
      <c r="CA49" s="888">
        <v>9.7204839651550606E-2</v>
      </c>
      <c r="CB49" s="888">
        <v>9.7204839651550606E-2</v>
      </c>
      <c r="CC49" s="888">
        <v>9.7204839651550606E-2</v>
      </c>
      <c r="CD49" s="888">
        <v>9.7204839651550606E-2</v>
      </c>
      <c r="CE49" s="888">
        <v>9.7204839651550606E-2</v>
      </c>
      <c r="CF49" s="889">
        <v>9.7204839651550606E-2</v>
      </c>
    </row>
    <row r="50" spans="1:84">
      <c r="A50" s="876"/>
      <c r="B50" s="884" t="s">
        <v>845</v>
      </c>
      <c r="C50" s="909" t="s">
        <v>847</v>
      </c>
      <c r="D50" s="910">
        <v>1.3568070730877666</v>
      </c>
      <c r="E50" s="910">
        <v>1.3568070730877666</v>
      </c>
      <c r="F50" s="910">
        <v>1.3568070730877666</v>
      </c>
      <c r="G50" s="910">
        <v>1.3568070730877666</v>
      </c>
      <c r="H50" s="910">
        <v>1.3568070730877666</v>
      </c>
      <c r="I50" s="910">
        <v>1.3568070730877666</v>
      </c>
      <c r="J50" s="910">
        <v>1.3568070730877666</v>
      </c>
      <c r="K50" s="910">
        <v>1.3568070730877666</v>
      </c>
      <c r="L50" s="910">
        <v>1.3568070730877666</v>
      </c>
      <c r="M50" s="910">
        <v>1.3568070730877666</v>
      </c>
      <c r="N50" s="910">
        <v>1.3568070730877666</v>
      </c>
      <c r="O50" s="910">
        <v>1.3568070730877666</v>
      </c>
      <c r="P50" s="910">
        <v>1.3568070730877666</v>
      </c>
      <c r="Q50" s="910">
        <v>1.3568070730877666</v>
      </c>
      <c r="R50" s="910">
        <v>1.3568070730877666</v>
      </c>
      <c r="S50" s="910">
        <v>1.3568070730877666</v>
      </c>
      <c r="T50" s="910">
        <v>1.3568070730877666</v>
      </c>
      <c r="U50" s="910">
        <v>1.3568070730877666</v>
      </c>
      <c r="V50" s="910">
        <v>1.3568070730877666</v>
      </c>
      <c r="W50" s="910">
        <v>1.3568070730877666</v>
      </c>
      <c r="X50" s="910">
        <v>1.3568070730877666</v>
      </c>
      <c r="Y50" s="910">
        <v>1.3568070730877666</v>
      </c>
      <c r="Z50" s="910">
        <v>1.3568070730877666</v>
      </c>
      <c r="AA50" s="910">
        <v>1.3568070730877666</v>
      </c>
      <c r="AB50" s="910">
        <v>1.3568070730877666</v>
      </c>
      <c r="AC50" s="910">
        <v>1.3568070730877666</v>
      </c>
      <c r="AD50" s="910">
        <v>1.3568070730877666</v>
      </c>
      <c r="AE50" s="910">
        <v>1.3568070730877666</v>
      </c>
      <c r="AF50" s="910">
        <v>1.3568070730877666</v>
      </c>
      <c r="AG50" s="910">
        <v>1.3568070730877666</v>
      </c>
      <c r="AH50" s="910">
        <v>1.3568070730877666</v>
      </c>
      <c r="AI50" s="910">
        <v>1.3568070730877666</v>
      </c>
      <c r="AJ50" s="910">
        <v>1.3568070730877666</v>
      </c>
      <c r="AK50" s="910">
        <v>1.3568070730877666</v>
      </c>
      <c r="AL50" s="910">
        <v>1.3568070730877666</v>
      </c>
      <c r="AM50" s="910">
        <v>1.3568070730877666</v>
      </c>
      <c r="AN50" s="910">
        <v>1.3568070730877666</v>
      </c>
      <c r="AO50" s="910">
        <v>1.3568070730877666</v>
      </c>
      <c r="AP50" s="910">
        <v>1.3568070730877666</v>
      </c>
      <c r="AQ50" s="910">
        <v>1.3568070730877666</v>
      </c>
      <c r="AR50" s="910">
        <v>1.3568070730877666</v>
      </c>
      <c r="AS50" s="910">
        <v>1.3568070730877666</v>
      </c>
      <c r="AT50" s="910">
        <v>1.3568070730877666</v>
      </c>
      <c r="AU50" s="910">
        <v>1.3568070730877666</v>
      </c>
      <c r="AV50" s="910">
        <v>1.3568070730877666</v>
      </c>
      <c r="AW50" s="910">
        <v>1.3568070730877666</v>
      </c>
      <c r="AX50" s="910">
        <v>1.3568070730877666</v>
      </c>
      <c r="AY50" s="910">
        <v>1.3568070730877666</v>
      </c>
      <c r="AZ50" s="910">
        <v>1.3568070730877666</v>
      </c>
      <c r="BA50" s="910">
        <v>1.3568070730877666</v>
      </c>
      <c r="BB50" s="910">
        <v>1.3568070730877666</v>
      </c>
      <c r="BC50" s="910">
        <v>1.3568070730877666</v>
      </c>
      <c r="BD50" s="910">
        <v>1.3568070730877666</v>
      </c>
      <c r="BE50" s="910">
        <v>1.3568070730877666</v>
      </c>
      <c r="BF50" s="910">
        <v>1.3568070730877666</v>
      </c>
      <c r="BG50" s="910">
        <v>1.3568070730877666</v>
      </c>
      <c r="BH50" s="910">
        <v>1.3568070730877666</v>
      </c>
      <c r="BI50" s="910">
        <v>1.3568070730877666</v>
      </c>
      <c r="BJ50" s="910">
        <v>1.3568070730877666</v>
      </c>
      <c r="BK50" s="910">
        <v>1.3568070730877666</v>
      </c>
      <c r="BL50" s="910">
        <v>1.3568070730877666</v>
      </c>
      <c r="BM50" s="910">
        <v>1.3568070730877666</v>
      </c>
      <c r="BN50" s="910">
        <v>1.3568070730877666</v>
      </c>
      <c r="BO50" s="910">
        <v>1.3568070730877666</v>
      </c>
      <c r="BP50" s="910">
        <v>1.3568070730877666</v>
      </c>
      <c r="BQ50" s="910">
        <v>1.3568070730877666</v>
      </c>
      <c r="BR50" s="910">
        <v>1.3568070730877666</v>
      </c>
      <c r="BS50" s="910">
        <v>1.3568070730877666</v>
      </c>
      <c r="BT50" s="910">
        <v>1.3568070730877666</v>
      </c>
      <c r="BU50" s="910">
        <v>1.3568070730877666</v>
      </c>
      <c r="BV50" s="910">
        <v>1.3568070730877666</v>
      </c>
      <c r="BW50" s="910">
        <v>1.3568070730877666</v>
      </c>
      <c r="BX50" s="910">
        <v>1.3568070730877666</v>
      </c>
      <c r="BY50" s="910">
        <v>1.3568070730877666</v>
      </c>
      <c r="BZ50" s="910">
        <v>1.3568070730877666</v>
      </c>
      <c r="CA50" s="910">
        <v>1.3568070730877666</v>
      </c>
      <c r="CB50" s="910">
        <v>1.3568070730877666</v>
      </c>
      <c r="CC50" s="910">
        <v>1.3568070730877666</v>
      </c>
      <c r="CD50" s="910">
        <v>1.3568070730877666</v>
      </c>
      <c r="CE50" s="910">
        <v>1.3568070730877666</v>
      </c>
      <c r="CF50" s="911">
        <v>1.3568070730877666</v>
      </c>
    </row>
    <row r="51" spans="1:84">
      <c r="A51" s="876"/>
      <c r="B51" s="884" t="s">
        <v>848</v>
      </c>
      <c r="C51" s="909"/>
      <c r="D51" s="910">
        <v>0.18945556168206976</v>
      </c>
      <c r="E51" s="910">
        <v>0.18945556168206976</v>
      </c>
      <c r="F51" s="910">
        <v>0.18945556168206976</v>
      </c>
      <c r="G51" s="910">
        <v>0.18945556168206976</v>
      </c>
      <c r="H51" s="910">
        <v>0.18945556168206976</v>
      </c>
      <c r="I51" s="910">
        <v>0.18945556168206976</v>
      </c>
      <c r="J51" s="910">
        <v>0.18945556168206976</v>
      </c>
      <c r="K51" s="910">
        <v>0.18945556168206976</v>
      </c>
      <c r="L51" s="910">
        <v>0.18945556168206976</v>
      </c>
      <c r="M51" s="910">
        <v>0.18945556168206976</v>
      </c>
      <c r="N51" s="910">
        <v>0.18945556168206976</v>
      </c>
      <c r="O51" s="910">
        <v>0.18945556168206976</v>
      </c>
      <c r="P51" s="910">
        <v>0.18945556168206976</v>
      </c>
      <c r="Q51" s="910">
        <v>0.18945556168206976</v>
      </c>
      <c r="R51" s="910">
        <v>0.18945556168206976</v>
      </c>
      <c r="S51" s="910">
        <v>0.18945556168206976</v>
      </c>
      <c r="T51" s="910">
        <v>0.18945556168206976</v>
      </c>
      <c r="U51" s="910">
        <v>0.18945556168206976</v>
      </c>
      <c r="V51" s="910">
        <v>0.18945556168206976</v>
      </c>
      <c r="W51" s="910">
        <v>0.18945556168206976</v>
      </c>
      <c r="X51" s="910">
        <v>0.18945556168206976</v>
      </c>
      <c r="Y51" s="910">
        <v>0.18945556168206976</v>
      </c>
      <c r="Z51" s="910">
        <v>0.18945556168206976</v>
      </c>
      <c r="AA51" s="910">
        <v>0.18945556168206976</v>
      </c>
      <c r="AB51" s="910">
        <v>0.18945556168206976</v>
      </c>
      <c r="AC51" s="910">
        <v>0.18945556168206976</v>
      </c>
      <c r="AD51" s="910">
        <v>0.18945556168206976</v>
      </c>
      <c r="AE51" s="910">
        <v>0.18945556168206976</v>
      </c>
      <c r="AF51" s="910">
        <v>0.18945556168206976</v>
      </c>
      <c r="AG51" s="910">
        <v>0.18945556168206976</v>
      </c>
      <c r="AH51" s="910">
        <v>0.18945556168206976</v>
      </c>
      <c r="AI51" s="910">
        <v>0.18945556168206976</v>
      </c>
      <c r="AJ51" s="910">
        <v>0.18945556168206976</v>
      </c>
      <c r="AK51" s="910">
        <v>0.18945556168206976</v>
      </c>
      <c r="AL51" s="910">
        <v>0.18945556168206976</v>
      </c>
      <c r="AM51" s="910">
        <v>0.18945556168206976</v>
      </c>
      <c r="AN51" s="910">
        <v>0.18945556168206976</v>
      </c>
      <c r="AO51" s="910">
        <v>0.18945556168206976</v>
      </c>
      <c r="AP51" s="910">
        <v>0.18945556168206976</v>
      </c>
      <c r="AQ51" s="910">
        <v>0.18945556168206976</v>
      </c>
      <c r="AR51" s="910">
        <v>0.18945556168206976</v>
      </c>
      <c r="AS51" s="910">
        <v>0.18945556168206976</v>
      </c>
      <c r="AT51" s="910">
        <v>0.18945556168206976</v>
      </c>
      <c r="AU51" s="910">
        <v>0.18945556168206976</v>
      </c>
      <c r="AV51" s="910">
        <v>0.18945556168206976</v>
      </c>
      <c r="AW51" s="910">
        <v>0.18945556168206976</v>
      </c>
      <c r="AX51" s="910">
        <v>0.18945556168206976</v>
      </c>
      <c r="AY51" s="910">
        <v>0.18945556168206976</v>
      </c>
      <c r="AZ51" s="910">
        <v>0.18945556168206976</v>
      </c>
      <c r="BA51" s="910">
        <v>0.18945556168206976</v>
      </c>
      <c r="BB51" s="910">
        <v>0.18945556168206976</v>
      </c>
      <c r="BC51" s="910">
        <v>0.18945556168206976</v>
      </c>
      <c r="BD51" s="910">
        <v>0.18945556168206976</v>
      </c>
      <c r="BE51" s="910">
        <v>0.18945556168206976</v>
      </c>
      <c r="BF51" s="910">
        <v>0.18945556168206976</v>
      </c>
      <c r="BG51" s="910">
        <v>0.18945556168206976</v>
      </c>
      <c r="BH51" s="910">
        <v>0.18945556168206976</v>
      </c>
      <c r="BI51" s="910">
        <v>0.18945556168206976</v>
      </c>
      <c r="BJ51" s="910">
        <v>0.18945556168206976</v>
      </c>
      <c r="BK51" s="910">
        <v>0.18945556168206976</v>
      </c>
      <c r="BL51" s="910">
        <v>0.18945556168206976</v>
      </c>
      <c r="BM51" s="910">
        <v>0.18945556168206976</v>
      </c>
      <c r="BN51" s="910">
        <v>0.18945556168206976</v>
      </c>
      <c r="BO51" s="910">
        <v>0.18945556168206976</v>
      </c>
      <c r="BP51" s="910">
        <v>0.18945556168206976</v>
      </c>
      <c r="BQ51" s="910">
        <v>0.18945556168206976</v>
      </c>
      <c r="BR51" s="910">
        <v>0.18945556168206976</v>
      </c>
      <c r="BS51" s="910">
        <v>0.18945556168206976</v>
      </c>
      <c r="BT51" s="910">
        <v>0.18945556168206976</v>
      </c>
      <c r="BU51" s="910">
        <v>0.18945556168206976</v>
      </c>
      <c r="BV51" s="910">
        <v>0.18945556168206976</v>
      </c>
      <c r="BW51" s="910">
        <v>0.18945556168206976</v>
      </c>
      <c r="BX51" s="910">
        <v>0.18945556168206976</v>
      </c>
      <c r="BY51" s="910">
        <v>0.18945556168206976</v>
      </c>
      <c r="BZ51" s="910">
        <v>0.18945556168206976</v>
      </c>
      <c r="CA51" s="910">
        <v>0.18945556168206976</v>
      </c>
      <c r="CB51" s="910">
        <v>0.18945556168206976</v>
      </c>
      <c r="CC51" s="910">
        <v>0.18945556168206976</v>
      </c>
      <c r="CD51" s="910">
        <v>0.18945556168206976</v>
      </c>
      <c r="CE51" s="910">
        <v>0.18945556168206976</v>
      </c>
      <c r="CF51" s="911">
        <v>0.18945556168206976</v>
      </c>
    </row>
    <row r="52" spans="1:84" ht="13.8" thickBot="1">
      <c r="A52" s="876"/>
      <c r="B52" s="912" t="s">
        <v>846</v>
      </c>
      <c r="C52" s="913" t="s">
        <v>847</v>
      </c>
      <c r="D52" s="914">
        <v>0.8378231615406817</v>
      </c>
      <c r="E52" s="915">
        <v>0.8378231615406817</v>
      </c>
      <c r="F52" s="915">
        <v>0.8378231615406817</v>
      </c>
      <c r="G52" s="915">
        <v>0.8378231615406817</v>
      </c>
      <c r="H52" s="915">
        <v>0.8378231615406817</v>
      </c>
      <c r="I52" s="915">
        <v>0.8378231615406817</v>
      </c>
      <c r="J52" s="915">
        <v>0.8378231615406817</v>
      </c>
      <c r="K52" s="915">
        <v>0.8378231615406817</v>
      </c>
      <c r="L52" s="915">
        <v>0.8378231615406817</v>
      </c>
      <c r="M52" s="915">
        <v>0.8378231615406817</v>
      </c>
      <c r="N52" s="915">
        <v>0.8378231615406817</v>
      </c>
      <c r="O52" s="915">
        <v>0.8378231615406817</v>
      </c>
      <c r="P52" s="915">
        <v>0.8378231615406817</v>
      </c>
      <c r="Q52" s="915">
        <v>0.8378231615406817</v>
      </c>
      <c r="R52" s="915">
        <v>0.8378231615406817</v>
      </c>
      <c r="S52" s="915">
        <v>0.8378231615406817</v>
      </c>
      <c r="T52" s="915">
        <v>0.8378231615406817</v>
      </c>
      <c r="U52" s="915">
        <v>0.8378231615406817</v>
      </c>
      <c r="V52" s="915">
        <v>0.8378231615406817</v>
      </c>
      <c r="W52" s="915">
        <v>0.8378231615406817</v>
      </c>
      <c r="X52" s="915">
        <v>0.8378231615406817</v>
      </c>
      <c r="Y52" s="915">
        <v>0.8378231615406817</v>
      </c>
      <c r="Z52" s="915">
        <v>0.8378231615406817</v>
      </c>
      <c r="AA52" s="915">
        <v>0.8378231615406817</v>
      </c>
      <c r="AB52" s="915">
        <v>0.8378231615406817</v>
      </c>
      <c r="AC52" s="915">
        <v>0.8378231615406817</v>
      </c>
      <c r="AD52" s="915">
        <v>0.8378231615406817</v>
      </c>
      <c r="AE52" s="915">
        <v>0.8378231615406817</v>
      </c>
      <c r="AF52" s="915">
        <v>0.8378231615406817</v>
      </c>
      <c r="AG52" s="915">
        <v>0.8378231615406817</v>
      </c>
      <c r="AH52" s="915">
        <v>0.8378231615406817</v>
      </c>
      <c r="AI52" s="915">
        <v>0.8378231615406817</v>
      </c>
      <c r="AJ52" s="915">
        <v>0.8378231615406817</v>
      </c>
      <c r="AK52" s="915">
        <v>0.8378231615406817</v>
      </c>
      <c r="AL52" s="915">
        <v>0.8378231615406817</v>
      </c>
      <c r="AM52" s="915">
        <v>0.8378231615406817</v>
      </c>
      <c r="AN52" s="915">
        <v>0.8378231615406817</v>
      </c>
      <c r="AO52" s="915">
        <v>0.8378231615406817</v>
      </c>
      <c r="AP52" s="915">
        <v>0.8378231615406817</v>
      </c>
      <c r="AQ52" s="915">
        <v>0.8378231615406817</v>
      </c>
      <c r="AR52" s="915">
        <v>0.8378231615406817</v>
      </c>
      <c r="AS52" s="915">
        <v>0.8378231615406817</v>
      </c>
      <c r="AT52" s="915">
        <v>0.8378231615406817</v>
      </c>
      <c r="AU52" s="915">
        <v>0.8378231615406817</v>
      </c>
      <c r="AV52" s="915">
        <v>0.8378231615406817</v>
      </c>
      <c r="AW52" s="915">
        <v>0.8378231615406817</v>
      </c>
      <c r="AX52" s="915">
        <v>0.8378231615406817</v>
      </c>
      <c r="AY52" s="915">
        <v>0.8378231615406817</v>
      </c>
      <c r="AZ52" s="915">
        <v>0.8378231615406817</v>
      </c>
      <c r="BA52" s="915">
        <v>0.8378231615406817</v>
      </c>
      <c r="BB52" s="915">
        <v>0.8378231615406817</v>
      </c>
      <c r="BC52" s="915">
        <v>0.8378231615406817</v>
      </c>
      <c r="BD52" s="915">
        <v>0.8378231615406817</v>
      </c>
      <c r="BE52" s="915">
        <v>0.8378231615406817</v>
      </c>
      <c r="BF52" s="915">
        <v>0.8378231615406817</v>
      </c>
      <c r="BG52" s="915">
        <v>0.8378231615406817</v>
      </c>
      <c r="BH52" s="915">
        <v>0.8378231615406817</v>
      </c>
      <c r="BI52" s="915">
        <v>0.8378231615406817</v>
      </c>
      <c r="BJ52" s="915">
        <v>0.8378231615406817</v>
      </c>
      <c r="BK52" s="915">
        <v>0.8378231615406817</v>
      </c>
      <c r="BL52" s="915">
        <v>0.8378231615406817</v>
      </c>
      <c r="BM52" s="915">
        <v>0.8378231615406817</v>
      </c>
      <c r="BN52" s="915">
        <v>0.8378231615406817</v>
      </c>
      <c r="BO52" s="915">
        <v>0.8378231615406817</v>
      </c>
      <c r="BP52" s="915">
        <v>0.8378231615406817</v>
      </c>
      <c r="BQ52" s="915">
        <v>0.8378231615406817</v>
      </c>
      <c r="BR52" s="915">
        <v>0.8378231615406817</v>
      </c>
      <c r="BS52" s="915">
        <v>0.8378231615406817</v>
      </c>
      <c r="BT52" s="915">
        <v>0.8378231615406817</v>
      </c>
      <c r="BU52" s="915">
        <v>0.8378231615406817</v>
      </c>
      <c r="BV52" s="915">
        <v>0.8378231615406817</v>
      </c>
      <c r="BW52" s="915">
        <v>0.8378231615406817</v>
      </c>
      <c r="BX52" s="915">
        <v>0.8378231615406817</v>
      </c>
      <c r="BY52" s="915">
        <v>0.8378231615406817</v>
      </c>
      <c r="BZ52" s="915">
        <v>0.8378231615406817</v>
      </c>
      <c r="CA52" s="915">
        <v>0.8378231615406817</v>
      </c>
      <c r="CB52" s="915">
        <v>0.8378231615406817</v>
      </c>
      <c r="CC52" s="915">
        <v>0.8378231615406817</v>
      </c>
      <c r="CD52" s="915">
        <v>0.8378231615406817</v>
      </c>
      <c r="CE52" s="915">
        <v>0.8378231615406817</v>
      </c>
      <c r="CF52" s="916">
        <v>0.8378231615406817</v>
      </c>
    </row>
    <row r="53" spans="1:84">
      <c r="A53" s="876"/>
      <c r="B53" s="876"/>
      <c r="C53" s="876"/>
      <c r="D53" s="876"/>
      <c r="E53" s="876"/>
      <c r="F53" s="876"/>
      <c r="G53" s="876"/>
      <c r="H53" s="876"/>
      <c r="I53" s="876"/>
      <c r="J53" s="876"/>
      <c r="K53" s="876"/>
      <c r="L53" s="876"/>
      <c r="M53" s="876"/>
      <c r="N53" s="876"/>
      <c r="O53" s="876"/>
      <c r="P53" s="876"/>
      <c r="Q53" s="876"/>
      <c r="R53" s="876"/>
      <c r="S53" s="876"/>
      <c r="T53" s="876"/>
      <c r="U53" s="876"/>
      <c r="V53" s="876"/>
      <c r="W53" s="876"/>
      <c r="X53" s="876"/>
      <c r="Y53" s="876"/>
      <c r="Z53" s="876"/>
      <c r="AA53" s="876"/>
      <c r="AB53" s="876"/>
      <c r="AC53" s="876"/>
      <c r="AD53" s="876"/>
      <c r="AE53" s="876"/>
      <c r="AF53" s="876"/>
      <c r="AG53" s="876"/>
      <c r="AH53" s="876"/>
      <c r="AI53" s="876"/>
      <c r="AJ53" s="876"/>
      <c r="AK53" s="876"/>
      <c r="AL53" s="876"/>
      <c r="AM53" s="876"/>
      <c r="AN53" s="876"/>
      <c r="AO53" s="876"/>
      <c r="AP53" s="876"/>
      <c r="AQ53" s="876"/>
      <c r="AR53" s="876"/>
      <c r="AS53" s="876"/>
      <c r="AT53" s="876"/>
      <c r="AU53" s="876"/>
      <c r="AV53" s="876"/>
      <c r="AW53" s="876"/>
      <c r="AX53" s="876"/>
      <c r="AY53" s="876"/>
      <c r="AZ53" s="876"/>
      <c r="BA53" s="876"/>
      <c r="BB53" s="876"/>
      <c r="BC53" s="876"/>
      <c r="BD53" s="876"/>
      <c r="BE53" s="876"/>
      <c r="BF53" s="876"/>
      <c r="BG53" s="876"/>
      <c r="BH53" s="876"/>
      <c r="BI53" s="876"/>
      <c r="BJ53" s="876"/>
      <c r="BK53" s="876"/>
      <c r="BL53" s="876"/>
      <c r="BM53" s="876"/>
      <c r="BN53" s="876"/>
      <c r="BO53" s="876"/>
      <c r="BP53" s="876"/>
      <c r="BQ53" s="876"/>
      <c r="BR53" s="876"/>
      <c r="BS53" s="876"/>
      <c r="BT53" s="876"/>
      <c r="BU53" s="876"/>
      <c r="BV53" s="876"/>
      <c r="BW53" s="876"/>
      <c r="BX53" s="876"/>
      <c r="BY53" s="876"/>
      <c r="BZ53" s="876"/>
      <c r="CA53" s="876"/>
      <c r="CB53" s="876"/>
      <c r="CC53" s="876"/>
      <c r="CD53" s="876"/>
      <c r="CE53" s="876"/>
      <c r="CF53" s="876"/>
    </row>
    <row r="54" spans="1:84" ht="13.8" thickBot="1">
      <c r="A54" s="876"/>
      <c r="B54" s="877" t="s">
        <v>851</v>
      </c>
      <c r="C54" s="876"/>
      <c r="D54" s="876"/>
      <c r="E54" s="876"/>
      <c r="F54" s="876"/>
      <c r="G54" s="876"/>
      <c r="H54" s="876"/>
      <c r="I54" s="907">
        <f>$I$140</f>
        <v>0</v>
      </c>
      <c r="J54" s="876" t="s">
        <v>841</v>
      </c>
      <c r="K54" s="876"/>
      <c r="L54" s="876"/>
      <c r="M54" s="876"/>
      <c r="N54" s="876"/>
      <c r="O54" s="876"/>
      <c r="P54" s="876"/>
      <c r="Q54" s="876"/>
      <c r="R54" s="876"/>
      <c r="S54" s="876"/>
      <c r="T54" s="876"/>
      <c r="U54" s="876"/>
      <c r="V54" s="876"/>
      <c r="W54" s="876"/>
      <c r="X54" s="876"/>
      <c r="Y54" s="876"/>
      <c r="Z54" s="876"/>
      <c r="AA54" s="876"/>
      <c r="AB54" s="876"/>
      <c r="AC54" s="876"/>
      <c r="AD54" s="876"/>
      <c r="AE54" s="876"/>
      <c r="AF54" s="876"/>
      <c r="AG54" s="876"/>
      <c r="AH54" s="876"/>
      <c r="AI54" s="876"/>
      <c r="AJ54" s="876"/>
      <c r="AK54" s="876"/>
      <c r="AL54" s="876"/>
      <c r="AM54" s="876"/>
      <c r="AN54" s="876"/>
      <c r="AO54" s="876"/>
      <c r="AP54" s="876"/>
      <c r="AQ54" s="876"/>
      <c r="AR54" s="876"/>
      <c r="AS54" s="876"/>
      <c r="AT54" s="876"/>
      <c r="AU54" s="876"/>
      <c r="AV54" s="876"/>
      <c r="AW54" s="876"/>
      <c r="AX54" s="876"/>
      <c r="AY54" s="876"/>
      <c r="AZ54" s="876"/>
      <c r="BA54" s="876"/>
      <c r="BB54" s="876"/>
      <c r="BC54" s="876"/>
      <c r="BD54" s="876"/>
      <c r="BE54" s="876"/>
      <c r="BF54" s="876"/>
      <c r="BG54" s="876"/>
      <c r="BH54" s="876"/>
      <c r="BI54" s="876"/>
      <c r="BJ54" s="876"/>
      <c r="BK54" s="876"/>
      <c r="BL54" s="876"/>
      <c r="BM54" s="876"/>
      <c r="BN54" s="876"/>
      <c r="BO54" s="876"/>
      <c r="BP54" s="876"/>
      <c r="BQ54" s="876"/>
      <c r="BR54" s="876"/>
      <c r="BS54" s="876"/>
      <c r="BT54" s="876"/>
      <c r="BU54" s="876"/>
      <c r="BV54" s="876"/>
      <c r="BW54" s="876"/>
      <c r="BX54" s="876"/>
      <c r="BY54" s="876"/>
      <c r="BZ54" s="876"/>
      <c r="CA54" s="876"/>
      <c r="CB54" s="876"/>
      <c r="CC54" s="876"/>
      <c r="CD54" s="876"/>
      <c r="CE54" s="876"/>
      <c r="CF54" s="876"/>
    </row>
    <row r="55" spans="1:84">
      <c r="A55" s="876"/>
      <c r="B55" s="880" t="s">
        <v>842</v>
      </c>
      <c r="C55" s="881"/>
      <c r="D55" s="882">
        <v>2010</v>
      </c>
      <c r="E55" s="882">
        <v>2011</v>
      </c>
      <c r="F55" s="882">
        <v>2012</v>
      </c>
      <c r="G55" s="882">
        <v>2013</v>
      </c>
      <c r="H55" s="882">
        <v>2014</v>
      </c>
      <c r="I55" s="882">
        <v>2015</v>
      </c>
      <c r="J55" s="882">
        <v>2016</v>
      </c>
      <c r="K55" s="882">
        <v>2017</v>
      </c>
      <c r="L55" s="882">
        <v>2018</v>
      </c>
      <c r="M55" s="882">
        <v>2019</v>
      </c>
      <c r="N55" s="882">
        <v>2020</v>
      </c>
      <c r="O55" s="882">
        <v>2021</v>
      </c>
      <c r="P55" s="882">
        <v>2022</v>
      </c>
      <c r="Q55" s="882">
        <v>2023</v>
      </c>
      <c r="R55" s="882">
        <v>2024</v>
      </c>
      <c r="S55" s="882">
        <v>2025</v>
      </c>
      <c r="T55" s="882">
        <v>2026</v>
      </c>
      <c r="U55" s="882">
        <v>2027</v>
      </c>
      <c r="V55" s="882">
        <v>2028</v>
      </c>
      <c r="W55" s="882">
        <v>2029</v>
      </c>
      <c r="X55" s="882">
        <v>2030</v>
      </c>
      <c r="Y55" s="882">
        <v>2031</v>
      </c>
      <c r="Z55" s="882">
        <v>2032</v>
      </c>
      <c r="AA55" s="882">
        <v>2033</v>
      </c>
      <c r="AB55" s="882">
        <v>2034</v>
      </c>
      <c r="AC55" s="882">
        <v>2035</v>
      </c>
      <c r="AD55" s="882">
        <v>2036</v>
      </c>
      <c r="AE55" s="882">
        <v>2037</v>
      </c>
      <c r="AF55" s="882">
        <v>2038</v>
      </c>
      <c r="AG55" s="882">
        <v>2039</v>
      </c>
      <c r="AH55" s="882">
        <v>2040</v>
      </c>
      <c r="AI55" s="882">
        <v>2041</v>
      </c>
      <c r="AJ55" s="882">
        <v>2042</v>
      </c>
      <c r="AK55" s="882">
        <v>2043</v>
      </c>
      <c r="AL55" s="882">
        <v>2044</v>
      </c>
      <c r="AM55" s="882">
        <v>2045</v>
      </c>
      <c r="AN55" s="882">
        <v>2046</v>
      </c>
      <c r="AO55" s="882">
        <v>2047</v>
      </c>
      <c r="AP55" s="882">
        <v>2048</v>
      </c>
      <c r="AQ55" s="882">
        <v>2049</v>
      </c>
      <c r="AR55" s="882">
        <v>2050</v>
      </c>
      <c r="AS55" s="882">
        <v>2051</v>
      </c>
      <c r="AT55" s="882">
        <v>2052</v>
      </c>
      <c r="AU55" s="882">
        <v>2053</v>
      </c>
      <c r="AV55" s="882">
        <v>2054</v>
      </c>
      <c r="AW55" s="882">
        <v>2055</v>
      </c>
      <c r="AX55" s="882">
        <v>2056</v>
      </c>
      <c r="AY55" s="882">
        <v>2057</v>
      </c>
      <c r="AZ55" s="882">
        <v>2058</v>
      </c>
      <c r="BA55" s="882">
        <v>2059</v>
      </c>
      <c r="BB55" s="882">
        <v>2060</v>
      </c>
      <c r="BC55" s="882">
        <v>2061</v>
      </c>
      <c r="BD55" s="882">
        <v>2062</v>
      </c>
      <c r="BE55" s="882">
        <v>2063</v>
      </c>
      <c r="BF55" s="882">
        <v>2064</v>
      </c>
      <c r="BG55" s="882">
        <v>2065</v>
      </c>
      <c r="BH55" s="882">
        <v>2066</v>
      </c>
      <c r="BI55" s="882">
        <v>2067</v>
      </c>
      <c r="BJ55" s="882">
        <v>2068</v>
      </c>
      <c r="BK55" s="882">
        <v>2069</v>
      </c>
      <c r="BL55" s="882">
        <v>2070</v>
      </c>
      <c r="BM55" s="882">
        <v>2071</v>
      </c>
      <c r="BN55" s="882">
        <v>2072</v>
      </c>
      <c r="BO55" s="882">
        <v>2073</v>
      </c>
      <c r="BP55" s="882">
        <v>2074</v>
      </c>
      <c r="BQ55" s="882">
        <v>2075</v>
      </c>
      <c r="BR55" s="882">
        <v>2076</v>
      </c>
      <c r="BS55" s="882">
        <v>2077</v>
      </c>
      <c r="BT55" s="882">
        <v>2078</v>
      </c>
      <c r="BU55" s="882">
        <v>2079</v>
      </c>
      <c r="BV55" s="882">
        <v>2080</v>
      </c>
      <c r="BW55" s="882">
        <v>2081</v>
      </c>
      <c r="BX55" s="882">
        <v>2082</v>
      </c>
      <c r="BY55" s="882">
        <v>2083</v>
      </c>
      <c r="BZ55" s="882">
        <v>2084</v>
      </c>
      <c r="CA55" s="882">
        <v>2085</v>
      </c>
      <c r="CB55" s="882">
        <v>2086</v>
      </c>
      <c r="CC55" s="882">
        <v>2087</v>
      </c>
      <c r="CD55" s="882">
        <v>2088</v>
      </c>
      <c r="CE55" s="882">
        <v>2089</v>
      </c>
      <c r="CF55" s="883">
        <v>2090</v>
      </c>
    </row>
    <row r="56" spans="1:84">
      <c r="A56" s="876"/>
      <c r="B56" s="884" t="str">
        <f>CONCATENATE("Drivmiddel (", $D$122,"-priser)")</f>
        <v>Drivmiddel (-priser)</v>
      </c>
      <c r="C56" s="885" t="s">
        <v>843</v>
      </c>
      <c r="D56" s="886" t="e">
        <f t="shared" ref="D56" si="486">D4/#REF!*#REF!</f>
        <v>#REF!</v>
      </c>
      <c r="E56" s="886" t="e">
        <f t="shared" ref="E56" si="487">E4/#REF!*#REF!</f>
        <v>#REF!</v>
      </c>
      <c r="F56" s="886" t="e">
        <f t="shared" ref="F56" si="488">F4/#REF!*#REF!</f>
        <v>#REF!</v>
      </c>
      <c r="G56" s="886" t="e">
        <f t="shared" ref="G56" si="489">G4/#REF!*#REF!</f>
        <v>#REF!</v>
      </c>
      <c r="H56" s="886" t="e">
        <f t="shared" ref="H56" si="490">H4/#REF!*#REF!</f>
        <v>#REF!</v>
      </c>
      <c r="I56" s="886" t="e">
        <f t="shared" ref="I56" si="491">I4/#REF!*#REF!</f>
        <v>#REF!</v>
      </c>
      <c r="J56" s="886" t="e">
        <f t="shared" ref="J56" si="492">J4/#REF!*#REF!</f>
        <v>#REF!</v>
      </c>
      <c r="K56" s="886" t="e">
        <f t="shared" ref="K56" si="493">K4/#REF!*#REF!</f>
        <v>#REF!</v>
      </c>
      <c r="L56" s="886" t="e">
        <f t="shared" ref="L56" si="494">L4/#REF!*#REF!</f>
        <v>#REF!</v>
      </c>
      <c r="M56" s="886" t="e">
        <f t="shared" ref="M56" si="495">M4/#REF!*#REF!</f>
        <v>#REF!</v>
      </c>
      <c r="N56" s="886" t="e">
        <f t="shared" ref="N56" si="496">N4/#REF!*#REF!</f>
        <v>#REF!</v>
      </c>
      <c r="O56" s="886" t="e">
        <f t="shared" ref="O56" si="497">O4/#REF!*#REF!</f>
        <v>#REF!</v>
      </c>
      <c r="P56" s="886" t="e">
        <f t="shared" ref="P56" si="498">P4/#REF!*#REF!</f>
        <v>#REF!</v>
      </c>
      <c r="Q56" s="886" t="e">
        <f t="shared" ref="Q56" si="499">Q4/#REF!*#REF!</f>
        <v>#REF!</v>
      </c>
      <c r="R56" s="886" t="e">
        <f t="shared" ref="R56" si="500">R4/#REF!*#REF!</f>
        <v>#REF!</v>
      </c>
      <c r="S56" s="886" t="e">
        <f t="shared" ref="S56" si="501">S4/#REF!*#REF!</f>
        <v>#REF!</v>
      </c>
      <c r="T56" s="886" t="e">
        <f t="shared" ref="T56" si="502">T4/#REF!*#REF!</f>
        <v>#REF!</v>
      </c>
      <c r="U56" s="886" t="e">
        <f t="shared" ref="U56" si="503">U4/#REF!*#REF!</f>
        <v>#REF!</v>
      </c>
      <c r="V56" s="886" t="e">
        <f t="shared" ref="V56" si="504">V4/#REF!*#REF!</f>
        <v>#REF!</v>
      </c>
      <c r="W56" s="886" t="e">
        <f t="shared" ref="W56" si="505">W4/#REF!*#REF!</f>
        <v>#REF!</v>
      </c>
      <c r="X56" s="886" t="e">
        <f t="shared" ref="X56" si="506">X4/#REF!*#REF!</f>
        <v>#REF!</v>
      </c>
      <c r="Y56" s="886" t="e">
        <f t="shared" ref="Y56" si="507">Y4/#REF!*#REF!</f>
        <v>#REF!</v>
      </c>
      <c r="Z56" s="886" t="e">
        <f t="shared" ref="Z56" si="508">Z4/#REF!*#REF!</f>
        <v>#REF!</v>
      </c>
      <c r="AA56" s="886" t="e">
        <f t="shared" ref="AA56" si="509">AA4/#REF!*#REF!</f>
        <v>#REF!</v>
      </c>
      <c r="AB56" s="886" t="e">
        <f t="shared" ref="AB56" si="510">AB4/#REF!*#REF!</f>
        <v>#REF!</v>
      </c>
      <c r="AC56" s="886" t="e">
        <f t="shared" ref="AC56" si="511">AC4/#REF!*#REF!</f>
        <v>#REF!</v>
      </c>
      <c r="AD56" s="886" t="e">
        <f t="shared" ref="AD56" si="512">AD4/#REF!*#REF!</f>
        <v>#REF!</v>
      </c>
      <c r="AE56" s="886" t="e">
        <f t="shared" ref="AE56" si="513">AE4/#REF!*#REF!</f>
        <v>#REF!</v>
      </c>
      <c r="AF56" s="886" t="e">
        <f t="shared" ref="AF56" si="514">AF4/#REF!*#REF!</f>
        <v>#REF!</v>
      </c>
      <c r="AG56" s="886" t="e">
        <f t="shared" ref="AG56" si="515">AG4/#REF!*#REF!</f>
        <v>#REF!</v>
      </c>
      <c r="AH56" s="886" t="e">
        <f t="shared" ref="AH56" si="516">AH4/#REF!*#REF!</f>
        <v>#REF!</v>
      </c>
      <c r="AI56" s="886" t="e">
        <f t="shared" ref="AI56" si="517">AI4/#REF!*#REF!</f>
        <v>#REF!</v>
      </c>
      <c r="AJ56" s="886" t="e">
        <f t="shared" ref="AJ56" si="518">AJ4/#REF!*#REF!</f>
        <v>#REF!</v>
      </c>
      <c r="AK56" s="886" t="e">
        <f t="shared" ref="AK56" si="519">AK4/#REF!*#REF!</f>
        <v>#REF!</v>
      </c>
      <c r="AL56" s="886" t="e">
        <f t="shared" ref="AL56" si="520">AL4/#REF!*#REF!</f>
        <v>#REF!</v>
      </c>
      <c r="AM56" s="886" t="e">
        <f t="shared" ref="AM56" si="521">AM4/#REF!*#REF!</f>
        <v>#REF!</v>
      </c>
      <c r="AN56" s="886" t="e">
        <f t="shared" ref="AN56" si="522">AN4/#REF!*#REF!</f>
        <v>#REF!</v>
      </c>
      <c r="AO56" s="886" t="e">
        <f t="shared" ref="AO56" si="523">AO4/#REF!*#REF!</f>
        <v>#REF!</v>
      </c>
      <c r="AP56" s="886" t="e">
        <f t="shared" ref="AP56" si="524">AP4/#REF!*#REF!</f>
        <v>#REF!</v>
      </c>
      <c r="AQ56" s="886" t="e">
        <f t="shared" ref="AQ56" si="525">AQ4/#REF!*#REF!</f>
        <v>#REF!</v>
      </c>
      <c r="AR56" s="886" t="e">
        <f t="shared" ref="AR56" si="526">AR4/#REF!*#REF!</f>
        <v>#REF!</v>
      </c>
      <c r="AS56" s="886" t="e">
        <f t="shared" ref="AS56" si="527">AS4/#REF!*#REF!</f>
        <v>#REF!</v>
      </c>
      <c r="AT56" s="886" t="e">
        <f t="shared" ref="AT56" si="528">AT4/#REF!*#REF!</f>
        <v>#REF!</v>
      </c>
      <c r="AU56" s="886" t="e">
        <f t="shared" ref="AU56" si="529">AU4/#REF!*#REF!</f>
        <v>#REF!</v>
      </c>
      <c r="AV56" s="886" t="e">
        <f t="shared" ref="AV56" si="530">AV4/#REF!*#REF!</f>
        <v>#REF!</v>
      </c>
      <c r="AW56" s="886" t="e">
        <f t="shared" ref="AW56" si="531">AW4/#REF!*#REF!</f>
        <v>#REF!</v>
      </c>
      <c r="AX56" s="886" t="e">
        <f t="shared" ref="AX56" si="532">AX4/#REF!*#REF!</f>
        <v>#REF!</v>
      </c>
      <c r="AY56" s="886" t="e">
        <f t="shared" ref="AY56" si="533">AY4/#REF!*#REF!</f>
        <v>#REF!</v>
      </c>
      <c r="AZ56" s="886" t="e">
        <f t="shared" ref="AZ56" si="534">AZ4/#REF!*#REF!</f>
        <v>#REF!</v>
      </c>
      <c r="BA56" s="886" t="e">
        <f t="shared" ref="BA56" si="535">BA4/#REF!*#REF!</f>
        <v>#REF!</v>
      </c>
      <c r="BB56" s="886" t="e">
        <f t="shared" ref="BB56" si="536">BB4/#REF!*#REF!</f>
        <v>#REF!</v>
      </c>
      <c r="BC56" s="886" t="e">
        <f t="shared" ref="BC56" si="537">BC4/#REF!*#REF!</f>
        <v>#REF!</v>
      </c>
      <c r="BD56" s="886" t="e">
        <f t="shared" ref="BD56" si="538">BD4/#REF!*#REF!</f>
        <v>#REF!</v>
      </c>
      <c r="BE56" s="886" t="e">
        <f t="shared" ref="BE56" si="539">BE4/#REF!*#REF!</f>
        <v>#REF!</v>
      </c>
      <c r="BF56" s="886" t="e">
        <f t="shared" ref="BF56" si="540">BF4/#REF!*#REF!</f>
        <v>#REF!</v>
      </c>
      <c r="BG56" s="886" t="e">
        <f t="shared" ref="BG56" si="541">BG4/#REF!*#REF!</f>
        <v>#REF!</v>
      </c>
      <c r="BH56" s="886" t="e">
        <f t="shared" ref="BH56" si="542">BH4/#REF!*#REF!</f>
        <v>#REF!</v>
      </c>
      <c r="BI56" s="886" t="e">
        <f t="shared" ref="BI56" si="543">BI4/#REF!*#REF!</f>
        <v>#REF!</v>
      </c>
      <c r="BJ56" s="886" t="e">
        <f t="shared" ref="BJ56" si="544">BJ4/#REF!*#REF!</f>
        <v>#REF!</v>
      </c>
      <c r="BK56" s="886" t="e">
        <f t="shared" ref="BK56" si="545">BK4/#REF!*#REF!</f>
        <v>#REF!</v>
      </c>
      <c r="BL56" s="886" t="e">
        <f t="shared" ref="BL56" si="546">BL4/#REF!*#REF!</f>
        <v>#REF!</v>
      </c>
      <c r="BM56" s="886" t="e">
        <f t="shared" ref="BM56" si="547">BM4/#REF!*#REF!</f>
        <v>#REF!</v>
      </c>
      <c r="BN56" s="886" t="e">
        <f t="shared" ref="BN56" si="548">BN4/#REF!*#REF!</f>
        <v>#REF!</v>
      </c>
      <c r="BO56" s="886" t="e">
        <f t="shared" ref="BO56" si="549">BO4/#REF!*#REF!</f>
        <v>#REF!</v>
      </c>
      <c r="BP56" s="886" t="e">
        <f t="shared" ref="BP56" si="550">BP4/#REF!*#REF!</f>
        <v>#REF!</v>
      </c>
      <c r="BQ56" s="886" t="e">
        <f t="shared" ref="BQ56" si="551">BQ4/#REF!*#REF!</f>
        <v>#REF!</v>
      </c>
      <c r="BR56" s="886" t="e">
        <f t="shared" ref="BR56" si="552">BR4/#REF!*#REF!</f>
        <v>#REF!</v>
      </c>
      <c r="BS56" s="886" t="e">
        <f t="shared" ref="BS56" si="553">BS4/#REF!*#REF!</f>
        <v>#REF!</v>
      </c>
      <c r="BT56" s="886" t="e">
        <f t="shared" ref="BT56" si="554">BT4/#REF!*#REF!</f>
        <v>#REF!</v>
      </c>
      <c r="BU56" s="886" t="e">
        <f t="shared" ref="BU56" si="555">BU4/#REF!*#REF!</f>
        <v>#REF!</v>
      </c>
      <c r="BV56" s="886" t="e">
        <f t="shared" ref="BV56" si="556">BV4/#REF!*#REF!</f>
        <v>#REF!</v>
      </c>
      <c r="BW56" s="886" t="e">
        <f t="shared" ref="BW56" si="557">BW4/#REF!*#REF!</f>
        <v>#REF!</v>
      </c>
      <c r="BX56" s="886" t="e">
        <f t="shared" ref="BX56" si="558">BX4/#REF!*#REF!</f>
        <v>#REF!</v>
      </c>
      <c r="BY56" s="886" t="e">
        <f t="shared" ref="BY56" si="559">BY4/#REF!*#REF!</f>
        <v>#REF!</v>
      </c>
      <c r="BZ56" s="886" t="e">
        <f t="shared" ref="BZ56" si="560">BZ4/#REF!*#REF!</f>
        <v>#REF!</v>
      </c>
      <c r="CA56" s="886" t="e">
        <f t="shared" ref="CA56" si="561">CA4/#REF!*#REF!</f>
        <v>#REF!</v>
      </c>
      <c r="CB56" s="886" t="e">
        <f t="shared" ref="CB56" si="562">CB4/#REF!*#REF!</f>
        <v>#REF!</v>
      </c>
      <c r="CC56" s="886" t="e">
        <f t="shared" ref="CC56" si="563">CC4/#REF!*#REF!</f>
        <v>#REF!</v>
      </c>
      <c r="CD56" s="886" t="e">
        <f t="shared" ref="CD56" si="564">CD4/#REF!*#REF!</f>
        <v>#REF!</v>
      </c>
      <c r="CE56" s="886" t="e">
        <f t="shared" ref="CE56" si="565">CE4/#REF!*#REF!</f>
        <v>#REF!</v>
      </c>
      <c r="CF56" s="887" t="e">
        <f t="shared" ref="CF56" si="566">CF4/#REF!*#REF!</f>
        <v>#REF!</v>
      </c>
    </row>
    <row r="57" spans="1:84">
      <c r="A57" s="876"/>
      <c r="B57" s="884" t="s">
        <v>844</v>
      </c>
      <c r="C57" s="885" t="s">
        <v>843</v>
      </c>
      <c r="D57" s="888">
        <v>7.7763871721240496E-2</v>
      </c>
      <c r="E57" s="888">
        <v>7.7763871721240496E-2</v>
      </c>
      <c r="F57" s="888">
        <v>7.7763871721240496E-2</v>
      </c>
      <c r="G57" s="888">
        <v>7.7763871721240496E-2</v>
      </c>
      <c r="H57" s="888">
        <v>7.7763871721240496E-2</v>
      </c>
      <c r="I57" s="888">
        <v>7.7763871721240496E-2</v>
      </c>
      <c r="J57" s="888">
        <v>7.7763871721240496E-2</v>
      </c>
      <c r="K57" s="888">
        <v>7.7763871721240496E-2</v>
      </c>
      <c r="L57" s="888">
        <v>7.7763871721240496E-2</v>
      </c>
      <c r="M57" s="888">
        <v>7.7763871721240496E-2</v>
      </c>
      <c r="N57" s="888">
        <v>7.7763871721240496E-2</v>
      </c>
      <c r="O57" s="888">
        <v>7.7763871721240496E-2</v>
      </c>
      <c r="P57" s="888">
        <v>7.7763871721240496E-2</v>
      </c>
      <c r="Q57" s="888">
        <v>7.7763871721240496E-2</v>
      </c>
      <c r="R57" s="888">
        <v>7.7763871721240496E-2</v>
      </c>
      <c r="S57" s="888">
        <v>7.7763871721240496E-2</v>
      </c>
      <c r="T57" s="888">
        <v>7.7763871721240496E-2</v>
      </c>
      <c r="U57" s="888">
        <v>7.7763871721240496E-2</v>
      </c>
      <c r="V57" s="888">
        <v>7.7763871721240496E-2</v>
      </c>
      <c r="W57" s="888">
        <v>7.7763871721240496E-2</v>
      </c>
      <c r="X57" s="888">
        <v>7.7763871721240496E-2</v>
      </c>
      <c r="Y57" s="888">
        <v>7.7763871721240496E-2</v>
      </c>
      <c r="Z57" s="888">
        <v>7.7763871721240496E-2</v>
      </c>
      <c r="AA57" s="888">
        <v>7.7763871721240496E-2</v>
      </c>
      <c r="AB57" s="888">
        <v>7.7763871721240496E-2</v>
      </c>
      <c r="AC57" s="888">
        <v>7.7763871721240496E-2</v>
      </c>
      <c r="AD57" s="888">
        <v>7.7763871721240496E-2</v>
      </c>
      <c r="AE57" s="888">
        <v>7.7763871721240496E-2</v>
      </c>
      <c r="AF57" s="888">
        <v>7.7763871721240496E-2</v>
      </c>
      <c r="AG57" s="888">
        <v>7.7763871721240496E-2</v>
      </c>
      <c r="AH57" s="888">
        <v>7.7763871721240496E-2</v>
      </c>
      <c r="AI57" s="888">
        <v>7.7763871721240496E-2</v>
      </c>
      <c r="AJ57" s="888">
        <v>7.7763871721240496E-2</v>
      </c>
      <c r="AK57" s="888">
        <v>7.7763871721240496E-2</v>
      </c>
      <c r="AL57" s="888">
        <v>7.7763871721240496E-2</v>
      </c>
      <c r="AM57" s="888">
        <v>7.7763871721240496E-2</v>
      </c>
      <c r="AN57" s="888">
        <v>7.7763871721240496E-2</v>
      </c>
      <c r="AO57" s="888">
        <v>7.7763871721240496E-2</v>
      </c>
      <c r="AP57" s="888">
        <v>7.7763871721240496E-2</v>
      </c>
      <c r="AQ57" s="888">
        <v>7.7763871721240496E-2</v>
      </c>
      <c r="AR57" s="888">
        <v>7.7763871721240496E-2</v>
      </c>
      <c r="AS57" s="888">
        <v>7.7763871721240496E-2</v>
      </c>
      <c r="AT57" s="888">
        <v>7.7763871721240496E-2</v>
      </c>
      <c r="AU57" s="888">
        <v>7.7763871721240496E-2</v>
      </c>
      <c r="AV57" s="888">
        <v>7.7763871721240496E-2</v>
      </c>
      <c r="AW57" s="888">
        <v>7.7763871721240496E-2</v>
      </c>
      <c r="AX57" s="888">
        <v>7.7763871721240496E-2</v>
      </c>
      <c r="AY57" s="888">
        <v>7.7763871721240496E-2</v>
      </c>
      <c r="AZ57" s="888">
        <v>7.7763871721240496E-2</v>
      </c>
      <c r="BA57" s="888">
        <v>7.7763871721240496E-2</v>
      </c>
      <c r="BB57" s="888">
        <v>7.7763871721240496E-2</v>
      </c>
      <c r="BC57" s="888">
        <v>7.7763871721240496E-2</v>
      </c>
      <c r="BD57" s="888">
        <v>7.7763871721240496E-2</v>
      </c>
      <c r="BE57" s="888">
        <v>7.7763871721240496E-2</v>
      </c>
      <c r="BF57" s="888">
        <v>7.7763871721240496E-2</v>
      </c>
      <c r="BG57" s="888">
        <v>7.7763871721240496E-2</v>
      </c>
      <c r="BH57" s="888">
        <v>7.7763871721240496E-2</v>
      </c>
      <c r="BI57" s="888">
        <v>7.7763871721240496E-2</v>
      </c>
      <c r="BJ57" s="888">
        <v>7.7763871721240496E-2</v>
      </c>
      <c r="BK57" s="888">
        <v>7.7763871721240496E-2</v>
      </c>
      <c r="BL57" s="888">
        <v>7.7763871721240496E-2</v>
      </c>
      <c r="BM57" s="888">
        <v>7.7763871721240496E-2</v>
      </c>
      <c r="BN57" s="888">
        <v>7.7763871721240496E-2</v>
      </c>
      <c r="BO57" s="888">
        <v>7.7763871721240496E-2</v>
      </c>
      <c r="BP57" s="888">
        <v>7.7763871721240496E-2</v>
      </c>
      <c r="BQ57" s="888">
        <v>7.7763871721240496E-2</v>
      </c>
      <c r="BR57" s="888">
        <v>7.7763871721240496E-2</v>
      </c>
      <c r="BS57" s="888">
        <v>7.7763871721240496E-2</v>
      </c>
      <c r="BT57" s="888">
        <v>7.7763871721240496E-2</v>
      </c>
      <c r="BU57" s="888">
        <v>7.7763871721240496E-2</v>
      </c>
      <c r="BV57" s="888">
        <v>7.7763871721240496E-2</v>
      </c>
      <c r="BW57" s="888">
        <v>7.7763871721240496E-2</v>
      </c>
      <c r="BX57" s="888">
        <v>7.7763871721240496E-2</v>
      </c>
      <c r="BY57" s="888">
        <v>7.7763871721240496E-2</v>
      </c>
      <c r="BZ57" s="888">
        <v>7.7763871721240496E-2</v>
      </c>
      <c r="CA57" s="888">
        <v>7.7763871721240496E-2</v>
      </c>
      <c r="CB57" s="888">
        <v>7.7763871721240496E-2</v>
      </c>
      <c r="CC57" s="888">
        <v>7.7763871721240496E-2</v>
      </c>
      <c r="CD57" s="888">
        <v>7.7763871721240496E-2</v>
      </c>
      <c r="CE57" s="888">
        <v>7.7763871721240496E-2</v>
      </c>
      <c r="CF57" s="889">
        <v>7.7763871721240496E-2</v>
      </c>
    </row>
    <row r="58" spans="1:84">
      <c r="A58" s="876"/>
      <c r="B58" s="884" t="s">
        <v>845</v>
      </c>
      <c r="C58" s="885" t="s">
        <v>843</v>
      </c>
      <c r="D58" s="888">
        <v>0.56395072750857322</v>
      </c>
      <c r="E58" s="888">
        <v>0.56395072750857322</v>
      </c>
      <c r="F58" s="888">
        <v>0.56395072750857322</v>
      </c>
      <c r="G58" s="888">
        <v>0.56395072750857322</v>
      </c>
      <c r="H58" s="888">
        <v>0.56395072750857322</v>
      </c>
      <c r="I58" s="888">
        <v>0.56395072750857322</v>
      </c>
      <c r="J58" s="888">
        <v>0.56395072750857322</v>
      </c>
      <c r="K58" s="888">
        <v>0.56395072750857322</v>
      </c>
      <c r="L58" s="888">
        <v>0.56395072750857322</v>
      </c>
      <c r="M58" s="888">
        <v>0.56395072750857322</v>
      </c>
      <c r="N58" s="888">
        <v>0.56395072750857322</v>
      </c>
      <c r="O58" s="888">
        <v>0.56395072750857322</v>
      </c>
      <c r="P58" s="888">
        <v>0.56395072750857322</v>
      </c>
      <c r="Q58" s="888">
        <v>0.56395072750857322</v>
      </c>
      <c r="R58" s="888">
        <v>0.56395072750857322</v>
      </c>
      <c r="S58" s="888">
        <v>0.56395072750857322</v>
      </c>
      <c r="T58" s="888">
        <v>0.56395072750857322</v>
      </c>
      <c r="U58" s="888">
        <v>0.56395072750857322</v>
      </c>
      <c r="V58" s="888">
        <v>0.56395072750857322</v>
      </c>
      <c r="W58" s="888">
        <v>0.56395072750857322</v>
      </c>
      <c r="X58" s="888">
        <v>0.56395072750857322</v>
      </c>
      <c r="Y58" s="888">
        <v>0.56395072750857322</v>
      </c>
      <c r="Z58" s="888">
        <v>0.56395072750857322</v>
      </c>
      <c r="AA58" s="888">
        <v>0.56395072750857322</v>
      </c>
      <c r="AB58" s="888">
        <v>0.56395072750857322</v>
      </c>
      <c r="AC58" s="888">
        <v>0.56395072750857322</v>
      </c>
      <c r="AD58" s="888">
        <v>0.56395072750857322</v>
      </c>
      <c r="AE58" s="888">
        <v>0.56395072750857322</v>
      </c>
      <c r="AF58" s="888">
        <v>0.56395072750857322</v>
      </c>
      <c r="AG58" s="888">
        <v>0.56395072750857322</v>
      </c>
      <c r="AH58" s="888">
        <v>0.56395072750857322</v>
      </c>
      <c r="AI58" s="888">
        <v>0.56395072750857322</v>
      </c>
      <c r="AJ58" s="888">
        <v>0.56395072750857322</v>
      </c>
      <c r="AK58" s="888">
        <v>0.56395072750857322</v>
      </c>
      <c r="AL58" s="888">
        <v>0.56395072750857322</v>
      </c>
      <c r="AM58" s="888">
        <v>0.56395072750857322</v>
      </c>
      <c r="AN58" s="888">
        <v>0.56395072750857322</v>
      </c>
      <c r="AO58" s="888">
        <v>0.56395072750857322</v>
      </c>
      <c r="AP58" s="888">
        <v>0.56395072750857322</v>
      </c>
      <c r="AQ58" s="888">
        <v>0.56395072750857322</v>
      </c>
      <c r="AR58" s="888">
        <v>0.56395072750857322</v>
      </c>
      <c r="AS58" s="888">
        <v>0.56395072750857322</v>
      </c>
      <c r="AT58" s="888">
        <v>0.56395072750857322</v>
      </c>
      <c r="AU58" s="888">
        <v>0.56395072750857322</v>
      </c>
      <c r="AV58" s="888">
        <v>0.56395072750857322</v>
      </c>
      <c r="AW58" s="888">
        <v>0.56395072750857322</v>
      </c>
      <c r="AX58" s="888">
        <v>0.56395072750857322</v>
      </c>
      <c r="AY58" s="888">
        <v>0.56395072750857322</v>
      </c>
      <c r="AZ58" s="888">
        <v>0.56395072750857322</v>
      </c>
      <c r="BA58" s="888">
        <v>0.56395072750857322</v>
      </c>
      <c r="BB58" s="888">
        <v>0.56395072750857322</v>
      </c>
      <c r="BC58" s="888">
        <v>0.56395072750857322</v>
      </c>
      <c r="BD58" s="888">
        <v>0.56395072750857322</v>
      </c>
      <c r="BE58" s="888">
        <v>0.56395072750857322</v>
      </c>
      <c r="BF58" s="888">
        <v>0.56395072750857322</v>
      </c>
      <c r="BG58" s="888">
        <v>0.56395072750857322</v>
      </c>
      <c r="BH58" s="888">
        <v>0.56395072750857322</v>
      </c>
      <c r="BI58" s="888">
        <v>0.56395072750857322</v>
      </c>
      <c r="BJ58" s="888">
        <v>0.56395072750857322</v>
      </c>
      <c r="BK58" s="888">
        <v>0.56395072750857322</v>
      </c>
      <c r="BL58" s="888">
        <v>0.56395072750857322</v>
      </c>
      <c r="BM58" s="888">
        <v>0.56395072750857322</v>
      </c>
      <c r="BN58" s="888">
        <v>0.56395072750857322</v>
      </c>
      <c r="BO58" s="888">
        <v>0.56395072750857322</v>
      </c>
      <c r="BP58" s="888">
        <v>0.56395072750857322</v>
      </c>
      <c r="BQ58" s="888">
        <v>0.56395072750857322</v>
      </c>
      <c r="BR58" s="888">
        <v>0.56395072750857322</v>
      </c>
      <c r="BS58" s="888">
        <v>0.56395072750857322</v>
      </c>
      <c r="BT58" s="888">
        <v>0.56395072750857322</v>
      </c>
      <c r="BU58" s="888">
        <v>0.56395072750857322</v>
      </c>
      <c r="BV58" s="888">
        <v>0.56395072750857322</v>
      </c>
      <c r="BW58" s="888">
        <v>0.56395072750857322</v>
      </c>
      <c r="BX58" s="888">
        <v>0.56395072750857322</v>
      </c>
      <c r="BY58" s="888">
        <v>0.56395072750857322</v>
      </c>
      <c r="BZ58" s="888">
        <v>0.56395072750857322</v>
      </c>
      <c r="CA58" s="888">
        <v>0.56395072750857322</v>
      </c>
      <c r="CB58" s="888">
        <v>0.56395072750857322</v>
      </c>
      <c r="CC58" s="888">
        <v>0.56395072750857322</v>
      </c>
      <c r="CD58" s="888">
        <v>0.56395072750857322</v>
      </c>
      <c r="CE58" s="888">
        <v>0.56395072750857322</v>
      </c>
      <c r="CF58" s="889">
        <v>0.56395072750857322</v>
      </c>
    </row>
    <row r="59" spans="1:84">
      <c r="A59" s="876"/>
      <c r="B59" s="890" t="s">
        <v>846</v>
      </c>
      <c r="C59" s="891" t="s">
        <v>843</v>
      </c>
      <c r="D59" s="892">
        <v>0.13323434228562153</v>
      </c>
      <c r="E59" s="893">
        <v>0.13323434228562153</v>
      </c>
      <c r="F59" s="893">
        <v>0.13323434228562153</v>
      </c>
      <c r="G59" s="893">
        <v>0.13323434228562153</v>
      </c>
      <c r="H59" s="893">
        <v>0.13323434228562153</v>
      </c>
      <c r="I59" s="893">
        <v>0.13323434228562153</v>
      </c>
      <c r="J59" s="893">
        <v>0.13323434228562153</v>
      </c>
      <c r="K59" s="893">
        <v>0.13323434228562153</v>
      </c>
      <c r="L59" s="893">
        <v>0.13323434228562153</v>
      </c>
      <c r="M59" s="893">
        <v>0.13323434228562153</v>
      </c>
      <c r="N59" s="893">
        <v>0.13323434228562153</v>
      </c>
      <c r="O59" s="893">
        <v>0.13323434228562153</v>
      </c>
      <c r="P59" s="893">
        <v>0.13323434228562153</v>
      </c>
      <c r="Q59" s="893">
        <v>0.13323434228562153</v>
      </c>
      <c r="R59" s="893">
        <v>0.13323434228562153</v>
      </c>
      <c r="S59" s="893">
        <v>0.13323434228562153</v>
      </c>
      <c r="T59" s="893">
        <v>0.13323434228562153</v>
      </c>
      <c r="U59" s="893">
        <v>0.13323434228562153</v>
      </c>
      <c r="V59" s="893">
        <v>0.13323434228562153</v>
      </c>
      <c r="W59" s="893">
        <v>0.13323434228562153</v>
      </c>
      <c r="X59" s="893">
        <v>0.13323434228562153</v>
      </c>
      <c r="Y59" s="893">
        <v>0.13323434228562153</v>
      </c>
      <c r="Z59" s="893">
        <v>0.13323434228562153</v>
      </c>
      <c r="AA59" s="893">
        <v>0.13323434228562153</v>
      </c>
      <c r="AB59" s="893">
        <v>0.13323434228562153</v>
      </c>
      <c r="AC59" s="893">
        <v>0.13323434228562153</v>
      </c>
      <c r="AD59" s="893">
        <v>0.13323434228562153</v>
      </c>
      <c r="AE59" s="893">
        <v>0.13323434228562153</v>
      </c>
      <c r="AF59" s="893">
        <v>0.13323434228562153</v>
      </c>
      <c r="AG59" s="893">
        <v>0.13323434228562153</v>
      </c>
      <c r="AH59" s="893">
        <v>0.13323434228562153</v>
      </c>
      <c r="AI59" s="893">
        <v>0.13323434228562153</v>
      </c>
      <c r="AJ59" s="893">
        <v>0.13323434228562153</v>
      </c>
      <c r="AK59" s="893">
        <v>0.13323434228562153</v>
      </c>
      <c r="AL59" s="893">
        <v>0.13323434228562153</v>
      </c>
      <c r="AM59" s="893">
        <v>0.13323434228562153</v>
      </c>
      <c r="AN59" s="893">
        <v>0.13323434228562153</v>
      </c>
      <c r="AO59" s="893">
        <v>0.13323434228562153</v>
      </c>
      <c r="AP59" s="893">
        <v>0.13323434228562153</v>
      </c>
      <c r="AQ59" s="893">
        <v>0.13323434228562153</v>
      </c>
      <c r="AR59" s="893">
        <v>0.13323434228562153</v>
      </c>
      <c r="AS59" s="893">
        <v>0.13323434228562153</v>
      </c>
      <c r="AT59" s="893">
        <v>0.13323434228562153</v>
      </c>
      <c r="AU59" s="893">
        <v>0.13323434228562153</v>
      </c>
      <c r="AV59" s="893">
        <v>0.13323434228562153</v>
      </c>
      <c r="AW59" s="893">
        <v>0.13323434228562153</v>
      </c>
      <c r="AX59" s="893">
        <v>0.13323434228562153</v>
      </c>
      <c r="AY59" s="893">
        <v>0.13323434228562153</v>
      </c>
      <c r="AZ59" s="893">
        <v>0.13323434228562153</v>
      </c>
      <c r="BA59" s="893">
        <v>0.13323434228562153</v>
      </c>
      <c r="BB59" s="893">
        <v>0.13323434228562153</v>
      </c>
      <c r="BC59" s="893">
        <v>0.13323434228562153</v>
      </c>
      <c r="BD59" s="893">
        <v>0.13323434228562153</v>
      </c>
      <c r="BE59" s="893">
        <v>0.13323434228562153</v>
      </c>
      <c r="BF59" s="893">
        <v>0.13323434228562153</v>
      </c>
      <c r="BG59" s="893">
        <v>0.13323434228562153</v>
      </c>
      <c r="BH59" s="893">
        <v>0.13323434228562153</v>
      </c>
      <c r="BI59" s="893">
        <v>0.13323434228562153</v>
      </c>
      <c r="BJ59" s="893">
        <v>0.13323434228562153</v>
      </c>
      <c r="BK59" s="893">
        <v>0.13323434228562153</v>
      </c>
      <c r="BL59" s="893">
        <v>0.13323434228562153</v>
      </c>
      <c r="BM59" s="893">
        <v>0.13323434228562153</v>
      </c>
      <c r="BN59" s="893">
        <v>0.13323434228562153</v>
      </c>
      <c r="BO59" s="893">
        <v>0.13323434228562153</v>
      </c>
      <c r="BP59" s="893">
        <v>0.13323434228562153</v>
      </c>
      <c r="BQ59" s="893">
        <v>0.13323434228562153</v>
      </c>
      <c r="BR59" s="893">
        <v>0.13323434228562153</v>
      </c>
      <c r="BS59" s="893">
        <v>0.13323434228562153</v>
      </c>
      <c r="BT59" s="893">
        <v>0.13323434228562153</v>
      </c>
      <c r="BU59" s="893">
        <v>0.13323434228562153</v>
      </c>
      <c r="BV59" s="893">
        <v>0.13323434228562153</v>
      </c>
      <c r="BW59" s="893">
        <v>0.13323434228562153</v>
      </c>
      <c r="BX59" s="893">
        <v>0.13323434228562153</v>
      </c>
      <c r="BY59" s="893">
        <v>0.13323434228562153</v>
      </c>
      <c r="BZ59" s="893">
        <v>0.13323434228562153</v>
      </c>
      <c r="CA59" s="893">
        <v>0.13323434228562153</v>
      </c>
      <c r="CB59" s="893">
        <v>0.13323434228562153</v>
      </c>
      <c r="CC59" s="893">
        <v>0.13323434228562153</v>
      </c>
      <c r="CD59" s="893">
        <v>0.13323434228562153</v>
      </c>
      <c r="CE59" s="893">
        <v>0.13323434228562153</v>
      </c>
      <c r="CF59" s="894">
        <v>0.13323434228562153</v>
      </c>
    </row>
    <row r="60" spans="1:84">
      <c r="A60" s="876"/>
      <c r="B60" s="884" t="str">
        <f>CONCATENATE("Drivmiddel (", $D$122,"-priser)")</f>
        <v>Drivmiddel (-priser)</v>
      </c>
      <c r="C60" s="885" t="s">
        <v>847</v>
      </c>
      <c r="D60" s="886" t="e">
        <f t="shared" ref="D60" si="567">D7/#REF!*#REF!</f>
        <v>#REF!</v>
      </c>
      <c r="E60" s="886" t="e">
        <f t="shared" ref="E60" si="568">E7/#REF!*#REF!</f>
        <v>#REF!</v>
      </c>
      <c r="F60" s="886" t="e">
        <f t="shared" ref="F60" si="569">F7/#REF!*#REF!</f>
        <v>#REF!</v>
      </c>
      <c r="G60" s="886" t="e">
        <f t="shared" ref="G60" si="570">G7/#REF!*#REF!</f>
        <v>#REF!</v>
      </c>
      <c r="H60" s="886" t="e">
        <f t="shared" ref="H60" si="571">H7/#REF!*#REF!</f>
        <v>#REF!</v>
      </c>
      <c r="I60" s="886" t="e">
        <f t="shared" ref="I60" si="572">I7/#REF!*#REF!</f>
        <v>#REF!</v>
      </c>
      <c r="J60" s="886" t="e">
        <f t="shared" ref="J60" si="573">J7/#REF!*#REF!</f>
        <v>#REF!</v>
      </c>
      <c r="K60" s="886" t="e">
        <f t="shared" ref="K60" si="574">K7/#REF!*#REF!</f>
        <v>#REF!</v>
      </c>
      <c r="L60" s="886" t="e">
        <f t="shared" ref="L60" si="575">L7/#REF!*#REF!</f>
        <v>#REF!</v>
      </c>
      <c r="M60" s="886" t="e">
        <f t="shared" ref="M60" si="576">M7/#REF!*#REF!</f>
        <v>#REF!</v>
      </c>
      <c r="N60" s="886" t="e">
        <f t="shared" ref="N60" si="577">N7/#REF!*#REF!</f>
        <v>#REF!</v>
      </c>
      <c r="O60" s="886" t="e">
        <f t="shared" ref="O60" si="578">O7/#REF!*#REF!</f>
        <v>#REF!</v>
      </c>
      <c r="P60" s="886" t="e">
        <f t="shared" ref="P60" si="579">P7/#REF!*#REF!</f>
        <v>#REF!</v>
      </c>
      <c r="Q60" s="886" t="e">
        <f t="shared" ref="Q60" si="580">Q7/#REF!*#REF!</f>
        <v>#REF!</v>
      </c>
      <c r="R60" s="886" t="e">
        <f t="shared" ref="R60" si="581">R7/#REF!*#REF!</f>
        <v>#REF!</v>
      </c>
      <c r="S60" s="886" t="e">
        <f t="shared" ref="S60" si="582">S7/#REF!*#REF!</f>
        <v>#REF!</v>
      </c>
      <c r="T60" s="886" t="e">
        <f t="shared" ref="T60" si="583">T7/#REF!*#REF!</f>
        <v>#REF!</v>
      </c>
      <c r="U60" s="886" t="e">
        <f t="shared" ref="U60" si="584">U7/#REF!*#REF!</f>
        <v>#REF!</v>
      </c>
      <c r="V60" s="886" t="e">
        <f t="shared" ref="V60" si="585">V7/#REF!*#REF!</f>
        <v>#REF!</v>
      </c>
      <c r="W60" s="886" t="e">
        <f t="shared" ref="W60" si="586">W7/#REF!*#REF!</f>
        <v>#REF!</v>
      </c>
      <c r="X60" s="886" t="e">
        <f t="shared" ref="X60" si="587">X7/#REF!*#REF!</f>
        <v>#REF!</v>
      </c>
      <c r="Y60" s="886" t="e">
        <f t="shared" ref="Y60" si="588">Y7/#REF!*#REF!</f>
        <v>#REF!</v>
      </c>
      <c r="Z60" s="886" t="e">
        <f t="shared" ref="Z60" si="589">Z7/#REF!*#REF!</f>
        <v>#REF!</v>
      </c>
      <c r="AA60" s="886" t="e">
        <f t="shared" ref="AA60" si="590">AA7/#REF!*#REF!</f>
        <v>#REF!</v>
      </c>
      <c r="AB60" s="886" t="e">
        <f t="shared" ref="AB60" si="591">AB7/#REF!*#REF!</f>
        <v>#REF!</v>
      </c>
      <c r="AC60" s="886" t="e">
        <f t="shared" ref="AC60" si="592">AC7/#REF!*#REF!</f>
        <v>#REF!</v>
      </c>
      <c r="AD60" s="886" t="e">
        <f t="shared" ref="AD60" si="593">AD7/#REF!*#REF!</f>
        <v>#REF!</v>
      </c>
      <c r="AE60" s="886" t="e">
        <f t="shared" ref="AE60" si="594">AE7/#REF!*#REF!</f>
        <v>#REF!</v>
      </c>
      <c r="AF60" s="886" t="e">
        <f t="shared" ref="AF60" si="595">AF7/#REF!*#REF!</f>
        <v>#REF!</v>
      </c>
      <c r="AG60" s="886" t="e">
        <f t="shared" ref="AG60" si="596">AG7/#REF!*#REF!</f>
        <v>#REF!</v>
      </c>
      <c r="AH60" s="886" t="e">
        <f t="shared" ref="AH60" si="597">AH7/#REF!*#REF!</f>
        <v>#REF!</v>
      </c>
      <c r="AI60" s="886" t="e">
        <f t="shared" ref="AI60" si="598">AI7/#REF!*#REF!</f>
        <v>#REF!</v>
      </c>
      <c r="AJ60" s="886" t="e">
        <f t="shared" ref="AJ60" si="599">AJ7/#REF!*#REF!</f>
        <v>#REF!</v>
      </c>
      <c r="AK60" s="886" t="e">
        <f t="shared" ref="AK60" si="600">AK7/#REF!*#REF!</f>
        <v>#REF!</v>
      </c>
      <c r="AL60" s="886" t="e">
        <f t="shared" ref="AL60" si="601">AL7/#REF!*#REF!</f>
        <v>#REF!</v>
      </c>
      <c r="AM60" s="886" t="e">
        <f t="shared" ref="AM60" si="602">AM7/#REF!*#REF!</f>
        <v>#REF!</v>
      </c>
      <c r="AN60" s="886" t="e">
        <f t="shared" ref="AN60" si="603">AN7/#REF!*#REF!</f>
        <v>#REF!</v>
      </c>
      <c r="AO60" s="886" t="e">
        <f t="shared" ref="AO60" si="604">AO7/#REF!*#REF!</f>
        <v>#REF!</v>
      </c>
      <c r="AP60" s="886" t="e">
        <f t="shared" ref="AP60" si="605">AP7/#REF!*#REF!</f>
        <v>#REF!</v>
      </c>
      <c r="AQ60" s="886" t="e">
        <f t="shared" ref="AQ60" si="606">AQ7/#REF!*#REF!</f>
        <v>#REF!</v>
      </c>
      <c r="AR60" s="886" t="e">
        <f t="shared" ref="AR60" si="607">AR7/#REF!*#REF!</f>
        <v>#REF!</v>
      </c>
      <c r="AS60" s="886" t="e">
        <f t="shared" ref="AS60" si="608">AS7/#REF!*#REF!</f>
        <v>#REF!</v>
      </c>
      <c r="AT60" s="886" t="e">
        <f t="shared" ref="AT60" si="609">AT7/#REF!*#REF!</f>
        <v>#REF!</v>
      </c>
      <c r="AU60" s="886" t="e">
        <f t="shared" ref="AU60" si="610">AU7/#REF!*#REF!</f>
        <v>#REF!</v>
      </c>
      <c r="AV60" s="886" t="e">
        <f t="shared" ref="AV60" si="611">AV7/#REF!*#REF!</f>
        <v>#REF!</v>
      </c>
      <c r="AW60" s="886" t="e">
        <f t="shared" ref="AW60" si="612">AW7/#REF!*#REF!</f>
        <v>#REF!</v>
      </c>
      <c r="AX60" s="886" t="e">
        <f t="shared" ref="AX60" si="613">AX7/#REF!*#REF!</f>
        <v>#REF!</v>
      </c>
      <c r="AY60" s="886" t="e">
        <f t="shared" ref="AY60" si="614">AY7/#REF!*#REF!</f>
        <v>#REF!</v>
      </c>
      <c r="AZ60" s="886" t="e">
        <f t="shared" ref="AZ60" si="615">AZ7/#REF!*#REF!</f>
        <v>#REF!</v>
      </c>
      <c r="BA60" s="886" t="e">
        <f t="shared" ref="BA60" si="616">BA7/#REF!*#REF!</f>
        <v>#REF!</v>
      </c>
      <c r="BB60" s="886" t="e">
        <f t="shared" ref="BB60" si="617">BB7/#REF!*#REF!</f>
        <v>#REF!</v>
      </c>
      <c r="BC60" s="886" t="e">
        <f t="shared" ref="BC60" si="618">BC7/#REF!*#REF!</f>
        <v>#REF!</v>
      </c>
      <c r="BD60" s="886" t="e">
        <f t="shared" ref="BD60" si="619">BD7/#REF!*#REF!</f>
        <v>#REF!</v>
      </c>
      <c r="BE60" s="886" t="e">
        <f t="shared" ref="BE60" si="620">BE7/#REF!*#REF!</f>
        <v>#REF!</v>
      </c>
      <c r="BF60" s="886" t="e">
        <f t="shared" ref="BF60" si="621">BF7/#REF!*#REF!</f>
        <v>#REF!</v>
      </c>
      <c r="BG60" s="886" t="e">
        <f t="shared" ref="BG60" si="622">BG7/#REF!*#REF!</f>
        <v>#REF!</v>
      </c>
      <c r="BH60" s="886" t="e">
        <f t="shared" ref="BH60" si="623">BH7/#REF!*#REF!</f>
        <v>#REF!</v>
      </c>
      <c r="BI60" s="886" t="e">
        <f t="shared" ref="BI60" si="624">BI7/#REF!*#REF!</f>
        <v>#REF!</v>
      </c>
      <c r="BJ60" s="886" t="e">
        <f t="shared" ref="BJ60" si="625">BJ7/#REF!*#REF!</f>
        <v>#REF!</v>
      </c>
      <c r="BK60" s="886" t="e">
        <f t="shared" ref="BK60" si="626">BK7/#REF!*#REF!</f>
        <v>#REF!</v>
      </c>
      <c r="BL60" s="886" t="e">
        <f t="shared" ref="BL60" si="627">BL7/#REF!*#REF!</f>
        <v>#REF!</v>
      </c>
      <c r="BM60" s="886" t="e">
        <f t="shared" ref="BM60" si="628">BM7/#REF!*#REF!</f>
        <v>#REF!</v>
      </c>
      <c r="BN60" s="886" t="e">
        <f t="shared" ref="BN60" si="629">BN7/#REF!*#REF!</f>
        <v>#REF!</v>
      </c>
      <c r="BO60" s="886" t="e">
        <f t="shared" ref="BO60" si="630">BO7/#REF!*#REF!</f>
        <v>#REF!</v>
      </c>
      <c r="BP60" s="886" t="e">
        <f t="shared" ref="BP60" si="631">BP7/#REF!*#REF!</f>
        <v>#REF!</v>
      </c>
      <c r="BQ60" s="886" t="e">
        <f t="shared" ref="BQ60" si="632">BQ7/#REF!*#REF!</f>
        <v>#REF!</v>
      </c>
      <c r="BR60" s="886" t="e">
        <f t="shared" ref="BR60" si="633">BR7/#REF!*#REF!</f>
        <v>#REF!</v>
      </c>
      <c r="BS60" s="886" t="e">
        <f t="shared" ref="BS60" si="634">BS7/#REF!*#REF!</f>
        <v>#REF!</v>
      </c>
      <c r="BT60" s="886" t="e">
        <f t="shared" ref="BT60" si="635">BT7/#REF!*#REF!</f>
        <v>#REF!</v>
      </c>
      <c r="BU60" s="886" t="e">
        <f t="shared" ref="BU60" si="636">BU7/#REF!*#REF!</f>
        <v>#REF!</v>
      </c>
      <c r="BV60" s="886" t="e">
        <f t="shared" ref="BV60" si="637">BV7/#REF!*#REF!</f>
        <v>#REF!</v>
      </c>
      <c r="BW60" s="886" t="e">
        <f t="shared" ref="BW60" si="638">BW7/#REF!*#REF!</f>
        <v>#REF!</v>
      </c>
      <c r="BX60" s="886" t="e">
        <f t="shared" ref="BX60" si="639">BX7/#REF!*#REF!</f>
        <v>#REF!</v>
      </c>
      <c r="BY60" s="886" t="e">
        <f t="shared" ref="BY60" si="640">BY7/#REF!*#REF!</f>
        <v>#REF!</v>
      </c>
      <c r="BZ60" s="886" t="e">
        <f t="shared" ref="BZ60" si="641">BZ7/#REF!*#REF!</f>
        <v>#REF!</v>
      </c>
      <c r="CA60" s="886" t="e">
        <f t="shared" ref="CA60" si="642">CA7/#REF!*#REF!</f>
        <v>#REF!</v>
      </c>
      <c r="CB60" s="886" t="e">
        <f t="shared" ref="CB60" si="643">CB7/#REF!*#REF!</f>
        <v>#REF!</v>
      </c>
      <c r="CC60" s="886" t="e">
        <f t="shared" ref="CC60" si="644">CC7/#REF!*#REF!</f>
        <v>#REF!</v>
      </c>
      <c r="CD60" s="886" t="e">
        <f t="shared" ref="CD60" si="645">CD7/#REF!*#REF!</f>
        <v>#REF!</v>
      </c>
      <c r="CE60" s="886" t="e">
        <f t="shared" ref="CE60" si="646">CE7/#REF!*#REF!</f>
        <v>#REF!</v>
      </c>
      <c r="CF60" s="887" t="e">
        <f t="shared" ref="CF60" si="647">CF7/#REF!*#REF!</f>
        <v>#REF!</v>
      </c>
    </row>
    <row r="61" spans="1:84">
      <c r="A61" s="876"/>
      <c r="B61" s="908" t="s">
        <v>844</v>
      </c>
      <c r="C61" s="909" t="s">
        <v>847</v>
      </c>
      <c r="D61" s="910">
        <v>9.7204839651550606E-2</v>
      </c>
      <c r="E61" s="910">
        <v>9.7204839651550606E-2</v>
      </c>
      <c r="F61" s="910">
        <v>9.7204839651550606E-2</v>
      </c>
      <c r="G61" s="910">
        <v>9.7204839651550606E-2</v>
      </c>
      <c r="H61" s="910">
        <v>9.7204839651550606E-2</v>
      </c>
      <c r="I61" s="910">
        <v>9.7204839651550606E-2</v>
      </c>
      <c r="J61" s="910">
        <v>9.7204839651550606E-2</v>
      </c>
      <c r="K61" s="910">
        <v>9.7204839651550606E-2</v>
      </c>
      <c r="L61" s="910">
        <v>9.7204839651550606E-2</v>
      </c>
      <c r="M61" s="910">
        <v>9.7204839651550606E-2</v>
      </c>
      <c r="N61" s="910">
        <v>9.7204839651550606E-2</v>
      </c>
      <c r="O61" s="910">
        <v>9.7204839651550606E-2</v>
      </c>
      <c r="P61" s="910">
        <v>9.7204839651550606E-2</v>
      </c>
      <c r="Q61" s="910">
        <v>9.7204839651550606E-2</v>
      </c>
      <c r="R61" s="910">
        <v>9.7204839651550606E-2</v>
      </c>
      <c r="S61" s="910">
        <v>9.7204839651550606E-2</v>
      </c>
      <c r="T61" s="910">
        <v>9.7204839651550606E-2</v>
      </c>
      <c r="U61" s="910">
        <v>9.7204839651550606E-2</v>
      </c>
      <c r="V61" s="910">
        <v>9.7204839651550606E-2</v>
      </c>
      <c r="W61" s="910">
        <v>9.7204839651550606E-2</v>
      </c>
      <c r="X61" s="910">
        <v>9.7204839651550606E-2</v>
      </c>
      <c r="Y61" s="910">
        <v>9.7204839651550606E-2</v>
      </c>
      <c r="Z61" s="910">
        <v>9.7204839651550606E-2</v>
      </c>
      <c r="AA61" s="910">
        <v>9.7204839651550606E-2</v>
      </c>
      <c r="AB61" s="910">
        <v>9.7204839651550606E-2</v>
      </c>
      <c r="AC61" s="910">
        <v>9.7204839651550606E-2</v>
      </c>
      <c r="AD61" s="910">
        <v>9.7204839651550606E-2</v>
      </c>
      <c r="AE61" s="910">
        <v>9.7204839651550606E-2</v>
      </c>
      <c r="AF61" s="910">
        <v>9.7204839651550606E-2</v>
      </c>
      <c r="AG61" s="910">
        <v>9.7204839651550606E-2</v>
      </c>
      <c r="AH61" s="910">
        <v>9.7204839651550606E-2</v>
      </c>
      <c r="AI61" s="910">
        <v>9.7204839651550606E-2</v>
      </c>
      <c r="AJ61" s="910">
        <v>9.7204839651550606E-2</v>
      </c>
      <c r="AK61" s="910">
        <v>9.7204839651550606E-2</v>
      </c>
      <c r="AL61" s="910">
        <v>9.7204839651550606E-2</v>
      </c>
      <c r="AM61" s="910">
        <v>9.7204839651550606E-2</v>
      </c>
      <c r="AN61" s="910">
        <v>9.7204839651550606E-2</v>
      </c>
      <c r="AO61" s="910">
        <v>9.7204839651550606E-2</v>
      </c>
      <c r="AP61" s="910">
        <v>9.7204839651550606E-2</v>
      </c>
      <c r="AQ61" s="910">
        <v>9.7204839651550606E-2</v>
      </c>
      <c r="AR61" s="910">
        <v>9.7204839651550606E-2</v>
      </c>
      <c r="AS61" s="910">
        <v>9.7204839651550606E-2</v>
      </c>
      <c r="AT61" s="910">
        <v>9.7204839651550606E-2</v>
      </c>
      <c r="AU61" s="910">
        <v>9.7204839651550606E-2</v>
      </c>
      <c r="AV61" s="910">
        <v>9.7204839651550606E-2</v>
      </c>
      <c r="AW61" s="910">
        <v>9.7204839651550606E-2</v>
      </c>
      <c r="AX61" s="910">
        <v>9.7204839651550606E-2</v>
      </c>
      <c r="AY61" s="910">
        <v>9.7204839651550606E-2</v>
      </c>
      <c r="AZ61" s="910">
        <v>9.7204839651550606E-2</v>
      </c>
      <c r="BA61" s="910">
        <v>9.7204839651550606E-2</v>
      </c>
      <c r="BB61" s="910">
        <v>9.7204839651550606E-2</v>
      </c>
      <c r="BC61" s="910">
        <v>9.7204839651550606E-2</v>
      </c>
      <c r="BD61" s="910">
        <v>9.7204839651550606E-2</v>
      </c>
      <c r="BE61" s="910">
        <v>9.7204839651550606E-2</v>
      </c>
      <c r="BF61" s="910">
        <v>9.7204839651550606E-2</v>
      </c>
      <c r="BG61" s="910">
        <v>9.7204839651550606E-2</v>
      </c>
      <c r="BH61" s="910">
        <v>9.7204839651550606E-2</v>
      </c>
      <c r="BI61" s="910">
        <v>9.7204839651550606E-2</v>
      </c>
      <c r="BJ61" s="910">
        <v>9.7204839651550606E-2</v>
      </c>
      <c r="BK61" s="910">
        <v>9.7204839651550606E-2</v>
      </c>
      <c r="BL61" s="910">
        <v>9.7204839651550606E-2</v>
      </c>
      <c r="BM61" s="910">
        <v>9.7204839651550606E-2</v>
      </c>
      <c r="BN61" s="910">
        <v>9.7204839651550606E-2</v>
      </c>
      <c r="BO61" s="910">
        <v>9.7204839651550606E-2</v>
      </c>
      <c r="BP61" s="910">
        <v>9.7204839651550606E-2</v>
      </c>
      <c r="BQ61" s="910">
        <v>9.7204839651550606E-2</v>
      </c>
      <c r="BR61" s="910">
        <v>9.7204839651550606E-2</v>
      </c>
      <c r="BS61" s="910">
        <v>9.7204839651550606E-2</v>
      </c>
      <c r="BT61" s="910">
        <v>9.7204839651550606E-2</v>
      </c>
      <c r="BU61" s="910">
        <v>9.7204839651550606E-2</v>
      </c>
      <c r="BV61" s="910">
        <v>9.7204839651550606E-2</v>
      </c>
      <c r="BW61" s="910">
        <v>9.7204839651550606E-2</v>
      </c>
      <c r="BX61" s="910">
        <v>9.7204839651550606E-2</v>
      </c>
      <c r="BY61" s="910">
        <v>9.7204839651550606E-2</v>
      </c>
      <c r="BZ61" s="910">
        <v>9.7204839651550606E-2</v>
      </c>
      <c r="CA61" s="910">
        <v>9.7204839651550606E-2</v>
      </c>
      <c r="CB61" s="910">
        <v>9.7204839651550606E-2</v>
      </c>
      <c r="CC61" s="910">
        <v>9.7204839651550606E-2</v>
      </c>
      <c r="CD61" s="910">
        <v>9.7204839651550606E-2</v>
      </c>
      <c r="CE61" s="910">
        <v>9.7204839651550606E-2</v>
      </c>
      <c r="CF61" s="911">
        <v>9.7204839651550606E-2</v>
      </c>
    </row>
    <row r="62" spans="1:84">
      <c r="A62" s="876"/>
      <c r="B62" s="908" t="s">
        <v>845</v>
      </c>
      <c r="C62" s="909" t="s">
        <v>847</v>
      </c>
      <c r="D62" s="910">
        <v>0.81527169723801551</v>
      </c>
      <c r="E62" s="910">
        <v>0.81527169723801551</v>
      </c>
      <c r="F62" s="910">
        <v>0.81527169723801551</v>
      </c>
      <c r="G62" s="910">
        <v>0.81527169723801551</v>
      </c>
      <c r="H62" s="910">
        <v>0.81527169723801551</v>
      </c>
      <c r="I62" s="910">
        <v>0.81527169723801551</v>
      </c>
      <c r="J62" s="910">
        <v>0.81527169723801551</v>
      </c>
      <c r="K62" s="910">
        <v>0.81527169723801551</v>
      </c>
      <c r="L62" s="910">
        <v>0.81527169723801551</v>
      </c>
      <c r="M62" s="910">
        <v>0.81527169723801551</v>
      </c>
      <c r="N62" s="910">
        <v>0.81527169723801551</v>
      </c>
      <c r="O62" s="910">
        <v>0.81527169723801551</v>
      </c>
      <c r="P62" s="910">
        <v>0.81527169723801551</v>
      </c>
      <c r="Q62" s="910">
        <v>0.81527169723801551</v>
      </c>
      <c r="R62" s="910">
        <v>0.81527169723801551</v>
      </c>
      <c r="S62" s="910">
        <v>0.81527169723801551</v>
      </c>
      <c r="T62" s="910">
        <v>0.81527169723801551</v>
      </c>
      <c r="U62" s="910">
        <v>0.81527169723801551</v>
      </c>
      <c r="V62" s="910">
        <v>0.81527169723801551</v>
      </c>
      <c r="W62" s="910">
        <v>0.81527169723801551</v>
      </c>
      <c r="X62" s="910">
        <v>0.81527169723801551</v>
      </c>
      <c r="Y62" s="910">
        <v>0.81527169723801551</v>
      </c>
      <c r="Z62" s="910">
        <v>0.81527169723801551</v>
      </c>
      <c r="AA62" s="910">
        <v>0.81527169723801551</v>
      </c>
      <c r="AB62" s="910">
        <v>0.81527169723801551</v>
      </c>
      <c r="AC62" s="910">
        <v>0.81527169723801551</v>
      </c>
      <c r="AD62" s="910">
        <v>0.81527169723801551</v>
      </c>
      <c r="AE62" s="910">
        <v>0.81527169723801551</v>
      </c>
      <c r="AF62" s="910">
        <v>0.81527169723801551</v>
      </c>
      <c r="AG62" s="910">
        <v>0.81527169723801551</v>
      </c>
      <c r="AH62" s="910">
        <v>0.81527169723801551</v>
      </c>
      <c r="AI62" s="910">
        <v>0.81527169723801551</v>
      </c>
      <c r="AJ62" s="910">
        <v>0.81527169723801551</v>
      </c>
      <c r="AK62" s="910">
        <v>0.81527169723801551</v>
      </c>
      <c r="AL62" s="910">
        <v>0.81527169723801551</v>
      </c>
      <c r="AM62" s="910">
        <v>0.81527169723801551</v>
      </c>
      <c r="AN62" s="910">
        <v>0.81527169723801551</v>
      </c>
      <c r="AO62" s="910">
        <v>0.81527169723801551</v>
      </c>
      <c r="AP62" s="910">
        <v>0.81527169723801551</v>
      </c>
      <c r="AQ62" s="910">
        <v>0.81527169723801551</v>
      </c>
      <c r="AR62" s="910">
        <v>0.81527169723801551</v>
      </c>
      <c r="AS62" s="910">
        <v>0.81527169723801551</v>
      </c>
      <c r="AT62" s="910">
        <v>0.81527169723801551</v>
      </c>
      <c r="AU62" s="910">
        <v>0.81527169723801551</v>
      </c>
      <c r="AV62" s="910">
        <v>0.81527169723801551</v>
      </c>
      <c r="AW62" s="910">
        <v>0.81527169723801551</v>
      </c>
      <c r="AX62" s="910">
        <v>0.81527169723801551</v>
      </c>
      <c r="AY62" s="910">
        <v>0.81527169723801551</v>
      </c>
      <c r="AZ62" s="910">
        <v>0.81527169723801551</v>
      </c>
      <c r="BA62" s="910">
        <v>0.81527169723801551</v>
      </c>
      <c r="BB62" s="910">
        <v>0.81527169723801551</v>
      </c>
      <c r="BC62" s="910">
        <v>0.81527169723801551</v>
      </c>
      <c r="BD62" s="910">
        <v>0.81527169723801551</v>
      </c>
      <c r="BE62" s="910">
        <v>0.81527169723801551</v>
      </c>
      <c r="BF62" s="910">
        <v>0.81527169723801551</v>
      </c>
      <c r="BG62" s="910">
        <v>0.81527169723801551</v>
      </c>
      <c r="BH62" s="910">
        <v>0.81527169723801551</v>
      </c>
      <c r="BI62" s="910">
        <v>0.81527169723801551</v>
      </c>
      <c r="BJ62" s="910">
        <v>0.81527169723801551</v>
      </c>
      <c r="BK62" s="910">
        <v>0.81527169723801551</v>
      </c>
      <c r="BL62" s="910">
        <v>0.81527169723801551</v>
      </c>
      <c r="BM62" s="910">
        <v>0.81527169723801551</v>
      </c>
      <c r="BN62" s="910">
        <v>0.81527169723801551</v>
      </c>
      <c r="BO62" s="910">
        <v>0.81527169723801551</v>
      </c>
      <c r="BP62" s="910">
        <v>0.81527169723801551</v>
      </c>
      <c r="BQ62" s="910">
        <v>0.81527169723801551</v>
      </c>
      <c r="BR62" s="910">
        <v>0.81527169723801551</v>
      </c>
      <c r="BS62" s="910">
        <v>0.81527169723801551</v>
      </c>
      <c r="BT62" s="910">
        <v>0.81527169723801551</v>
      </c>
      <c r="BU62" s="910">
        <v>0.81527169723801551</v>
      </c>
      <c r="BV62" s="910">
        <v>0.81527169723801551</v>
      </c>
      <c r="BW62" s="910">
        <v>0.81527169723801551</v>
      </c>
      <c r="BX62" s="910">
        <v>0.81527169723801551</v>
      </c>
      <c r="BY62" s="910">
        <v>0.81527169723801551</v>
      </c>
      <c r="BZ62" s="910">
        <v>0.81527169723801551</v>
      </c>
      <c r="CA62" s="910">
        <v>0.81527169723801551</v>
      </c>
      <c r="CB62" s="910">
        <v>0.81527169723801551</v>
      </c>
      <c r="CC62" s="910">
        <v>0.81527169723801551</v>
      </c>
      <c r="CD62" s="910">
        <v>0.81527169723801551</v>
      </c>
      <c r="CE62" s="910">
        <v>0.81527169723801551</v>
      </c>
      <c r="CF62" s="911">
        <v>0.81527169723801551</v>
      </c>
    </row>
    <row r="63" spans="1:84" ht="13.8" thickBot="1">
      <c r="A63" s="876"/>
      <c r="B63" s="912" t="s">
        <v>846</v>
      </c>
      <c r="C63" s="913" t="s">
        <v>847</v>
      </c>
      <c r="D63" s="914">
        <v>0.32820310289609034</v>
      </c>
      <c r="E63" s="915">
        <v>0.32820310289609034</v>
      </c>
      <c r="F63" s="915">
        <v>0.32820310289609034</v>
      </c>
      <c r="G63" s="915">
        <v>0.32820310289609034</v>
      </c>
      <c r="H63" s="915">
        <v>0.32820310289609034</v>
      </c>
      <c r="I63" s="915">
        <v>0.32820310289609034</v>
      </c>
      <c r="J63" s="915">
        <v>0.32820310289609034</v>
      </c>
      <c r="K63" s="915">
        <v>0.32820310289609034</v>
      </c>
      <c r="L63" s="915">
        <v>0.32820310289609034</v>
      </c>
      <c r="M63" s="915">
        <v>0.32820310289609034</v>
      </c>
      <c r="N63" s="915">
        <v>0.32820310289609034</v>
      </c>
      <c r="O63" s="915">
        <v>0.32820310289609034</v>
      </c>
      <c r="P63" s="915">
        <v>0.32820310289609034</v>
      </c>
      <c r="Q63" s="915">
        <v>0.32820310289609034</v>
      </c>
      <c r="R63" s="915">
        <v>0.32820310289609034</v>
      </c>
      <c r="S63" s="915">
        <v>0.32820310289609034</v>
      </c>
      <c r="T63" s="915">
        <v>0.32820310289609034</v>
      </c>
      <c r="U63" s="915">
        <v>0.32820310289609034</v>
      </c>
      <c r="V63" s="915">
        <v>0.32820310289609034</v>
      </c>
      <c r="W63" s="915">
        <v>0.32820310289609034</v>
      </c>
      <c r="X63" s="915">
        <v>0.32820310289609034</v>
      </c>
      <c r="Y63" s="915">
        <v>0.32820310289609034</v>
      </c>
      <c r="Z63" s="915">
        <v>0.32820310289609034</v>
      </c>
      <c r="AA63" s="915">
        <v>0.32820310289609034</v>
      </c>
      <c r="AB63" s="915">
        <v>0.32820310289609034</v>
      </c>
      <c r="AC63" s="915">
        <v>0.32820310289609034</v>
      </c>
      <c r="AD63" s="915">
        <v>0.32820310289609034</v>
      </c>
      <c r="AE63" s="915">
        <v>0.32820310289609034</v>
      </c>
      <c r="AF63" s="915">
        <v>0.32820310289609034</v>
      </c>
      <c r="AG63" s="915">
        <v>0.32820310289609034</v>
      </c>
      <c r="AH63" s="915">
        <v>0.32820310289609034</v>
      </c>
      <c r="AI63" s="915">
        <v>0.32820310289609034</v>
      </c>
      <c r="AJ63" s="915">
        <v>0.32820310289609034</v>
      </c>
      <c r="AK63" s="915">
        <v>0.32820310289609034</v>
      </c>
      <c r="AL63" s="915">
        <v>0.32820310289609034</v>
      </c>
      <c r="AM63" s="915">
        <v>0.32820310289609034</v>
      </c>
      <c r="AN63" s="915">
        <v>0.32820310289609034</v>
      </c>
      <c r="AO63" s="915">
        <v>0.32820310289609034</v>
      </c>
      <c r="AP63" s="915">
        <v>0.32820310289609034</v>
      </c>
      <c r="AQ63" s="915">
        <v>0.32820310289609034</v>
      </c>
      <c r="AR63" s="915">
        <v>0.32820310289609034</v>
      </c>
      <c r="AS63" s="915">
        <v>0.32820310289609034</v>
      </c>
      <c r="AT63" s="915">
        <v>0.32820310289609034</v>
      </c>
      <c r="AU63" s="915">
        <v>0.32820310289609034</v>
      </c>
      <c r="AV63" s="915">
        <v>0.32820310289609034</v>
      </c>
      <c r="AW63" s="915">
        <v>0.32820310289609034</v>
      </c>
      <c r="AX63" s="915">
        <v>0.32820310289609034</v>
      </c>
      <c r="AY63" s="915">
        <v>0.32820310289609034</v>
      </c>
      <c r="AZ63" s="915">
        <v>0.32820310289609034</v>
      </c>
      <c r="BA63" s="915">
        <v>0.32820310289609034</v>
      </c>
      <c r="BB63" s="915">
        <v>0.32820310289609034</v>
      </c>
      <c r="BC63" s="915">
        <v>0.32820310289609034</v>
      </c>
      <c r="BD63" s="915">
        <v>0.32820310289609034</v>
      </c>
      <c r="BE63" s="915">
        <v>0.32820310289609034</v>
      </c>
      <c r="BF63" s="915">
        <v>0.32820310289609034</v>
      </c>
      <c r="BG63" s="915">
        <v>0.32820310289609034</v>
      </c>
      <c r="BH63" s="915">
        <v>0.32820310289609034</v>
      </c>
      <c r="BI63" s="915">
        <v>0.32820310289609034</v>
      </c>
      <c r="BJ63" s="915">
        <v>0.32820310289609034</v>
      </c>
      <c r="BK63" s="915">
        <v>0.32820310289609034</v>
      </c>
      <c r="BL63" s="915">
        <v>0.32820310289609034</v>
      </c>
      <c r="BM63" s="915">
        <v>0.32820310289609034</v>
      </c>
      <c r="BN63" s="915">
        <v>0.32820310289609034</v>
      </c>
      <c r="BO63" s="915">
        <v>0.32820310289609034</v>
      </c>
      <c r="BP63" s="915">
        <v>0.32820310289609034</v>
      </c>
      <c r="BQ63" s="915">
        <v>0.32820310289609034</v>
      </c>
      <c r="BR63" s="915">
        <v>0.32820310289609034</v>
      </c>
      <c r="BS63" s="915">
        <v>0.32820310289609034</v>
      </c>
      <c r="BT63" s="915">
        <v>0.32820310289609034</v>
      </c>
      <c r="BU63" s="915">
        <v>0.32820310289609034</v>
      </c>
      <c r="BV63" s="915">
        <v>0.32820310289609034</v>
      </c>
      <c r="BW63" s="915">
        <v>0.32820310289609034</v>
      </c>
      <c r="BX63" s="915">
        <v>0.32820310289609034</v>
      </c>
      <c r="BY63" s="915">
        <v>0.32820310289609034</v>
      </c>
      <c r="BZ63" s="915">
        <v>0.32820310289609034</v>
      </c>
      <c r="CA63" s="915">
        <v>0.32820310289609034</v>
      </c>
      <c r="CB63" s="915">
        <v>0.32820310289609034</v>
      </c>
      <c r="CC63" s="915">
        <v>0.32820310289609034</v>
      </c>
      <c r="CD63" s="915">
        <v>0.32820310289609034</v>
      </c>
      <c r="CE63" s="915">
        <v>0.32820310289609034</v>
      </c>
      <c r="CF63" s="916">
        <v>0.32820310289609034</v>
      </c>
    </row>
    <row r="64" spans="1:84">
      <c r="A64" s="876"/>
      <c r="B64" s="900"/>
      <c r="C64" s="876"/>
      <c r="D64" s="876"/>
      <c r="E64" s="876"/>
      <c r="F64" s="876"/>
      <c r="G64" s="876"/>
      <c r="H64" s="876"/>
      <c r="I64" s="876"/>
      <c r="J64" s="876"/>
      <c r="K64" s="876"/>
      <c r="L64" s="876"/>
      <c r="M64" s="876"/>
      <c r="N64" s="876"/>
      <c r="O64" s="876"/>
      <c r="P64" s="876"/>
      <c r="Q64" s="876"/>
      <c r="R64" s="876"/>
      <c r="S64" s="876"/>
      <c r="T64" s="876"/>
      <c r="U64" s="876"/>
      <c r="V64" s="876"/>
      <c r="W64" s="876"/>
      <c r="X64" s="876"/>
      <c r="Y64" s="876"/>
      <c r="Z64" s="876"/>
      <c r="AA64" s="876"/>
      <c r="AB64" s="876"/>
      <c r="AC64" s="876"/>
      <c r="AD64" s="876"/>
      <c r="AE64" s="876"/>
      <c r="AF64" s="876"/>
      <c r="AG64" s="876"/>
      <c r="AH64" s="876"/>
      <c r="AI64" s="876"/>
      <c r="AJ64" s="876"/>
      <c r="AK64" s="876"/>
      <c r="AL64" s="876"/>
      <c r="AM64" s="876"/>
      <c r="AN64" s="876"/>
      <c r="AO64" s="876"/>
      <c r="AP64" s="876"/>
      <c r="AQ64" s="876"/>
      <c r="AR64" s="876"/>
      <c r="AS64" s="876"/>
      <c r="AT64" s="876"/>
      <c r="AU64" s="876"/>
      <c r="AV64" s="876"/>
      <c r="AW64" s="876"/>
      <c r="AX64" s="876"/>
      <c r="AY64" s="876"/>
      <c r="AZ64" s="876"/>
      <c r="BA64" s="876"/>
      <c r="BB64" s="876"/>
      <c r="BC64" s="876"/>
      <c r="BD64" s="876"/>
      <c r="BE64" s="876"/>
      <c r="BF64" s="876"/>
      <c r="BG64" s="876"/>
      <c r="BH64" s="876"/>
      <c r="BI64" s="876"/>
      <c r="BJ64" s="876"/>
      <c r="BK64" s="876"/>
      <c r="BL64" s="876"/>
      <c r="BM64" s="876"/>
      <c r="BN64" s="876"/>
      <c r="BO64" s="876"/>
      <c r="BP64" s="876"/>
      <c r="BQ64" s="876"/>
      <c r="BR64" s="876"/>
      <c r="BS64" s="876"/>
      <c r="BT64" s="876"/>
      <c r="BU64" s="876"/>
      <c r="BV64" s="876"/>
      <c r="BW64" s="876"/>
      <c r="BX64" s="876"/>
      <c r="BY64" s="876"/>
      <c r="BZ64" s="876"/>
      <c r="CA64" s="876"/>
      <c r="CB64" s="876"/>
      <c r="CC64" s="876"/>
      <c r="CD64" s="876"/>
      <c r="CE64" s="876"/>
      <c r="CF64" s="876"/>
    </row>
    <row r="65" spans="1:84" ht="13.8" thickBot="1">
      <c r="A65" s="876"/>
      <c r="B65" s="877" t="s">
        <v>852</v>
      </c>
      <c r="C65" s="876"/>
      <c r="D65" s="876"/>
      <c r="E65" s="876"/>
      <c r="F65" s="876"/>
      <c r="G65" s="876"/>
      <c r="H65" s="876"/>
      <c r="I65" s="907">
        <f>$I$140</f>
        <v>0</v>
      </c>
      <c r="J65" s="876" t="s">
        <v>841</v>
      </c>
      <c r="K65" s="876"/>
      <c r="L65" s="876"/>
      <c r="M65" s="876"/>
      <c r="N65" s="876"/>
      <c r="O65" s="876"/>
      <c r="P65" s="876"/>
      <c r="Q65" s="876"/>
      <c r="R65" s="876"/>
      <c r="S65" s="876"/>
      <c r="T65" s="876"/>
      <c r="U65" s="876"/>
      <c r="V65" s="876"/>
      <c r="W65" s="876"/>
      <c r="X65" s="876"/>
      <c r="Y65" s="876"/>
      <c r="Z65" s="876"/>
      <c r="AA65" s="876"/>
      <c r="AB65" s="876"/>
      <c r="AC65" s="876"/>
      <c r="AD65" s="876"/>
      <c r="AE65" s="876"/>
      <c r="AF65" s="876"/>
      <c r="AG65" s="876"/>
      <c r="AH65" s="876"/>
      <c r="AI65" s="876"/>
      <c r="AJ65" s="876"/>
      <c r="AK65" s="876"/>
      <c r="AL65" s="876"/>
      <c r="AM65" s="876"/>
      <c r="AN65" s="876"/>
      <c r="AO65" s="876"/>
      <c r="AP65" s="876"/>
      <c r="AQ65" s="876"/>
      <c r="AR65" s="876"/>
      <c r="AS65" s="876"/>
      <c r="AT65" s="876"/>
      <c r="AU65" s="876"/>
      <c r="AV65" s="876"/>
      <c r="AW65" s="876"/>
      <c r="AX65" s="876"/>
      <c r="AY65" s="876"/>
      <c r="AZ65" s="876"/>
      <c r="BA65" s="876"/>
      <c r="BB65" s="876"/>
      <c r="BC65" s="876"/>
      <c r="BD65" s="876"/>
      <c r="BE65" s="876"/>
      <c r="BF65" s="876"/>
      <c r="BG65" s="876"/>
      <c r="BH65" s="876"/>
      <c r="BI65" s="876"/>
      <c r="BJ65" s="876"/>
      <c r="BK65" s="876"/>
      <c r="BL65" s="876"/>
      <c r="BM65" s="876"/>
      <c r="BN65" s="876"/>
      <c r="BO65" s="876"/>
      <c r="BP65" s="876"/>
      <c r="BQ65" s="876"/>
      <c r="BR65" s="876"/>
      <c r="BS65" s="876"/>
      <c r="BT65" s="876"/>
      <c r="BU65" s="876"/>
      <c r="BV65" s="876"/>
      <c r="BW65" s="876"/>
      <c r="BX65" s="876"/>
      <c r="BY65" s="876"/>
      <c r="BZ65" s="876"/>
      <c r="CA65" s="876"/>
      <c r="CB65" s="876"/>
      <c r="CC65" s="876"/>
      <c r="CD65" s="876"/>
      <c r="CE65" s="876"/>
      <c r="CF65" s="876"/>
    </row>
    <row r="66" spans="1:84">
      <c r="A66" s="876"/>
      <c r="B66" s="880" t="s">
        <v>842</v>
      </c>
      <c r="C66" s="881"/>
      <c r="D66" s="882">
        <v>2010</v>
      </c>
      <c r="E66" s="882">
        <v>2011</v>
      </c>
      <c r="F66" s="882">
        <v>2012</v>
      </c>
      <c r="G66" s="882">
        <v>2013</v>
      </c>
      <c r="H66" s="882">
        <v>2014</v>
      </c>
      <c r="I66" s="882">
        <v>2015</v>
      </c>
      <c r="J66" s="882">
        <v>2016</v>
      </c>
      <c r="K66" s="882">
        <v>2017</v>
      </c>
      <c r="L66" s="882">
        <v>2018</v>
      </c>
      <c r="M66" s="882">
        <v>2019</v>
      </c>
      <c r="N66" s="882">
        <v>2020</v>
      </c>
      <c r="O66" s="882">
        <v>2021</v>
      </c>
      <c r="P66" s="882">
        <v>2022</v>
      </c>
      <c r="Q66" s="882">
        <v>2023</v>
      </c>
      <c r="R66" s="882">
        <v>2024</v>
      </c>
      <c r="S66" s="882">
        <v>2025</v>
      </c>
      <c r="T66" s="882">
        <v>2026</v>
      </c>
      <c r="U66" s="882">
        <v>2027</v>
      </c>
      <c r="V66" s="882">
        <v>2028</v>
      </c>
      <c r="W66" s="882">
        <v>2029</v>
      </c>
      <c r="X66" s="882">
        <v>2030</v>
      </c>
      <c r="Y66" s="882">
        <v>2031</v>
      </c>
      <c r="Z66" s="882">
        <v>2032</v>
      </c>
      <c r="AA66" s="882">
        <v>2033</v>
      </c>
      <c r="AB66" s="882">
        <v>2034</v>
      </c>
      <c r="AC66" s="882">
        <v>2035</v>
      </c>
      <c r="AD66" s="882">
        <v>2036</v>
      </c>
      <c r="AE66" s="882">
        <v>2037</v>
      </c>
      <c r="AF66" s="882">
        <v>2038</v>
      </c>
      <c r="AG66" s="882">
        <v>2039</v>
      </c>
      <c r="AH66" s="882">
        <v>2040</v>
      </c>
      <c r="AI66" s="882">
        <v>2041</v>
      </c>
      <c r="AJ66" s="882">
        <v>2042</v>
      </c>
      <c r="AK66" s="882">
        <v>2043</v>
      </c>
      <c r="AL66" s="882">
        <v>2044</v>
      </c>
      <c r="AM66" s="882">
        <v>2045</v>
      </c>
      <c r="AN66" s="882">
        <v>2046</v>
      </c>
      <c r="AO66" s="882">
        <v>2047</v>
      </c>
      <c r="AP66" s="882">
        <v>2048</v>
      </c>
      <c r="AQ66" s="882">
        <v>2049</v>
      </c>
      <c r="AR66" s="882">
        <v>2050</v>
      </c>
      <c r="AS66" s="882">
        <v>2051</v>
      </c>
      <c r="AT66" s="882">
        <v>2052</v>
      </c>
      <c r="AU66" s="882">
        <v>2053</v>
      </c>
      <c r="AV66" s="882">
        <v>2054</v>
      </c>
      <c r="AW66" s="882">
        <v>2055</v>
      </c>
      <c r="AX66" s="882">
        <v>2056</v>
      </c>
      <c r="AY66" s="882">
        <v>2057</v>
      </c>
      <c r="AZ66" s="882">
        <v>2058</v>
      </c>
      <c r="BA66" s="882">
        <v>2059</v>
      </c>
      <c r="BB66" s="882">
        <v>2060</v>
      </c>
      <c r="BC66" s="882">
        <v>2061</v>
      </c>
      <c r="BD66" s="882">
        <v>2062</v>
      </c>
      <c r="BE66" s="882">
        <v>2063</v>
      </c>
      <c r="BF66" s="882">
        <v>2064</v>
      </c>
      <c r="BG66" s="882">
        <v>2065</v>
      </c>
      <c r="BH66" s="882">
        <v>2066</v>
      </c>
      <c r="BI66" s="882">
        <v>2067</v>
      </c>
      <c r="BJ66" s="882">
        <v>2068</v>
      </c>
      <c r="BK66" s="882">
        <v>2069</v>
      </c>
      <c r="BL66" s="882">
        <v>2070</v>
      </c>
      <c r="BM66" s="882">
        <v>2071</v>
      </c>
      <c r="BN66" s="882">
        <v>2072</v>
      </c>
      <c r="BO66" s="882">
        <v>2073</v>
      </c>
      <c r="BP66" s="882">
        <v>2074</v>
      </c>
      <c r="BQ66" s="882">
        <v>2075</v>
      </c>
      <c r="BR66" s="882">
        <v>2076</v>
      </c>
      <c r="BS66" s="882">
        <v>2077</v>
      </c>
      <c r="BT66" s="882">
        <v>2078</v>
      </c>
      <c r="BU66" s="882">
        <v>2079</v>
      </c>
      <c r="BV66" s="882">
        <v>2080</v>
      </c>
      <c r="BW66" s="882">
        <v>2081</v>
      </c>
      <c r="BX66" s="882">
        <v>2082</v>
      </c>
      <c r="BY66" s="882">
        <v>2083</v>
      </c>
      <c r="BZ66" s="882">
        <v>2084</v>
      </c>
      <c r="CA66" s="882">
        <v>2085</v>
      </c>
      <c r="CB66" s="882">
        <v>2086</v>
      </c>
      <c r="CC66" s="882">
        <v>2087</v>
      </c>
      <c r="CD66" s="882">
        <v>2088</v>
      </c>
      <c r="CE66" s="882">
        <v>2089</v>
      </c>
      <c r="CF66" s="883">
        <v>2090</v>
      </c>
    </row>
    <row r="67" spans="1:84">
      <c r="A67" s="876"/>
      <c r="B67" s="884" t="str">
        <f>CONCATENATE("Drivmiddel (", $D$122,"-priser)")</f>
        <v>Drivmiddel (-priser)</v>
      </c>
      <c r="C67" s="909" t="s">
        <v>843</v>
      </c>
      <c r="D67" s="917" t="e">
        <f t="shared" ref="D67" si="648">D3/#REF!*#REF!</f>
        <v>#REF!</v>
      </c>
      <c r="E67" s="917" t="e">
        <f t="shared" ref="E67" si="649">E3/#REF!*#REF!</f>
        <v>#REF!</v>
      </c>
      <c r="F67" s="917" t="e">
        <f t="shared" ref="F67" si="650">F3/#REF!*#REF!</f>
        <v>#REF!</v>
      </c>
      <c r="G67" s="917" t="e">
        <f t="shared" ref="G67" si="651">G3/#REF!*#REF!</f>
        <v>#REF!</v>
      </c>
      <c r="H67" s="917" t="e">
        <f t="shared" ref="H67" si="652">H3/#REF!*#REF!</f>
        <v>#REF!</v>
      </c>
      <c r="I67" s="917" t="e">
        <f t="shared" ref="I67" si="653">I3/#REF!*#REF!</f>
        <v>#REF!</v>
      </c>
      <c r="J67" s="917" t="e">
        <f t="shared" ref="J67" si="654">J3/#REF!*#REF!</f>
        <v>#REF!</v>
      </c>
      <c r="K67" s="917" t="e">
        <f t="shared" ref="K67" si="655">K3/#REF!*#REF!</f>
        <v>#REF!</v>
      </c>
      <c r="L67" s="917" t="e">
        <f t="shared" ref="L67" si="656">L3/#REF!*#REF!</f>
        <v>#REF!</v>
      </c>
      <c r="M67" s="917" t="e">
        <f t="shared" ref="M67" si="657">M3/#REF!*#REF!</f>
        <v>#REF!</v>
      </c>
      <c r="N67" s="917" t="e">
        <f t="shared" ref="N67" si="658">N3/#REF!*#REF!</f>
        <v>#REF!</v>
      </c>
      <c r="O67" s="917" t="e">
        <f t="shared" ref="O67" si="659">O3/#REF!*#REF!</f>
        <v>#REF!</v>
      </c>
      <c r="P67" s="917" t="e">
        <f t="shared" ref="P67" si="660">P3/#REF!*#REF!</f>
        <v>#REF!</v>
      </c>
      <c r="Q67" s="917" t="e">
        <f t="shared" ref="Q67" si="661">Q3/#REF!*#REF!</f>
        <v>#REF!</v>
      </c>
      <c r="R67" s="917" t="e">
        <f t="shared" ref="R67" si="662">R3/#REF!*#REF!</f>
        <v>#REF!</v>
      </c>
      <c r="S67" s="917" t="e">
        <f t="shared" ref="S67" si="663">S3/#REF!*#REF!</f>
        <v>#REF!</v>
      </c>
      <c r="T67" s="917" t="e">
        <f t="shared" ref="T67" si="664">T3/#REF!*#REF!</f>
        <v>#REF!</v>
      </c>
      <c r="U67" s="917" t="e">
        <f t="shared" ref="U67" si="665">U3/#REF!*#REF!</f>
        <v>#REF!</v>
      </c>
      <c r="V67" s="917" t="e">
        <f t="shared" ref="V67" si="666">V3/#REF!*#REF!</f>
        <v>#REF!</v>
      </c>
      <c r="W67" s="917" t="e">
        <f t="shared" ref="W67" si="667">W3/#REF!*#REF!</f>
        <v>#REF!</v>
      </c>
      <c r="X67" s="917" t="e">
        <f t="shared" ref="X67" si="668">X3/#REF!*#REF!</f>
        <v>#REF!</v>
      </c>
      <c r="Y67" s="917" t="e">
        <f t="shared" ref="Y67" si="669">Y3/#REF!*#REF!</f>
        <v>#REF!</v>
      </c>
      <c r="Z67" s="917" t="e">
        <f t="shared" ref="Z67" si="670">Z3/#REF!*#REF!</f>
        <v>#REF!</v>
      </c>
      <c r="AA67" s="917" t="e">
        <f t="shared" ref="AA67" si="671">AA3/#REF!*#REF!</f>
        <v>#REF!</v>
      </c>
      <c r="AB67" s="917" t="e">
        <f t="shared" ref="AB67" si="672">AB3/#REF!*#REF!</f>
        <v>#REF!</v>
      </c>
      <c r="AC67" s="917" t="e">
        <f t="shared" ref="AC67" si="673">AC3/#REF!*#REF!</f>
        <v>#REF!</v>
      </c>
      <c r="AD67" s="917" t="e">
        <f t="shared" ref="AD67" si="674">AD3/#REF!*#REF!</f>
        <v>#REF!</v>
      </c>
      <c r="AE67" s="917" t="e">
        <f t="shared" ref="AE67" si="675">AE3/#REF!*#REF!</f>
        <v>#REF!</v>
      </c>
      <c r="AF67" s="917" t="e">
        <f t="shared" ref="AF67" si="676">AF3/#REF!*#REF!</f>
        <v>#REF!</v>
      </c>
      <c r="AG67" s="917" t="e">
        <f t="shared" ref="AG67" si="677">AG3/#REF!*#REF!</f>
        <v>#REF!</v>
      </c>
      <c r="AH67" s="917" t="e">
        <f t="shared" ref="AH67" si="678">AH3/#REF!*#REF!</f>
        <v>#REF!</v>
      </c>
      <c r="AI67" s="917" t="e">
        <f t="shared" ref="AI67" si="679">AI3/#REF!*#REF!</f>
        <v>#REF!</v>
      </c>
      <c r="AJ67" s="917" t="e">
        <f t="shared" ref="AJ67" si="680">AJ3/#REF!*#REF!</f>
        <v>#REF!</v>
      </c>
      <c r="AK67" s="917" t="e">
        <f t="shared" ref="AK67" si="681">AK3/#REF!*#REF!</f>
        <v>#REF!</v>
      </c>
      <c r="AL67" s="917" t="e">
        <f t="shared" ref="AL67" si="682">AL3/#REF!*#REF!</f>
        <v>#REF!</v>
      </c>
      <c r="AM67" s="917" t="e">
        <f t="shared" ref="AM67" si="683">AM3/#REF!*#REF!</f>
        <v>#REF!</v>
      </c>
      <c r="AN67" s="917" t="e">
        <f t="shared" ref="AN67" si="684">AN3/#REF!*#REF!</f>
        <v>#REF!</v>
      </c>
      <c r="AO67" s="917" t="e">
        <f t="shared" ref="AO67" si="685">AO3/#REF!*#REF!</f>
        <v>#REF!</v>
      </c>
      <c r="AP67" s="917" t="e">
        <f t="shared" ref="AP67" si="686">AP3/#REF!*#REF!</f>
        <v>#REF!</v>
      </c>
      <c r="AQ67" s="917" t="e">
        <f t="shared" ref="AQ67" si="687">AQ3/#REF!*#REF!</f>
        <v>#REF!</v>
      </c>
      <c r="AR67" s="917" t="e">
        <f t="shared" ref="AR67" si="688">AR3/#REF!*#REF!</f>
        <v>#REF!</v>
      </c>
      <c r="AS67" s="917" t="e">
        <f t="shared" ref="AS67" si="689">AS3/#REF!*#REF!</f>
        <v>#REF!</v>
      </c>
      <c r="AT67" s="917" t="e">
        <f t="shared" ref="AT67" si="690">AT3/#REF!*#REF!</f>
        <v>#REF!</v>
      </c>
      <c r="AU67" s="917" t="e">
        <f t="shared" ref="AU67" si="691">AU3/#REF!*#REF!</f>
        <v>#REF!</v>
      </c>
      <c r="AV67" s="917" t="e">
        <f t="shared" ref="AV67" si="692">AV3/#REF!*#REF!</f>
        <v>#REF!</v>
      </c>
      <c r="AW67" s="917" t="e">
        <f t="shared" ref="AW67" si="693">AW3/#REF!*#REF!</f>
        <v>#REF!</v>
      </c>
      <c r="AX67" s="917" t="e">
        <f t="shared" ref="AX67" si="694">AX3/#REF!*#REF!</f>
        <v>#REF!</v>
      </c>
      <c r="AY67" s="917" t="e">
        <f t="shared" ref="AY67" si="695">AY3/#REF!*#REF!</f>
        <v>#REF!</v>
      </c>
      <c r="AZ67" s="917" t="e">
        <f t="shared" ref="AZ67" si="696">AZ3/#REF!*#REF!</f>
        <v>#REF!</v>
      </c>
      <c r="BA67" s="917" t="e">
        <f t="shared" ref="BA67" si="697">BA3/#REF!*#REF!</f>
        <v>#REF!</v>
      </c>
      <c r="BB67" s="917" t="e">
        <f t="shared" ref="BB67" si="698">BB3/#REF!*#REF!</f>
        <v>#REF!</v>
      </c>
      <c r="BC67" s="917" t="e">
        <f t="shared" ref="BC67" si="699">BC3/#REF!*#REF!</f>
        <v>#REF!</v>
      </c>
      <c r="BD67" s="917" t="e">
        <f t="shared" ref="BD67" si="700">BD3/#REF!*#REF!</f>
        <v>#REF!</v>
      </c>
      <c r="BE67" s="917" t="e">
        <f t="shared" ref="BE67" si="701">BE3/#REF!*#REF!</f>
        <v>#REF!</v>
      </c>
      <c r="BF67" s="917" t="e">
        <f t="shared" ref="BF67" si="702">BF3/#REF!*#REF!</f>
        <v>#REF!</v>
      </c>
      <c r="BG67" s="917" t="e">
        <f t="shared" ref="BG67" si="703">BG3/#REF!*#REF!</f>
        <v>#REF!</v>
      </c>
      <c r="BH67" s="917" t="e">
        <f t="shared" ref="BH67" si="704">BH3/#REF!*#REF!</f>
        <v>#REF!</v>
      </c>
      <c r="BI67" s="917" t="e">
        <f t="shared" ref="BI67" si="705">BI3/#REF!*#REF!</f>
        <v>#REF!</v>
      </c>
      <c r="BJ67" s="917" t="e">
        <f t="shared" ref="BJ67" si="706">BJ3/#REF!*#REF!</f>
        <v>#REF!</v>
      </c>
      <c r="BK67" s="917" t="e">
        <f t="shared" ref="BK67" si="707">BK3/#REF!*#REF!</f>
        <v>#REF!</v>
      </c>
      <c r="BL67" s="917" t="e">
        <f t="shared" ref="BL67" si="708">BL3/#REF!*#REF!</f>
        <v>#REF!</v>
      </c>
      <c r="BM67" s="917" t="e">
        <f t="shared" ref="BM67" si="709">BM3/#REF!*#REF!</f>
        <v>#REF!</v>
      </c>
      <c r="BN67" s="917" t="e">
        <f t="shared" ref="BN67" si="710">BN3/#REF!*#REF!</f>
        <v>#REF!</v>
      </c>
      <c r="BO67" s="917" t="e">
        <f t="shared" ref="BO67" si="711">BO3/#REF!*#REF!</f>
        <v>#REF!</v>
      </c>
      <c r="BP67" s="917" t="e">
        <f t="shared" ref="BP67" si="712">BP3/#REF!*#REF!</f>
        <v>#REF!</v>
      </c>
      <c r="BQ67" s="917" t="e">
        <f t="shared" ref="BQ67" si="713">BQ3/#REF!*#REF!</f>
        <v>#REF!</v>
      </c>
      <c r="BR67" s="917" t="e">
        <f t="shared" ref="BR67" si="714">BR3/#REF!*#REF!</f>
        <v>#REF!</v>
      </c>
      <c r="BS67" s="917" t="e">
        <f t="shared" ref="BS67" si="715">BS3/#REF!*#REF!</f>
        <v>#REF!</v>
      </c>
      <c r="BT67" s="917" t="e">
        <f t="shared" ref="BT67" si="716">BT3/#REF!*#REF!</f>
        <v>#REF!</v>
      </c>
      <c r="BU67" s="917" t="e">
        <f t="shared" ref="BU67" si="717">BU3/#REF!*#REF!</f>
        <v>#REF!</v>
      </c>
      <c r="BV67" s="917" t="e">
        <f t="shared" ref="BV67" si="718">BV3/#REF!*#REF!</f>
        <v>#REF!</v>
      </c>
      <c r="BW67" s="917" t="e">
        <f t="shared" ref="BW67" si="719">BW3/#REF!*#REF!</f>
        <v>#REF!</v>
      </c>
      <c r="BX67" s="917" t="e">
        <f t="shared" ref="BX67" si="720">BX3/#REF!*#REF!</f>
        <v>#REF!</v>
      </c>
      <c r="BY67" s="917" t="e">
        <f t="shared" ref="BY67" si="721">BY3/#REF!*#REF!</f>
        <v>#REF!</v>
      </c>
      <c r="BZ67" s="917" t="e">
        <f t="shared" ref="BZ67" si="722">BZ3/#REF!*#REF!</f>
        <v>#REF!</v>
      </c>
      <c r="CA67" s="917" t="e">
        <f t="shared" ref="CA67" si="723">CA3/#REF!*#REF!</f>
        <v>#REF!</v>
      </c>
      <c r="CB67" s="917" t="e">
        <f t="shared" ref="CB67" si="724">CB3/#REF!*#REF!</f>
        <v>#REF!</v>
      </c>
      <c r="CC67" s="917" t="e">
        <f t="shared" ref="CC67" si="725">CC3/#REF!*#REF!</f>
        <v>#REF!</v>
      </c>
      <c r="CD67" s="917" t="e">
        <f t="shared" ref="CD67" si="726">CD3/#REF!*#REF!</f>
        <v>#REF!</v>
      </c>
      <c r="CE67" s="917" t="e">
        <f t="shared" ref="CE67" si="727">CE3/#REF!*#REF!</f>
        <v>#REF!</v>
      </c>
      <c r="CF67" s="918" t="e">
        <f t="shared" ref="CF67" si="728">CF3/#REF!*#REF!</f>
        <v>#REF!</v>
      </c>
    </row>
    <row r="68" spans="1:84">
      <c r="A68" s="876"/>
      <c r="B68" s="884" t="s">
        <v>150</v>
      </c>
      <c r="C68" s="909" t="s">
        <v>843</v>
      </c>
      <c r="D68" s="910">
        <v>7.1772051962965627E-2</v>
      </c>
      <c r="E68" s="910">
        <v>7.1772051962965627E-2</v>
      </c>
      <c r="F68" s="910">
        <v>7.1772051962965627E-2</v>
      </c>
      <c r="G68" s="910">
        <v>7.1772051962965627E-2</v>
      </c>
      <c r="H68" s="910">
        <v>7.1772051962965627E-2</v>
      </c>
      <c r="I68" s="910">
        <v>7.1772051962965627E-2</v>
      </c>
      <c r="J68" s="910">
        <v>7.1772051962965627E-2</v>
      </c>
      <c r="K68" s="910">
        <v>7.1772051962965627E-2</v>
      </c>
      <c r="L68" s="910">
        <v>7.1772051962965627E-2</v>
      </c>
      <c r="M68" s="910">
        <v>7.1772051962965627E-2</v>
      </c>
      <c r="N68" s="910">
        <v>7.1772051962965627E-2</v>
      </c>
      <c r="O68" s="910">
        <v>7.1772051962965627E-2</v>
      </c>
      <c r="P68" s="910">
        <v>7.1772051962965627E-2</v>
      </c>
      <c r="Q68" s="910">
        <v>7.1772051962965627E-2</v>
      </c>
      <c r="R68" s="910">
        <v>7.1772051962965627E-2</v>
      </c>
      <c r="S68" s="910">
        <v>7.1772051962965627E-2</v>
      </c>
      <c r="T68" s="910">
        <v>7.1772051962965627E-2</v>
      </c>
      <c r="U68" s="910">
        <v>7.1772051962965627E-2</v>
      </c>
      <c r="V68" s="910">
        <v>7.1772051962965627E-2</v>
      </c>
      <c r="W68" s="910">
        <v>7.1772051962965627E-2</v>
      </c>
      <c r="X68" s="910">
        <v>7.1772051962965627E-2</v>
      </c>
      <c r="Y68" s="910">
        <v>7.1772051962965627E-2</v>
      </c>
      <c r="Z68" s="910">
        <v>7.1772051962965627E-2</v>
      </c>
      <c r="AA68" s="910">
        <v>7.1772051962965627E-2</v>
      </c>
      <c r="AB68" s="910">
        <v>7.1772051962965627E-2</v>
      </c>
      <c r="AC68" s="910">
        <v>7.1772051962965627E-2</v>
      </c>
      <c r="AD68" s="910">
        <v>7.1772051962965627E-2</v>
      </c>
      <c r="AE68" s="910">
        <v>7.1772051962965627E-2</v>
      </c>
      <c r="AF68" s="910">
        <v>7.1772051962965627E-2</v>
      </c>
      <c r="AG68" s="910">
        <v>7.1772051962965627E-2</v>
      </c>
      <c r="AH68" s="910">
        <v>7.1772051962965627E-2</v>
      </c>
      <c r="AI68" s="910">
        <v>7.1772051962965627E-2</v>
      </c>
      <c r="AJ68" s="910">
        <v>7.1772051962965627E-2</v>
      </c>
      <c r="AK68" s="910">
        <v>7.1772051962965627E-2</v>
      </c>
      <c r="AL68" s="910">
        <v>7.1772051962965627E-2</v>
      </c>
      <c r="AM68" s="910">
        <v>7.1772051962965627E-2</v>
      </c>
      <c r="AN68" s="910">
        <v>7.1772051962965627E-2</v>
      </c>
      <c r="AO68" s="910">
        <v>7.1772051962965627E-2</v>
      </c>
      <c r="AP68" s="910">
        <v>7.1772051962965627E-2</v>
      </c>
      <c r="AQ68" s="910">
        <v>7.1772051962965627E-2</v>
      </c>
      <c r="AR68" s="910">
        <v>7.1772051962965627E-2</v>
      </c>
      <c r="AS68" s="910">
        <v>7.1772051962965627E-2</v>
      </c>
      <c r="AT68" s="910">
        <v>7.1772051962965627E-2</v>
      </c>
      <c r="AU68" s="910">
        <v>7.1772051962965627E-2</v>
      </c>
      <c r="AV68" s="910">
        <v>7.1772051962965627E-2</v>
      </c>
      <c r="AW68" s="910">
        <v>7.1772051962965627E-2</v>
      </c>
      <c r="AX68" s="910">
        <v>7.1772051962965627E-2</v>
      </c>
      <c r="AY68" s="910">
        <v>7.1772051962965627E-2</v>
      </c>
      <c r="AZ68" s="910">
        <v>7.1772051962965627E-2</v>
      </c>
      <c r="BA68" s="910">
        <v>7.1772051962965627E-2</v>
      </c>
      <c r="BB68" s="910">
        <v>7.1772051962965627E-2</v>
      </c>
      <c r="BC68" s="910">
        <v>7.1772051962965627E-2</v>
      </c>
      <c r="BD68" s="910">
        <v>7.1772051962965627E-2</v>
      </c>
      <c r="BE68" s="910">
        <v>7.1772051962965627E-2</v>
      </c>
      <c r="BF68" s="910">
        <v>7.1772051962965627E-2</v>
      </c>
      <c r="BG68" s="910">
        <v>7.1772051962965627E-2</v>
      </c>
      <c r="BH68" s="910">
        <v>7.1772051962965627E-2</v>
      </c>
      <c r="BI68" s="910">
        <v>7.1772051962965627E-2</v>
      </c>
      <c r="BJ68" s="910">
        <v>7.1772051962965627E-2</v>
      </c>
      <c r="BK68" s="910">
        <v>7.1772051962965627E-2</v>
      </c>
      <c r="BL68" s="910">
        <v>7.1772051962965627E-2</v>
      </c>
      <c r="BM68" s="910">
        <v>7.1772051962965627E-2</v>
      </c>
      <c r="BN68" s="910">
        <v>7.1772051962965627E-2</v>
      </c>
      <c r="BO68" s="910">
        <v>7.1772051962965627E-2</v>
      </c>
      <c r="BP68" s="910">
        <v>7.1772051962965627E-2</v>
      </c>
      <c r="BQ68" s="910">
        <v>7.1772051962965627E-2</v>
      </c>
      <c r="BR68" s="910">
        <v>7.1772051962965627E-2</v>
      </c>
      <c r="BS68" s="910">
        <v>7.1772051962965627E-2</v>
      </c>
      <c r="BT68" s="910">
        <v>7.1772051962965627E-2</v>
      </c>
      <c r="BU68" s="910">
        <v>7.1772051962965627E-2</v>
      </c>
      <c r="BV68" s="910">
        <v>7.1772051962965627E-2</v>
      </c>
      <c r="BW68" s="910">
        <v>7.1772051962965627E-2</v>
      </c>
      <c r="BX68" s="910">
        <v>7.1772051962965627E-2</v>
      </c>
      <c r="BY68" s="910">
        <v>7.1772051962965627E-2</v>
      </c>
      <c r="BZ68" s="910">
        <v>7.1772051962965627E-2</v>
      </c>
      <c r="CA68" s="910">
        <v>7.1772051962965627E-2</v>
      </c>
      <c r="CB68" s="910">
        <v>7.1772051962965627E-2</v>
      </c>
      <c r="CC68" s="910">
        <v>7.1772051962965627E-2</v>
      </c>
      <c r="CD68" s="910">
        <v>7.1772051962965627E-2</v>
      </c>
      <c r="CE68" s="910">
        <v>7.1772051962965627E-2</v>
      </c>
      <c r="CF68" s="911">
        <v>7.1772051962965627E-2</v>
      </c>
    </row>
    <row r="69" spans="1:84">
      <c r="A69" s="876"/>
      <c r="B69" s="884" t="s">
        <v>844</v>
      </c>
      <c r="C69" s="909" t="s">
        <v>843</v>
      </c>
      <c r="D69" s="910">
        <v>7.6171672239444432E-2</v>
      </c>
      <c r="E69" s="910">
        <v>7.6171672239444432E-2</v>
      </c>
      <c r="F69" s="910">
        <v>7.6171672239444432E-2</v>
      </c>
      <c r="G69" s="910">
        <v>7.6171672239444432E-2</v>
      </c>
      <c r="H69" s="910">
        <v>7.6171672239444432E-2</v>
      </c>
      <c r="I69" s="910">
        <v>7.6171672239444432E-2</v>
      </c>
      <c r="J69" s="910">
        <v>7.6171672239444432E-2</v>
      </c>
      <c r="K69" s="910">
        <v>7.6171672239444432E-2</v>
      </c>
      <c r="L69" s="910">
        <v>7.6171672239444432E-2</v>
      </c>
      <c r="M69" s="910">
        <v>7.6171672239444432E-2</v>
      </c>
      <c r="N69" s="910">
        <v>7.6171672239444432E-2</v>
      </c>
      <c r="O69" s="910">
        <v>7.6171672239444432E-2</v>
      </c>
      <c r="P69" s="910">
        <v>7.6171672239444432E-2</v>
      </c>
      <c r="Q69" s="910">
        <v>7.6171672239444432E-2</v>
      </c>
      <c r="R69" s="910">
        <v>7.6171672239444432E-2</v>
      </c>
      <c r="S69" s="910">
        <v>7.6171672239444432E-2</v>
      </c>
      <c r="T69" s="910">
        <v>7.6171672239444432E-2</v>
      </c>
      <c r="U69" s="910">
        <v>7.6171672239444432E-2</v>
      </c>
      <c r="V69" s="910">
        <v>7.6171672239444432E-2</v>
      </c>
      <c r="W69" s="910">
        <v>7.6171672239444432E-2</v>
      </c>
      <c r="X69" s="910">
        <v>7.6171672239444432E-2</v>
      </c>
      <c r="Y69" s="910">
        <v>7.6171672239444432E-2</v>
      </c>
      <c r="Z69" s="910">
        <v>7.6171672239444432E-2</v>
      </c>
      <c r="AA69" s="910">
        <v>7.6171672239444432E-2</v>
      </c>
      <c r="AB69" s="910">
        <v>7.6171672239444432E-2</v>
      </c>
      <c r="AC69" s="910">
        <v>7.6171672239444432E-2</v>
      </c>
      <c r="AD69" s="910">
        <v>7.6171672239444432E-2</v>
      </c>
      <c r="AE69" s="910">
        <v>7.6171672239444432E-2</v>
      </c>
      <c r="AF69" s="910">
        <v>7.6171672239444432E-2</v>
      </c>
      <c r="AG69" s="910">
        <v>7.6171672239444432E-2</v>
      </c>
      <c r="AH69" s="910">
        <v>7.6171672239444432E-2</v>
      </c>
      <c r="AI69" s="910">
        <v>7.6171672239444432E-2</v>
      </c>
      <c r="AJ69" s="910">
        <v>7.6171672239444432E-2</v>
      </c>
      <c r="AK69" s="910">
        <v>7.6171672239444432E-2</v>
      </c>
      <c r="AL69" s="910">
        <v>7.6171672239444432E-2</v>
      </c>
      <c r="AM69" s="910">
        <v>7.6171672239444432E-2</v>
      </c>
      <c r="AN69" s="910">
        <v>7.6171672239444432E-2</v>
      </c>
      <c r="AO69" s="910">
        <v>7.6171672239444432E-2</v>
      </c>
      <c r="AP69" s="910">
        <v>7.6171672239444432E-2</v>
      </c>
      <c r="AQ69" s="910">
        <v>7.6171672239444432E-2</v>
      </c>
      <c r="AR69" s="910">
        <v>7.6171672239444432E-2</v>
      </c>
      <c r="AS69" s="910">
        <v>7.6171672239444432E-2</v>
      </c>
      <c r="AT69" s="910">
        <v>7.6171672239444432E-2</v>
      </c>
      <c r="AU69" s="910">
        <v>7.6171672239444432E-2</v>
      </c>
      <c r="AV69" s="910">
        <v>7.6171672239444432E-2</v>
      </c>
      <c r="AW69" s="910">
        <v>7.6171672239444432E-2</v>
      </c>
      <c r="AX69" s="910">
        <v>7.6171672239444432E-2</v>
      </c>
      <c r="AY69" s="910">
        <v>7.6171672239444432E-2</v>
      </c>
      <c r="AZ69" s="910">
        <v>7.6171672239444432E-2</v>
      </c>
      <c r="BA69" s="910">
        <v>7.6171672239444432E-2</v>
      </c>
      <c r="BB69" s="910">
        <v>7.6171672239444432E-2</v>
      </c>
      <c r="BC69" s="910">
        <v>7.6171672239444432E-2</v>
      </c>
      <c r="BD69" s="910">
        <v>7.6171672239444432E-2</v>
      </c>
      <c r="BE69" s="910">
        <v>7.6171672239444432E-2</v>
      </c>
      <c r="BF69" s="910">
        <v>7.6171672239444432E-2</v>
      </c>
      <c r="BG69" s="910">
        <v>7.6171672239444432E-2</v>
      </c>
      <c r="BH69" s="910">
        <v>7.6171672239444432E-2</v>
      </c>
      <c r="BI69" s="910">
        <v>7.6171672239444432E-2</v>
      </c>
      <c r="BJ69" s="910">
        <v>7.6171672239444432E-2</v>
      </c>
      <c r="BK69" s="910">
        <v>7.6171672239444432E-2</v>
      </c>
      <c r="BL69" s="910">
        <v>7.6171672239444432E-2</v>
      </c>
      <c r="BM69" s="910">
        <v>7.6171672239444432E-2</v>
      </c>
      <c r="BN69" s="910">
        <v>7.6171672239444432E-2</v>
      </c>
      <c r="BO69" s="910">
        <v>7.6171672239444432E-2</v>
      </c>
      <c r="BP69" s="910">
        <v>7.6171672239444432E-2</v>
      </c>
      <c r="BQ69" s="910">
        <v>7.6171672239444432E-2</v>
      </c>
      <c r="BR69" s="910">
        <v>7.6171672239444432E-2</v>
      </c>
      <c r="BS69" s="910">
        <v>7.6171672239444432E-2</v>
      </c>
      <c r="BT69" s="910">
        <v>7.6171672239444432E-2</v>
      </c>
      <c r="BU69" s="910">
        <v>7.6171672239444432E-2</v>
      </c>
      <c r="BV69" s="910">
        <v>7.6171672239444432E-2</v>
      </c>
      <c r="BW69" s="910">
        <v>7.6171672239444432E-2</v>
      </c>
      <c r="BX69" s="910">
        <v>7.6171672239444432E-2</v>
      </c>
      <c r="BY69" s="910">
        <v>7.6171672239444432E-2</v>
      </c>
      <c r="BZ69" s="910">
        <v>7.6171672239444432E-2</v>
      </c>
      <c r="CA69" s="910">
        <v>7.6171672239444432E-2</v>
      </c>
      <c r="CB69" s="910">
        <v>7.6171672239444432E-2</v>
      </c>
      <c r="CC69" s="910">
        <v>7.6171672239444432E-2</v>
      </c>
      <c r="CD69" s="910">
        <v>7.6171672239444432E-2</v>
      </c>
      <c r="CE69" s="910">
        <v>7.6171672239444432E-2</v>
      </c>
      <c r="CF69" s="911">
        <v>7.6171672239444432E-2</v>
      </c>
    </row>
    <row r="70" spans="1:84">
      <c r="A70" s="876"/>
      <c r="B70" s="884" t="s">
        <v>845</v>
      </c>
      <c r="C70" s="909" t="s">
        <v>843</v>
      </c>
      <c r="D70" s="910">
        <v>0.87468936779861017</v>
      </c>
      <c r="E70" s="910">
        <v>0.87468936779861017</v>
      </c>
      <c r="F70" s="910">
        <v>0.87468936779861017</v>
      </c>
      <c r="G70" s="910">
        <v>0.87468936779861017</v>
      </c>
      <c r="H70" s="910">
        <v>0.87468936779861017</v>
      </c>
      <c r="I70" s="910">
        <v>0.87468936779861017</v>
      </c>
      <c r="J70" s="910">
        <v>0.87468936779861017</v>
      </c>
      <c r="K70" s="910">
        <v>0.87468936779861017</v>
      </c>
      <c r="L70" s="910">
        <v>0.87468936779861017</v>
      </c>
      <c r="M70" s="910">
        <v>0.87468936779861017</v>
      </c>
      <c r="N70" s="910">
        <v>0.87468936779861017</v>
      </c>
      <c r="O70" s="910">
        <v>0.87468936779861017</v>
      </c>
      <c r="P70" s="910">
        <v>0.87468936779861017</v>
      </c>
      <c r="Q70" s="910">
        <v>0.87468936779861017</v>
      </c>
      <c r="R70" s="910">
        <v>0.87468936779861017</v>
      </c>
      <c r="S70" s="910">
        <v>0.87468936779861017</v>
      </c>
      <c r="T70" s="910">
        <v>0.87468936779861017</v>
      </c>
      <c r="U70" s="910">
        <v>0.87468936779861017</v>
      </c>
      <c r="V70" s="910">
        <v>0.87468936779861017</v>
      </c>
      <c r="W70" s="910">
        <v>0.87468936779861017</v>
      </c>
      <c r="X70" s="910">
        <v>0.87468936779861017</v>
      </c>
      <c r="Y70" s="910">
        <v>0.87468936779861017</v>
      </c>
      <c r="Z70" s="910">
        <v>0.87468936779861017</v>
      </c>
      <c r="AA70" s="910">
        <v>0.87468936779861017</v>
      </c>
      <c r="AB70" s="910">
        <v>0.87468936779861017</v>
      </c>
      <c r="AC70" s="910">
        <v>0.87468936779861017</v>
      </c>
      <c r="AD70" s="910">
        <v>0.87468936779861017</v>
      </c>
      <c r="AE70" s="910">
        <v>0.87468936779861017</v>
      </c>
      <c r="AF70" s="910">
        <v>0.87468936779861017</v>
      </c>
      <c r="AG70" s="910">
        <v>0.87468936779861017</v>
      </c>
      <c r="AH70" s="910">
        <v>0.87468936779861017</v>
      </c>
      <c r="AI70" s="910">
        <v>0.87468936779861017</v>
      </c>
      <c r="AJ70" s="910">
        <v>0.87468936779861017</v>
      </c>
      <c r="AK70" s="910">
        <v>0.87468936779861017</v>
      </c>
      <c r="AL70" s="910">
        <v>0.87468936779861017</v>
      </c>
      <c r="AM70" s="910">
        <v>0.87468936779861017</v>
      </c>
      <c r="AN70" s="910">
        <v>0.87468936779861017</v>
      </c>
      <c r="AO70" s="910">
        <v>0.87468936779861017</v>
      </c>
      <c r="AP70" s="910">
        <v>0.87468936779861017</v>
      </c>
      <c r="AQ70" s="910">
        <v>0.87468936779861017</v>
      </c>
      <c r="AR70" s="910">
        <v>0.87468936779861017</v>
      </c>
      <c r="AS70" s="910">
        <v>0.87468936779861017</v>
      </c>
      <c r="AT70" s="910">
        <v>0.87468936779861017</v>
      </c>
      <c r="AU70" s="910">
        <v>0.87468936779861017</v>
      </c>
      <c r="AV70" s="910">
        <v>0.87468936779861017</v>
      </c>
      <c r="AW70" s="910">
        <v>0.87468936779861017</v>
      </c>
      <c r="AX70" s="910">
        <v>0.87468936779861017</v>
      </c>
      <c r="AY70" s="910">
        <v>0.87468936779861017</v>
      </c>
      <c r="AZ70" s="910">
        <v>0.87468936779861017</v>
      </c>
      <c r="BA70" s="910">
        <v>0.87468936779861017</v>
      </c>
      <c r="BB70" s="910">
        <v>0.87468936779861017</v>
      </c>
      <c r="BC70" s="910">
        <v>0.87468936779861017</v>
      </c>
      <c r="BD70" s="910">
        <v>0.87468936779861017</v>
      </c>
      <c r="BE70" s="910">
        <v>0.87468936779861017</v>
      </c>
      <c r="BF70" s="910">
        <v>0.87468936779861017</v>
      </c>
      <c r="BG70" s="910">
        <v>0.87468936779861017</v>
      </c>
      <c r="BH70" s="910">
        <v>0.87468936779861017</v>
      </c>
      <c r="BI70" s="910">
        <v>0.87468936779861017</v>
      </c>
      <c r="BJ70" s="910">
        <v>0.87468936779861017</v>
      </c>
      <c r="BK70" s="910">
        <v>0.87468936779861017</v>
      </c>
      <c r="BL70" s="910">
        <v>0.87468936779861017</v>
      </c>
      <c r="BM70" s="910">
        <v>0.87468936779861017</v>
      </c>
      <c r="BN70" s="910">
        <v>0.87468936779861017</v>
      </c>
      <c r="BO70" s="910">
        <v>0.87468936779861017</v>
      </c>
      <c r="BP70" s="910">
        <v>0.87468936779861017</v>
      </c>
      <c r="BQ70" s="910">
        <v>0.87468936779861017</v>
      </c>
      <c r="BR70" s="910">
        <v>0.87468936779861017</v>
      </c>
      <c r="BS70" s="910">
        <v>0.87468936779861017</v>
      </c>
      <c r="BT70" s="910">
        <v>0.87468936779861017</v>
      </c>
      <c r="BU70" s="910">
        <v>0.87468936779861017</v>
      </c>
      <c r="BV70" s="910">
        <v>0.87468936779861017</v>
      </c>
      <c r="BW70" s="910">
        <v>0.87468936779861017</v>
      </c>
      <c r="BX70" s="910">
        <v>0.87468936779861017</v>
      </c>
      <c r="BY70" s="910">
        <v>0.87468936779861017</v>
      </c>
      <c r="BZ70" s="910">
        <v>0.87468936779861017</v>
      </c>
      <c r="CA70" s="910">
        <v>0.87468936779861017</v>
      </c>
      <c r="CB70" s="910">
        <v>0.87468936779861017</v>
      </c>
      <c r="CC70" s="910">
        <v>0.87468936779861017</v>
      </c>
      <c r="CD70" s="910">
        <v>0.87468936779861017</v>
      </c>
      <c r="CE70" s="910">
        <v>0.87468936779861017</v>
      </c>
      <c r="CF70" s="911">
        <v>0.87468936779861017</v>
      </c>
    </row>
    <row r="71" spans="1:84">
      <c r="A71" s="876"/>
      <c r="B71" s="890" t="s">
        <v>846</v>
      </c>
      <c r="C71" s="919" t="s">
        <v>843</v>
      </c>
      <c r="D71" s="920">
        <v>0.51262015963546359</v>
      </c>
      <c r="E71" s="921">
        <v>0.51262015963546359</v>
      </c>
      <c r="F71" s="921">
        <v>0.51262015963546359</v>
      </c>
      <c r="G71" s="921">
        <v>0.51262015963546359</v>
      </c>
      <c r="H71" s="921">
        <v>0.51262015963546359</v>
      </c>
      <c r="I71" s="921">
        <v>0.51262015963546359</v>
      </c>
      <c r="J71" s="921">
        <v>0.51262015963546359</v>
      </c>
      <c r="K71" s="921">
        <v>0.51262015963546359</v>
      </c>
      <c r="L71" s="921">
        <v>0.51262015963546359</v>
      </c>
      <c r="M71" s="921">
        <v>0.51262015963546359</v>
      </c>
      <c r="N71" s="921">
        <v>0.51262015963546359</v>
      </c>
      <c r="O71" s="921">
        <v>0.51262015963546359</v>
      </c>
      <c r="P71" s="921">
        <v>0.51262015963546359</v>
      </c>
      <c r="Q71" s="921">
        <v>0.51262015963546359</v>
      </c>
      <c r="R71" s="921">
        <v>0.51262015963546359</v>
      </c>
      <c r="S71" s="921">
        <v>0.51262015963546359</v>
      </c>
      <c r="T71" s="921">
        <v>0.51262015963546359</v>
      </c>
      <c r="U71" s="921">
        <v>0.51262015963546359</v>
      </c>
      <c r="V71" s="921">
        <v>0.51262015963546359</v>
      </c>
      <c r="W71" s="921">
        <v>0.51262015963546359</v>
      </c>
      <c r="X71" s="921">
        <v>0.51262015963546359</v>
      </c>
      <c r="Y71" s="921">
        <v>0.51262015963546359</v>
      </c>
      <c r="Z71" s="921">
        <v>0.51262015963546359</v>
      </c>
      <c r="AA71" s="921">
        <v>0.51262015963546359</v>
      </c>
      <c r="AB71" s="921">
        <v>0.51262015963546359</v>
      </c>
      <c r="AC71" s="921">
        <v>0.51262015963546359</v>
      </c>
      <c r="AD71" s="921">
        <v>0.51262015963546359</v>
      </c>
      <c r="AE71" s="921">
        <v>0.51262015963546359</v>
      </c>
      <c r="AF71" s="921">
        <v>0.51262015963546359</v>
      </c>
      <c r="AG71" s="921">
        <v>0.51262015963546359</v>
      </c>
      <c r="AH71" s="921">
        <v>0.51262015963546359</v>
      </c>
      <c r="AI71" s="921">
        <v>0.51262015963546359</v>
      </c>
      <c r="AJ71" s="921">
        <v>0.51262015963546359</v>
      </c>
      <c r="AK71" s="921">
        <v>0.51262015963546359</v>
      </c>
      <c r="AL71" s="921">
        <v>0.51262015963546359</v>
      </c>
      <c r="AM71" s="921">
        <v>0.51262015963546359</v>
      </c>
      <c r="AN71" s="921">
        <v>0.51262015963546359</v>
      </c>
      <c r="AO71" s="921">
        <v>0.51262015963546359</v>
      </c>
      <c r="AP71" s="921">
        <v>0.51262015963546359</v>
      </c>
      <c r="AQ71" s="921">
        <v>0.51262015963546359</v>
      </c>
      <c r="AR71" s="921">
        <v>0.51262015963546359</v>
      </c>
      <c r="AS71" s="921">
        <v>0.51262015963546359</v>
      </c>
      <c r="AT71" s="921">
        <v>0.51262015963546359</v>
      </c>
      <c r="AU71" s="921">
        <v>0.51262015963546359</v>
      </c>
      <c r="AV71" s="921">
        <v>0.51262015963546359</v>
      </c>
      <c r="AW71" s="921">
        <v>0.51262015963546359</v>
      </c>
      <c r="AX71" s="921">
        <v>0.51262015963546359</v>
      </c>
      <c r="AY71" s="921">
        <v>0.51262015963546359</v>
      </c>
      <c r="AZ71" s="921">
        <v>0.51262015963546359</v>
      </c>
      <c r="BA71" s="921">
        <v>0.51262015963546359</v>
      </c>
      <c r="BB71" s="921">
        <v>0.51262015963546359</v>
      </c>
      <c r="BC71" s="921">
        <v>0.51262015963546359</v>
      </c>
      <c r="BD71" s="921">
        <v>0.51262015963546359</v>
      </c>
      <c r="BE71" s="921">
        <v>0.51262015963546359</v>
      </c>
      <c r="BF71" s="921">
        <v>0.51262015963546359</v>
      </c>
      <c r="BG71" s="921">
        <v>0.51262015963546359</v>
      </c>
      <c r="BH71" s="921">
        <v>0.51262015963546359</v>
      </c>
      <c r="BI71" s="921">
        <v>0.51262015963546359</v>
      </c>
      <c r="BJ71" s="921">
        <v>0.51262015963546359</v>
      </c>
      <c r="BK71" s="921">
        <v>0.51262015963546359</v>
      </c>
      <c r="BL71" s="921">
        <v>0.51262015963546359</v>
      </c>
      <c r="BM71" s="921">
        <v>0.51262015963546359</v>
      </c>
      <c r="BN71" s="921">
        <v>0.51262015963546359</v>
      </c>
      <c r="BO71" s="921">
        <v>0.51262015963546359</v>
      </c>
      <c r="BP71" s="921">
        <v>0.51262015963546359</v>
      </c>
      <c r="BQ71" s="921">
        <v>0.51262015963546359</v>
      </c>
      <c r="BR71" s="921">
        <v>0.51262015963546359</v>
      </c>
      <c r="BS71" s="921">
        <v>0.51262015963546359</v>
      </c>
      <c r="BT71" s="921">
        <v>0.51262015963546359</v>
      </c>
      <c r="BU71" s="921">
        <v>0.51262015963546359</v>
      </c>
      <c r="BV71" s="921">
        <v>0.51262015963546359</v>
      </c>
      <c r="BW71" s="921">
        <v>0.51262015963546359</v>
      </c>
      <c r="BX71" s="921">
        <v>0.51262015963546359</v>
      </c>
      <c r="BY71" s="921">
        <v>0.51262015963546359</v>
      </c>
      <c r="BZ71" s="921">
        <v>0.51262015963546359</v>
      </c>
      <c r="CA71" s="921">
        <v>0.51262015963546359</v>
      </c>
      <c r="CB71" s="921">
        <v>0.51262015963546359</v>
      </c>
      <c r="CC71" s="921">
        <v>0.51262015963546359</v>
      </c>
      <c r="CD71" s="921">
        <v>0.51262015963546359</v>
      </c>
      <c r="CE71" s="921">
        <v>0.51262015963546359</v>
      </c>
      <c r="CF71" s="922">
        <v>0.51262015963546359</v>
      </c>
    </row>
    <row r="72" spans="1:84">
      <c r="A72" s="876"/>
      <c r="B72" s="884" t="str">
        <f>CONCATENATE("Drivmiddel (", $D$122,"-priser)")</f>
        <v>Drivmiddel (-priser)</v>
      </c>
      <c r="C72" s="909" t="s">
        <v>847</v>
      </c>
      <c r="D72" s="917" t="e">
        <f t="shared" ref="D72" si="729">D6/#REF!*#REF!</f>
        <v>#REF!</v>
      </c>
      <c r="E72" s="917" t="e">
        <f t="shared" ref="E72" si="730">E6/#REF!*#REF!</f>
        <v>#REF!</v>
      </c>
      <c r="F72" s="917" t="e">
        <f t="shared" ref="F72" si="731">F6/#REF!*#REF!</f>
        <v>#REF!</v>
      </c>
      <c r="G72" s="917" t="e">
        <f t="shared" ref="G72" si="732">G6/#REF!*#REF!</f>
        <v>#REF!</v>
      </c>
      <c r="H72" s="917" t="e">
        <f t="shared" ref="H72" si="733">H6/#REF!*#REF!</f>
        <v>#REF!</v>
      </c>
      <c r="I72" s="917" t="e">
        <f t="shared" ref="I72" si="734">I6/#REF!*#REF!</f>
        <v>#REF!</v>
      </c>
      <c r="J72" s="917" t="e">
        <f t="shared" ref="J72" si="735">J6/#REF!*#REF!</f>
        <v>#REF!</v>
      </c>
      <c r="K72" s="917" t="e">
        <f t="shared" ref="K72" si="736">K6/#REF!*#REF!</f>
        <v>#REF!</v>
      </c>
      <c r="L72" s="917" t="e">
        <f t="shared" ref="L72" si="737">L6/#REF!*#REF!</f>
        <v>#REF!</v>
      </c>
      <c r="M72" s="917" t="e">
        <f t="shared" ref="M72" si="738">M6/#REF!*#REF!</f>
        <v>#REF!</v>
      </c>
      <c r="N72" s="917" t="e">
        <f t="shared" ref="N72" si="739">N6/#REF!*#REF!</f>
        <v>#REF!</v>
      </c>
      <c r="O72" s="917" t="e">
        <f t="shared" ref="O72" si="740">O6/#REF!*#REF!</f>
        <v>#REF!</v>
      </c>
      <c r="P72" s="917" t="e">
        <f t="shared" ref="P72" si="741">P6/#REF!*#REF!</f>
        <v>#REF!</v>
      </c>
      <c r="Q72" s="917" t="e">
        <f t="shared" ref="Q72" si="742">Q6/#REF!*#REF!</f>
        <v>#REF!</v>
      </c>
      <c r="R72" s="917" t="e">
        <f t="shared" ref="R72" si="743">R6/#REF!*#REF!</f>
        <v>#REF!</v>
      </c>
      <c r="S72" s="917" t="e">
        <f t="shared" ref="S72" si="744">S6/#REF!*#REF!</f>
        <v>#REF!</v>
      </c>
      <c r="T72" s="917" t="e">
        <f t="shared" ref="T72" si="745">T6/#REF!*#REF!</f>
        <v>#REF!</v>
      </c>
      <c r="U72" s="917" t="e">
        <f t="shared" ref="U72" si="746">U6/#REF!*#REF!</f>
        <v>#REF!</v>
      </c>
      <c r="V72" s="917" t="e">
        <f t="shared" ref="V72" si="747">V6/#REF!*#REF!</f>
        <v>#REF!</v>
      </c>
      <c r="W72" s="917" t="e">
        <f t="shared" ref="W72" si="748">W6/#REF!*#REF!</f>
        <v>#REF!</v>
      </c>
      <c r="X72" s="917" t="e">
        <f t="shared" ref="X72" si="749">X6/#REF!*#REF!</f>
        <v>#REF!</v>
      </c>
      <c r="Y72" s="917" t="e">
        <f t="shared" ref="Y72" si="750">Y6/#REF!*#REF!</f>
        <v>#REF!</v>
      </c>
      <c r="Z72" s="917" t="e">
        <f t="shared" ref="Z72" si="751">Z6/#REF!*#REF!</f>
        <v>#REF!</v>
      </c>
      <c r="AA72" s="917" t="e">
        <f t="shared" ref="AA72" si="752">AA6/#REF!*#REF!</f>
        <v>#REF!</v>
      </c>
      <c r="AB72" s="917" t="e">
        <f t="shared" ref="AB72" si="753">AB6/#REF!*#REF!</f>
        <v>#REF!</v>
      </c>
      <c r="AC72" s="917" t="e">
        <f t="shared" ref="AC72" si="754">AC6/#REF!*#REF!</f>
        <v>#REF!</v>
      </c>
      <c r="AD72" s="917" t="e">
        <f t="shared" ref="AD72" si="755">AD6/#REF!*#REF!</f>
        <v>#REF!</v>
      </c>
      <c r="AE72" s="917" t="e">
        <f t="shared" ref="AE72" si="756">AE6/#REF!*#REF!</f>
        <v>#REF!</v>
      </c>
      <c r="AF72" s="917" t="e">
        <f t="shared" ref="AF72" si="757">AF6/#REF!*#REF!</f>
        <v>#REF!</v>
      </c>
      <c r="AG72" s="917" t="e">
        <f t="shared" ref="AG72" si="758">AG6/#REF!*#REF!</f>
        <v>#REF!</v>
      </c>
      <c r="AH72" s="917" t="e">
        <f t="shared" ref="AH72" si="759">AH6/#REF!*#REF!</f>
        <v>#REF!</v>
      </c>
      <c r="AI72" s="917" t="e">
        <f t="shared" ref="AI72" si="760">AI6/#REF!*#REF!</f>
        <v>#REF!</v>
      </c>
      <c r="AJ72" s="917" t="e">
        <f t="shared" ref="AJ72" si="761">AJ6/#REF!*#REF!</f>
        <v>#REF!</v>
      </c>
      <c r="AK72" s="917" t="e">
        <f t="shared" ref="AK72" si="762">AK6/#REF!*#REF!</f>
        <v>#REF!</v>
      </c>
      <c r="AL72" s="917" t="e">
        <f t="shared" ref="AL72" si="763">AL6/#REF!*#REF!</f>
        <v>#REF!</v>
      </c>
      <c r="AM72" s="917" t="e">
        <f t="shared" ref="AM72" si="764">AM6/#REF!*#REF!</f>
        <v>#REF!</v>
      </c>
      <c r="AN72" s="917" t="e">
        <f t="shared" ref="AN72" si="765">AN6/#REF!*#REF!</f>
        <v>#REF!</v>
      </c>
      <c r="AO72" s="917" t="e">
        <f t="shared" ref="AO72" si="766">AO6/#REF!*#REF!</f>
        <v>#REF!</v>
      </c>
      <c r="AP72" s="917" t="e">
        <f t="shared" ref="AP72" si="767">AP6/#REF!*#REF!</f>
        <v>#REF!</v>
      </c>
      <c r="AQ72" s="917" t="e">
        <f t="shared" ref="AQ72" si="768">AQ6/#REF!*#REF!</f>
        <v>#REF!</v>
      </c>
      <c r="AR72" s="917" t="e">
        <f t="shared" ref="AR72" si="769">AR6/#REF!*#REF!</f>
        <v>#REF!</v>
      </c>
      <c r="AS72" s="917" t="e">
        <f t="shared" ref="AS72" si="770">AS6/#REF!*#REF!</f>
        <v>#REF!</v>
      </c>
      <c r="AT72" s="917" t="e">
        <f t="shared" ref="AT72" si="771">AT6/#REF!*#REF!</f>
        <v>#REF!</v>
      </c>
      <c r="AU72" s="917" t="e">
        <f t="shared" ref="AU72" si="772">AU6/#REF!*#REF!</f>
        <v>#REF!</v>
      </c>
      <c r="AV72" s="917" t="e">
        <f t="shared" ref="AV72" si="773">AV6/#REF!*#REF!</f>
        <v>#REF!</v>
      </c>
      <c r="AW72" s="917" t="e">
        <f t="shared" ref="AW72" si="774">AW6/#REF!*#REF!</f>
        <v>#REF!</v>
      </c>
      <c r="AX72" s="917" t="e">
        <f t="shared" ref="AX72" si="775">AX6/#REF!*#REF!</f>
        <v>#REF!</v>
      </c>
      <c r="AY72" s="917" t="e">
        <f t="shared" ref="AY72" si="776">AY6/#REF!*#REF!</f>
        <v>#REF!</v>
      </c>
      <c r="AZ72" s="917" t="e">
        <f t="shared" ref="AZ72" si="777">AZ6/#REF!*#REF!</f>
        <v>#REF!</v>
      </c>
      <c r="BA72" s="917" t="e">
        <f t="shared" ref="BA72" si="778">BA6/#REF!*#REF!</f>
        <v>#REF!</v>
      </c>
      <c r="BB72" s="917" t="e">
        <f t="shared" ref="BB72" si="779">BB6/#REF!*#REF!</f>
        <v>#REF!</v>
      </c>
      <c r="BC72" s="917" t="e">
        <f t="shared" ref="BC72" si="780">BC6/#REF!*#REF!</f>
        <v>#REF!</v>
      </c>
      <c r="BD72" s="917" t="e">
        <f t="shared" ref="BD72" si="781">BD6/#REF!*#REF!</f>
        <v>#REF!</v>
      </c>
      <c r="BE72" s="917" t="e">
        <f t="shared" ref="BE72" si="782">BE6/#REF!*#REF!</f>
        <v>#REF!</v>
      </c>
      <c r="BF72" s="917" t="e">
        <f t="shared" ref="BF72" si="783">BF6/#REF!*#REF!</f>
        <v>#REF!</v>
      </c>
      <c r="BG72" s="917" t="e">
        <f t="shared" ref="BG72" si="784">BG6/#REF!*#REF!</f>
        <v>#REF!</v>
      </c>
      <c r="BH72" s="917" t="e">
        <f t="shared" ref="BH72" si="785">BH6/#REF!*#REF!</f>
        <v>#REF!</v>
      </c>
      <c r="BI72" s="917" t="e">
        <f t="shared" ref="BI72" si="786">BI6/#REF!*#REF!</f>
        <v>#REF!</v>
      </c>
      <c r="BJ72" s="917" t="e">
        <f t="shared" ref="BJ72" si="787">BJ6/#REF!*#REF!</f>
        <v>#REF!</v>
      </c>
      <c r="BK72" s="917" t="e">
        <f t="shared" ref="BK72" si="788">BK6/#REF!*#REF!</f>
        <v>#REF!</v>
      </c>
      <c r="BL72" s="917" t="e">
        <f t="shared" ref="BL72" si="789">BL6/#REF!*#REF!</f>
        <v>#REF!</v>
      </c>
      <c r="BM72" s="917" t="e">
        <f t="shared" ref="BM72" si="790">BM6/#REF!*#REF!</f>
        <v>#REF!</v>
      </c>
      <c r="BN72" s="917" t="e">
        <f t="shared" ref="BN72" si="791">BN6/#REF!*#REF!</f>
        <v>#REF!</v>
      </c>
      <c r="BO72" s="917" t="e">
        <f t="shared" ref="BO72" si="792">BO6/#REF!*#REF!</f>
        <v>#REF!</v>
      </c>
      <c r="BP72" s="917" t="e">
        <f t="shared" ref="BP72" si="793">BP6/#REF!*#REF!</f>
        <v>#REF!</v>
      </c>
      <c r="BQ72" s="917" t="e">
        <f t="shared" ref="BQ72" si="794">BQ6/#REF!*#REF!</f>
        <v>#REF!</v>
      </c>
      <c r="BR72" s="917" t="e">
        <f t="shared" ref="BR72" si="795">BR6/#REF!*#REF!</f>
        <v>#REF!</v>
      </c>
      <c r="BS72" s="917" t="e">
        <f t="shared" ref="BS72" si="796">BS6/#REF!*#REF!</f>
        <v>#REF!</v>
      </c>
      <c r="BT72" s="917" t="e">
        <f t="shared" ref="BT72" si="797">BT6/#REF!*#REF!</f>
        <v>#REF!</v>
      </c>
      <c r="BU72" s="917" t="e">
        <f t="shared" ref="BU72" si="798">BU6/#REF!*#REF!</f>
        <v>#REF!</v>
      </c>
      <c r="BV72" s="917" t="e">
        <f t="shared" ref="BV72" si="799">BV6/#REF!*#REF!</f>
        <v>#REF!</v>
      </c>
      <c r="BW72" s="917" t="e">
        <f t="shared" ref="BW72" si="800">BW6/#REF!*#REF!</f>
        <v>#REF!</v>
      </c>
      <c r="BX72" s="917" t="e">
        <f t="shared" ref="BX72" si="801">BX6/#REF!*#REF!</f>
        <v>#REF!</v>
      </c>
      <c r="BY72" s="917" t="e">
        <f t="shared" ref="BY72" si="802">BY6/#REF!*#REF!</f>
        <v>#REF!</v>
      </c>
      <c r="BZ72" s="917" t="e">
        <f t="shared" ref="BZ72" si="803">BZ6/#REF!*#REF!</f>
        <v>#REF!</v>
      </c>
      <c r="CA72" s="917" t="e">
        <f t="shared" ref="CA72" si="804">CA6/#REF!*#REF!</f>
        <v>#REF!</v>
      </c>
      <c r="CB72" s="917" t="e">
        <f t="shared" ref="CB72" si="805">CB6/#REF!*#REF!</f>
        <v>#REF!</v>
      </c>
      <c r="CC72" s="917" t="e">
        <f t="shared" ref="CC72" si="806">CC6/#REF!*#REF!</f>
        <v>#REF!</v>
      </c>
      <c r="CD72" s="917" t="e">
        <f t="shared" ref="CD72" si="807">CD6/#REF!*#REF!</f>
        <v>#REF!</v>
      </c>
      <c r="CE72" s="917" t="e">
        <f t="shared" ref="CE72" si="808">CE6/#REF!*#REF!</f>
        <v>#REF!</v>
      </c>
      <c r="CF72" s="918" t="e">
        <f t="shared" ref="CF72" si="809">CF6/#REF!*#REF!</f>
        <v>#REF!</v>
      </c>
    </row>
    <row r="73" spans="1:84">
      <c r="A73" s="876"/>
      <c r="B73" s="908" t="s">
        <v>150</v>
      </c>
      <c r="C73" s="909" t="s">
        <v>847</v>
      </c>
      <c r="D73" s="910">
        <v>8.9715064953707027E-2</v>
      </c>
      <c r="E73" s="910">
        <v>8.9715064953707027E-2</v>
      </c>
      <c r="F73" s="910">
        <v>8.9715064953707027E-2</v>
      </c>
      <c r="G73" s="910">
        <v>8.9715064953707027E-2</v>
      </c>
      <c r="H73" s="910">
        <v>8.9715064953707027E-2</v>
      </c>
      <c r="I73" s="910">
        <v>8.9715064953707027E-2</v>
      </c>
      <c r="J73" s="910">
        <v>8.9715064953707027E-2</v>
      </c>
      <c r="K73" s="910">
        <v>8.9715064953707027E-2</v>
      </c>
      <c r="L73" s="910">
        <v>8.9715064953707027E-2</v>
      </c>
      <c r="M73" s="910">
        <v>8.9715064953707027E-2</v>
      </c>
      <c r="N73" s="910">
        <v>8.9715064953707027E-2</v>
      </c>
      <c r="O73" s="910">
        <v>8.9715064953707027E-2</v>
      </c>
      <c r="P73" s="910">
        <v>8.9715064953707027E-2</v>
      </c>
      <c r="Q73" s="910">
        <v>8.9715064953707027E-2</v>
      </c>
      <c r="R73" s="910">
        <v>8.9715064953707027E-2</v>
      </c>
      <c r="S73" s="910">
        <v>8.9715064953707027E-2</v>
      </c>
      <c r="T73" s="910">
        <v>8.9715064953707027E-2</v>
      </c>
      <c r="U73" s="910">
        <v>8.9715064953707027E-2</v>
      </c>
      <c r="V73" s="910">
        <v>8.9715064953707027E-2</v>
      </c>
      <c r="W73" s="910">
        <v>8.9715064953707027E-2</v>
      </c>
      <c r="X73" s="910">
        <v>8.9715064953707027E-2</v>
      </c>
      <c r="Y73" s="910">
        <v>8.9715064953707027E-2</v>
      </c>
      <c r="Z73" s="910">
        <v>8.9715064953707027E-2</v>
      </c>
      <c r="AA73" s="910">
        <v>8.9715064953707027E-2</v>
      </c>
      <c r="AB73" s="910">
        <v>8.9715064953707027E-2</v>
      </c>
      <c r="AC73" s="910">
        <v>8.9715064953707027E-2</v>
      </c>
      <c r="AD73" s="910">
        <v>8.9715064953707027E-2</v>
      </c>
      <c r="AE73" s="910">
        <v>8.9715064953707027E-2</v>
      </c>
      <c r="AF73" s="910">
        <v>8.9715064953707027E-2</v>
      </c>
      <c r="AG73" s="910">
        <v>8.9715064953707027E-2</v>
      </c>
      <c r="AH73" s="910">
        <v>8.9715064953707027E-2</v>
      </c>
      <c r="AI73" s="910">
        <v>8.9715064953707027E-2</v>
      </c>
      <c r="AJ73" s="910">
        <v>8.9715064953707027E-2</v>
      </c>
      <c r="AK73" s="910">
        <v>8.9715064953707027E-2</v>
      </c>
      <c r="AL73" s="910">
        <v>8.9715064953707027E-2</v>
      </c>
      <c r="AM73" s="910">
        <v>8.9715064953707027E-2</v>
      </c>
      <c r="AN73" s="910">
        <v>8.9715064953707027E-2</v>
      </c>
      <c r="AO73" s="910">
        <v>8.9715064953707027E-2</v>
      </c>
      <c r="AP73" s="910">
        <v>8.9715064953707027E-2</v>
      </c>
      <c r="AQ73" s="910">
        <v>8.9715064953707027E-2</v>
      </c>
      <c r="AR73" s="910">
        <v>8.9715064953707027E-2</v>
      </c>
      <c r="AS73" s="910">
        <v>8.9715064953707027E-2</v>
      </c>
      <c r="AT73" s="910">
        <v>8.9715064953707027E-2</v>
      </c>
      <c r="AU73" s="910">
        <v>8.9715064953707027E-2</v>
      </c>
      <c r="AV73" s="910">
        <v>8.9715064953707027E-2</v>
      </c>
      <c r="AW73" s="910">
        <v>8.9715064953707027E-2</v>
      </c>
      <c r="AX73" s="910">
        <v>8.9715064953707027E-2</v>
      </c>
      <c r="AY73" s="910">
        <v>8.9715064953707027E-2</v>
      </c>
      <c r="AZ73" s="910">
        <v>8.9715064953707027E-2</v>
      </c>
      <c r="BA73" s="910">
        <v>8.9715064953707027E-2</v>
      </c>
      <c r="BB73" s="910">
        <v>8.9715064953707027E-2</v>
      </c>
      <c r="BC73" s="910">
        <v>8.9715064953707027E-2</v>
      </c>
      <c r="BD73" s="910">
        <v>8.9715064953707027E-2</v>
      </c>
      <c r="BE73" s="910">
        <v>8.9715064953707027E-2</v>
      </c>
      <c r="BF73" s="910">
        <v>8.9715064953707027E-2</v>
      </c>
      <c r="BG73" s="910">
        <v>8.9715064953707027E-2</v>
      </c>
      <c r="BH73" s="910">
        <v>8.9715064953707027E-2</v>
      </c>
      <c r="BI73" s="910">
        <v>8.9715064953707027E-2</v>
      </c>
      <c r="BJ73" s="910">
        <v>8.9715064953707027E-2</v>
      </c>
      <c r="BK73" s="910">
        <v>8.9715064953707027E-2</v>
      </c>
      <c r="BL73" s="910">
        <v>8.9715064953707027E-2</v>
      </c>
      <c r="BM73" s="910">
        <v>8.9715064953707027E-2</v>
      </c>
      <c r="BN73" s="910">
        <v>8.9715064953707027E-2</v>
      </c>
      <c r="BO73" s="910">
        <v>8.9715064953707027E-2</v>
      </c>
      <c r="BP73" s="910">
        <v>8.9715064953707027E-2</v>
      </c>
      <c r="BQ73" s="910">
        <v>8.9715064953707027E-2</v>
      </c>
      <c r="BR73" s="910">
        <v>8.9715064953707027E-2</v>
      </c>
      <c r="BS73" s="910">
        <v>8.9715064953707027E-2</v>
      </c>
      <c r="BT73" s="910">
        <v>8.9715064953707027E-2</v>
      </c>
      <c r="BU73" s="910">
        <v>8.9715064953707027E-2</v>
      </c>
      <c r="BV73" s="910">
        <v>8.9715064953707027E-2</v>
      </c>
      <c r="BW73" s="910">
        <v>8.9715064953707027E-2</v>
      </c>
      <c r="BX73" s="910">
        <v>8.9715064953707027E-2</v>
      </c>
      <c r="BY73" s="910">
        <v>8.9715064953707027E-2</v>
      </c>
      <c r="BZ73" s="910">
        <v>8.9715064953707027E-2</v>
      </c>
      <c r="CA73" s="910">
        <v>8.9715064953707027E-2</v>
      </c>
      <c r="CB73" s="910">
        <v>8.9715064953707027E-2</v>
      </c>
      <c r="CC73" s="910">
        <v>8.9715064953707027E-2</v>
      </c>
      <c r="CD73" s="910">
        <v>8.9715064953707027E-2</v>
      </c>
      <c r="CE73" s="910">
        <v>8.9715064953707027E-2</v>
      </c>
      <c r="CF73" s="911">
        <v>8.9715064953707027E-2</v>
      </c>
    </row>
    <row r="74" spans="1:84">
      <c r="A74" s="876"/>
      <c r="B74" s="908" t="s">
        <v>844</v>
      </c>
      <c r="C74" s="909" t="s">
        <v>847</v>
      </c>
      <c r="D74" s="910">
        <v>9.521459029930554E-2</v>
      </c>
      <c r="E74" s="910">
        <v>9.521459029930554E-2</v>
      </c>
      <c r="F74" s="910">
        <v>9.521459029930554E-2</v>
      </c>
      <c r="G74" s="910">
        <v>9.521459029930554E-2</v>
      </c>
      <c r="H74" s="910">
        <v>9.521459029930554E-2</v>
      </c>
      <c r="I74" s="910">
        <v>9.521459029930554E-2</v>
      </c>
      <c r="J74" s="910">
        <v>9.521459029930554E-2</v>
      </c>
      <c r="K74" s="910">
        <v>9.521459029930554E-2</v>
      </c>
      <c r="L74" s="910">
        <v>9.521459029930554E-2</v>
      </c>
      <c r="M74" s="910">
        <v>9.521459029930554E-2</v>
      </c>
      <c r="N74" s="910">
        <v>9.521459029930554E-2</v>
      </c>
      <c r="O74" s="910">
        <v>9.521459029930554E-2</v>
      </c>
      <c r="P74" s="910">
        <v>9.521459029930554E-2</v>
      </c>
      <c r="Q74" s="910">
        <v>9.521459029930554E-2</v>
      </c>
      <c r="R74" s="910">
        <v>9.521459029930554E-2</v>
      </c>
      <c r="S74" s="910">
        <v>9.521459029930554E-2</v>
      </c>
      <c r="T74" s="910">
        <v>9.521459029930554E-2</v>
      </c>
      <c r="U74" s="910">
        <v>9.521459029930554E-2</v>
      </c>
      <c r="V74" s="910">
        <v>9.521459029930554E-2</v>
      </c>
      <c r="W74" s="910">
        <v>9.521459029930554E-2</v>
      </c>
      <c r="X74" s="910">
        <v>9.521459029930554E-2</v>
      </c>
      <c r="Y74" s="910">
        <v>9.521459029930554E-2</v>
      </c>
      <c r="Z74" s="910">
        <v>9.521459029930554E-2</v>
      </c>
      <c r="AA74" s="910">
        <v>9.521459029930554E-2</v>
      </c>
      <c r="AB74" s="910">
        <v>9.521459029930554E-2</v>
      </c>
      <c r="AC74" s="910">
        <v>9.521459029930554E-2</v>
      </c>
      <c r="AD74" s="910">
        <v>9.521459029930554E-2</v>
      </c>
      <c r="AE74" s="910">
        <v>9.521459029930554E-2</v>
      </c>
      <c r="AF74" s="910">
        <v>9.521459029930554E-2</v>
      </c>
      <c r="AG74" s="910">
        <v>9.521459029930554E-2</v>
      </c>
      <c r="AH74" s="910">
        <v>9.521459029930554E-2</v>
      </c>
      <c r="AI74" s="910">
        <v>9.521459029930554E-2</v>
      </c>
      <c r="AJ74" s="910">
        <v>9.521459029930554E-2</v>
      </c>
      <c r="AK74" s="910">
        <v>9.521459029930554E-2</v>
      </c>
      <c r="AL74" s="910">
        <v>9.521459029930554E-2</v>
      </c>
      <c r="AM74" s="910">
        <v>9.521459029930554E-2</v>
      </c>
      <c r="AN74" s="910">
        <v>9.521459029930554E-2</v>
      </c>
      <c r="AO74" s="910">
        <v>9.521459029930554E-2</v>
      </c>
      <c r="AP74" s="910">
        <v>9.521459029930554E-2</v>
      </c>
      <c r="AQ74" s="910">
        <v>9.521459029930554E-2</v>
      </c>
      <c r="AR74" s="910">
        <v>9.521459029930554E-2</v>
      </c>
      <c r="AS74" s="910">
        <v>9.521459029930554E-2</v>
      </c>
      <c r="AT74" s="910">
        <v>9.521459029930554E-2</v>
      </c>
      <c r="AU74" s="910">
        <v>9.521459029930554E-2</v>
      </c>
      <c r="AV74" s="910">
        <v>9.521459029930554E-2</v>
      </c>
      <c r="AW74" s="910">
        <v>9.521459029930554E-2</v>
      </c>
      <c r="AX74" s="910">
        <v>9.521459029930554E-2</v>
      </c>
      <c r="AY74" s="910">
        <v>9.521459029930554E-2</v>
      </c>
      <c r="AZ74" s="910">
        <v>9.521459029930554E-2</v>
      </c>
      <c r="BA74" s="910">
        <v>9.521459029930554E-2</v>
      </c>
      <c r="BB74" s="910">
        <v>9.521459029930554E-2</v>
      </c>
      <c r="BC74" s="910">
        <v>9.521459029930554E-2</v>
      </c>
      <c r="BD74" s="910">
        <v>9.521459029930554E-2</v>
      </c>
      <c r="BE74" s="910">
        <v>9.521459029930554E-2</v>
      </c>
      <c r="BF74" s="910">
        <v>9.521459029930554E-2</v>
      </c>
      <c r="BG74" s="910">
        <v>9.521459029930554E-2</v>
      </c>
      <c r="BH74" s="910">
        <v>9.521459029930554E-2</v>
      </c>
      <c r="BI74" s="910">
        <v>9.521459029930554E-2</v>
      </c>
      <c r="BJ74" s="910">
        <v>9.521459029930554E-2</v>
      </c>
      <c r="BK74" s="910">
        <v>9.521459029930554E-2</v>
      </c>
      <c r="BL74" s="910">
        <v>9.521459029930554E-2</v>
      </c>
      <c r="BM74" s="910">
        <v>9.521459029930554E-2</v>
      </c>
      <c r="BN74" s="910">
        <v>9.521459029930554E-2</v>
      </c>
      <c r="BO74" s="910">
        <v>9.521459029930554E-2</v>
      </c>
      <c r="BP74" s="910">
        <v>9.521459029930554E-2</v>
      </c>
      <c r="BQ74" s="910">
        <v>9.521459029930554E-2</v>
      </c>
      <c r="BR74" s="910">
        <v>9.521459029930554E-2</v>
      </c>
      <c r="BS74" s="910">
        <v>9.521459029930554E-2</v>
      </c>
      <c r="BT74" s="910">
        <v>9.521459029930554E-2</v>
      </c>
      <c r="BU74" s="910">
        <v>9.521459029930554E-2</v>
      </c>
      <c r="BV74" s="910">
        <v>9.521459029930554E-2</v>
      </c>
      <c r="BW74" s="910">
        <v>9.521459029930554E-2</v>
      </c>
      <c r="BX74" s="910">
        <v>9.521459029930554E-2</v>
      </c>
      <c r="BY74" s="910">
        <v>9.521459029930554E-2</v>
      </c>
      <c r="BZ74" s="910">
        <v>9.521459029930554E-2</v>
      </c>
      <c r="CA74" s="910">
        <v>9.521459029930554E-2</v>
      </c>
      <c r="CB74" s="910">
        <v>9.521459029930554E-2</v>
      </c>
      <c r="CC74" s="910">
        <v>9.521459029930554E-2</v>
      </c>
      <c r="CD74" s="910">
        <v>9.521459029930554E-2</v>
      </c>
      <c r="CE74" s="910">
        <v>9.521459029930554E-2</v>
      </c>
      <c r="CF74" s="911">
        <v>9.521459029930554E-2</v>
      </c>
    </row>
    <row r="75" spans="1:84">
      <c r="A75" s="876"/>
      <c r="B75" s="884" t="s">
        <v>845</v>
      </c>
      <c r="C75" s="909" t="s">
        <v>847</v>
      </c>
      <c r="D75" s="910">
        <v>1.1261625610407109</v>
      </c>
      <c r="E75" s="910">
        <v>1.1261625610407109</v>
      </c>
      <c r="F75" s="910">
        <v>1.1261625610407109</v>
      </c>
      <c r="G75" s="910">
        <v>1.1261625610407109</v>
      </c>
      <c r="H75" s="910">
        <v>1.1261625610407109</v>
      </c>
      <c r="I75" s="910">
        <v>1.1261625610407109</v>
      </c>
      <c r="J75" s="910">
        <v>1.1261625610407109</v>
      </c>
      <c r="K75" s="910">
        <v>1.1261625610407109</v>
      </c>
      <c r="L75" s="910">
        <v>1.1261625610407109</v>
      </c>
      <c r="M75" s="910">
        <v>1.1261625610407109</v>
      </c>
      <c r="N75" s="910">
        <v>1.1261625610407109</v>
      </c>
      <c r="O75" s="910">
        <v>1.1261625610407109</v>
      </c>
      <c r="P75" s="910">
        <v>1.1261625610407109</v>
      </c>
      <c r="Q75" s="910">
        <v>1.1261625610407109</v>
      </c>
      <c r="R75" s="910">
        <v>1.1261625610407109</v>
      </c>
      <c r="S75" s="910">
        <v>1.1261625610407109</v>
      </c>
      <c r="T75" s="910">
        <v>1.1261625610407109</v>
      </c>
      <c r="U75" s="910">
        <v>1.1261625610407109</v>
      </c>
      <c r="V75" s="910">
        <v>1.1261625610407109</v>
      </c>
      <c r="W75" s="910">
        <v>1.1261625610407109</v>
      </c>
      <c r="X75" s="910">
        <v>1.1261625610407109</v>
      </c>
      <c r="Y75" s="910">
        <v>1.1261625610407109</v>
      </c>
      <c r="Z75" s="910">
        <v>1.1261625610407109</v>
      </c>
      <c r="AA75" s="910">
        <v>1.1261625610407109</v>
      </c>
      <c r="AB75" s="910">
        <v>1.1261625610407109</v>
      </c>
      <c r="AC75" s="910">
        <v>1.1261625610407109</v>
      </c>
      <c r="AD75" s="910">
        <v>1.1261625610407109</v>
      </c>
      <c r="AE75" s="910">
        <v>1.1261625610407109</v>
      </c>
      <c r="AF75" s="910">
        <v>1.1261625610407109</v>
      </c>
      <c r="AG75" s="910">
        <v>1.1261625610407109</v>
      </c>
      <c r="AH75" s="910">
        <v>1.1261625610407109</v>
      </c>
      <c r="AI75" s="910">
        <v>1.1261625610407109</v>
      </c>
      <c r="AJ75" s="910">
        <v>1.1261625610407109</v>
      </c>
      <c r="AK75" s="910">
        <v>1.1261625610407109</v>
      </c>
      <c r="AL75" s="910">
        <v>1.1261625610407109</v>
      </c>
      <c r="AM75" s="910">
        <v>1.1261625610407109</v>
      </c>
      <c r="AN75" s="910">
        <v>1.1261625610407109</v>
      </c>
      <c r="AO75" s="910">
        <v>1.1261625610407109</v>
      </c>
      <c r="AP75" s="910">
        <v>1.1261625610407109</v>
      </c>
      <c r="AQ75" s="910">
        <v>1.1261625610407109</v>
      </c>
      <c r="AR75" s="910">
        <v>1.1261625610407109</v>
      </c>
      <c r="AS75" s="910">
        <v>1.1261625610407109</v>
      </c>
      <c r="AT75" s="910">
        <v>1.1261625610407109</v>
      </c>
      <c r="AU75" s="910">
        <v>1.1261625610407109</v>
      </c>
      <c r="AV75" s="910">
        <v>1.1261625610407109</v>
      </c>
      <c r="AW75" s="910">
        <v>1.1261625610407109</v>
      </c>
      <c r="AX75" s="910">
        <v>1.1261625610407109</v>
      </c>
      <c r="AY75" s="910">
        <v>1.1261625610407109</v>
      </c>
      <c r="AZ75" s="910">
        <v>1.1261625610407109</v>
      </c>
      <c r="BA75" s="910">
        <v>1.1261625610407109</v>
      </c>
      <c r="BB75" s="910">
        <v>1.1261625610407109</v>
      </c>
      <c r="BC75" s="910">
        <v>1.1261625610407109</v>
      </c>
      <c r="BD75" s="910">
        <v>1.1261625610407109</v>
      </c>
      <c r="BE75" s="910">
        <v>1.1261625610407109</v>
      </c>
      <c r="BF75" s="910">
        <v>1.1261625610407109</v>
      </c>
      <c r="BG75" s="910">
        <v>1.1261625610407109</v>
      </c>
      <c r="BH75" s="910">
        <v>1.1261625610407109</v>
      </c>
      <c r="BI75" s="910">
        <v>1.1261625610407109</v>
      </c>
      <c r="BJ75" s="910">
        <v>1.1261625610407109</v>
      </c>
      <c r="BK75" s="910">
        <v>1.1261625610407109</v>
      </c>
      <c r="BL75" s="910">
        <v>1.1261625610407109</v>
      </c>
      <c r="BM75" s="910">
        <v>1.1261625610407109</v>
      </c>
      <c r="BN75" s="910">
        <v>1.1261625610407109</v>
      </c>
      <c r="BO75" s="910">
        <v>1.1261625610407109</v>
      </c>
      <c r="BP75" s="910">
        <v>1.1261625610407109</v>
      </c>
      <c r="BQ75" s="910">
        <v>1.1261625610407109</v>
      </c>
      <c r="BR75" s="910">
        <v>1.1261625610407109</v>
      </c>
      <c r="BS75" s="910">
        <v>1.1261625610407109</v>
      </c>
      <c r="BT75" s="910">
        <v>1.1261625610407109</v>
      </c>
      <c r="BU75" s="910">
        <v>1.1261625610407109</v>
      </c>
      <c r="BV75" s="910">
        <v>1.1261625610407109</v>
      </c>
      <c r="BW75" s="910">
        <v>1.1261625610407109</v>
      </c>
      <c r="BX75" s="910">
        <v>1.1261625610407109</v>
      </c>
      <c r="BY75" s="910">
        <v>1.1261625610407109</v>
      </c>
      <c r="BZ75" s="910">
        <v>1.1261625610407109</v>
      </c>
      <c r="CA75" s="910">
        <v>1.1261625610407109</v>
      </c>
      <c r="CB75" s="910">
        <v>1.1261625610407109</v>
      </c>
      <c r="CC75" s="910">
        <v>1.1261625610407109</v>
      </c>
      <c r="CD75" s="910">
        <v>1.1261625610407109</v>
      </c>
      <c r="CE75" s="910">
        <v>1.1261625610407109</v>
      </c>
      <c r="CF75" s="911">
        <v>1.1261625610407109</v>
      </c>
    </row>
    <row r="76" spans="1:84">
      <c r="A76" s="876"/>
      <c r="B76" s="884" t="s">
        <v>848</v>
      </c>
      <c r="C76" s="909"/>
      <c r="D76" s="910">
        <v>4.4498672217038682E-2</v>
      </c>
      <c r="E76" s="910">
        <v>4.4498672217038682E-2</v>
      </c>
      <c r="F76" s="910">
        <v>4.4498672217038682E-2</v>
      </c>
      <c r="G76" s="910">
        <v>4.4498672217038682E-2</v>
      </c>
      <c r="H76" s="910">
        <v>4.4498672217038682E-2</v>
      </c>
      <c r="I76" s="910">
        <v>4.4498672217038682E-2</v>
      </c>
      <c r="J76" s="910">
        <v>4.4498672217038682E-2</v>
      </c>
      <c r="K76" s="910">
        <v>4.4498672217038682E-2</v>
      </c>
      <c r="L76" s="910">
        <v>4.4498672217038682E-2</v>
      </c>
      <c r="M76" s="910">
        <v>4.4498672217038682E-2</v>
      </c>
      <c r="N76" s="910">
        <v>4.4498672217038682E-2</v>
      </c>
      <c r="O76" s="910">
        <v>4.4498672217038682E-2</v>
      </c>
      <c r="P76" s="910">
        <v>4.4498672217038682E-2</v>
      </c>
      <c r="Q76" s="910">
        <v>4.4498672217038682E-2</v>
      </c>
      <c r="R76" s="910">
        <v>4.4498672217038682E-2</v>
      </c>
      <c r="S76" s="910">
        <v>4.4498672217038682E-2</v>
      </c>
      <c r="T76" s="910">
        <v>4.4498672217038682E-2</v>
      </c>
      <c r="U76" s="910">
        <v>4.4498672217038682E-2</v>
      </c>
      <c r="V76" s="910">
        <v>4.4498672217038682E-2</v>
      </c>
      <c r="W76" s="910">
        <v>4.4498672217038682E-2</v>
      </c>
      <c r="X76" s="910">
        <v>4.4498672217038682E-2</v>
      </c>
      <c r="Y76" s="910">
        <v>4.4498672217038682E-2</v>
      </c>
      <c r="Z76" s="910">
        <v>4.4498672217038682E-2</v>
      </c>
      <c r="AA76" s="910">
        <v>4.4498672217038682E-2</v>
      </c>
      <c r="AB76" s="910">
        <v>4.4498672217038682E-2</v>
      </c>
      <c r="AC76" s="910">
        <v>4.4498672217038682E-2</v>
      </c>
      <c r="AD76" s="910">
        <v>4.4498672217038682E-2</v>
      </c>
      <c r="AE76" s="910">
        <v>4.4498672217038682E-2</v>
      </c>
      <c r="AF76" s="910">
        <v>4.4498672217038682E-2</v>
      </c>
      <c r="AG76" s="910">
        <v>4.4498672217038682E-2</v>
      </c>
      <c r="AH76" s="910">
        <v>4.4498672217038682E-2</v>
      </c>
      <c r="AI76" s="910">
        <v>4.4498672217038682E-2</v>
      </c>
      <c r="AJ76" s="910">
        <v>4.4498672217038682E-2</v>
      </c>
      <c r="AK76" s="910">
        <v>4.4498672217038682E-2</v>
      </c>
      <c r="AL76" s="910">
        <v>4.4498672217038682E-2</v>
      </c>
      <c r="AM76" s="910">
        <v>4.4498672217038682E-2</v>
      </c>
      <c r="AN76" s="910">
        <v>4.4498672217038682E-2</v>
      </c>
      <c r="AO76" s="910">
        <v>4.4498672217038682E-2</v>
      </c>
      <c r="AP76" s="910">
        <v>4.4498672217038682E-2</v>
      </c>
      <c r="AQ76" s="910">
        <v>4.4498672217038682E-2</v>
      </c>
      <c r="AR76" s="910">
        <v>4.4498672217038682E-2</v>
      </c>
      <c r="AS76" s="910">
        <v>4.4498672217038682E-2</v>
      </c>
      <c r="AT76" s="910">
        <v>4.4498672217038682E-2</v>
      </c>
      <c r="AU76" s="910">
        <v>4.4498672217038682E-2</v>
      </c>
      <c r="AV76" s="910">
        <v>4.4498672217038682E-2</v>
      </c>
      <c r="AW76" s="910">
        <v>4.4498672217038682E-2</v>
      </c>
      <c r="AX76" s="910">
        <v>4.4498672217038682E-2</v>
      </c>
      <c r="AY76" s="910">
        <v>4.4498672217038682E-2</v>
      </c>
      <c r="AZ76" s="910">
        <v>4.4498672217038682E-2</v>
      </c>
      <c r="BA76" s="910">
        <v>4.4498672217038682E-2</v>
      </c>
      <c r="BB76" s="910">
        <v>4.4498672217038682E-2</v>
      </c>
      <c r="BC76" s="910">
        <v>4.4498672217038682E-2</v>
      </c>
      <c r="BD76" s="910">
        <v>4.4498672217038682E-2</v>
      </c>
      <c r="BE76" s="910">
        <v>4.4498672217038682E-2</v>
      </c>
      <c r="BF76" s="910">
        <v>4.4498672217038682E-2</v>
      </c>
      <c r="BG76" s="910">
        <v>4.4498672217038682E-2</v>
      </c>
      <c r="BH76" s="910">
        <v>4.4498672217038682E-2</v>
      </c>
      <c r="BI76" s="910">
        <v>4.4498672217038682E-2</v>
      </c>
      <c r="BJ76" s="910">
        <v>4.4498672217038682E-2</v>
      </c>
      <c r="BK76" s="910">
        <v>4.4498672217038682E-2</v>
      </c>
      <c r="BL76" s="910">
        <v>4.4498672217038682E-2</v>
      </c>
      <c r="BM76" s="910">
        <v>4.4498672217038682E-2</v>
      </c>
      <c r="BN76" s="910">
        <v>4.4498672217038682E-2</v>
      </c>
      <c r="BO76" s="910">
        <v>4.4498672217038682E-2</v>
      </c>
      <c r="BP76" s="910">
        <v>4.4498672217038682E-2</v>
      </c>
      <c r="BQ76" s="910">
        <v>4.4498672217038682E-2</v>
      </c>
      <c r="BR76" s="910">
        <v>4.4498672217038682E-2</v>
      </c>
      <c r="BS76" s="910">
        <v>4.4498672217038682E-2</v>
      </c>
      <c r="BT76" s="910">
        <v>4.4498672217038682E-2</v>
      </c>
      <c r="BU76" s="910">
        <v>4.4498672217038682E-2</v>
      </c>
      <c r="BV76" s="910">
        <v>4.4498672217038682E-2</v>
      </c>
      <c r="BW76" s="910">
        <v>4.4498672217038682E-2</v>
      </c>
      <c r="BX76" s="910">
        <v>4.4498672217038682E-2</v>
      </c>
      <c r="BY76" s="910">
        <v>4.4498672217038682E-2</v>
      </c>
      <c r="BZ76" s="910">
        <v>4.4498672217038682E-2</v>
      </c>
      <c r="CA76" s="910">
        <v>4.4498672217038682E-2</v>
      </c>
      <c r="CB76" s="910">
        <v>4.4498672217038682E-2</v>
      </c>
      <c r="CC76" s="910">
        <v>4.4498672217038682E-2</v>
      </c>
      <c r="CD76" s="910">
        <v>4.4498672217038682E-2</v>
      </c>
      <c r="CE76" s="910">
        <v>4.4498672217038682E-2</v>
      </c>
      <c r="CF76" s="911">
        <v>4.4498672217038682E-2</v>
      </c>
    </row>
    <row r="77" spans="1:84" ht="13.8" thickBot="1">
      <c r="A77" s="876"/>
      <c r="B77" s="912" t="s">
        <v>846</v>
      </c>
      <c r="C77" s="913" t="s">
        <v>847</v>
      </c>
      <c r="D77" s="914">
        <v>1.1060422480308603</v>
      </c>
      <c r="E77" s="915">
        <v>1.1060422480308603</v>
      </c>
      <c r="F77" s="915">
        <v>1.1060422480308603</v>
      </c>
      <c r="G77" s="915">
        <v>1.1060422480308603</v>
      </c>
      <c r="H77" s="915">
        <v>1.1060422480308603</v>
      </c>
      <c r="I77" s="915">
        <v>1.1060422480308603</v>
      </c>
      <c r="J77" s="915">
        <v>1.1060422480308603</v>
      </c>
      <c r="K77" s="915">
        <v>1.1060422480308603</v>
      </c>
      <c r="L77" s="915">
        <v>1.1060422480308603</v>
      </c>
      <c r="M77" s="915">
        <v>1.1060422480308603</v>
      </c>
      <c r="N77" s="915">
        <v>1.1060422480308603</v>
      </c>
      <c r="O77" s="915">
        <v>1.1060422480308603</v>
      </c>
      <c r="P77" s="915">
        <v>1.1060422480308603</v>
      </c>
      <c r="Q77" s="915">
        <v>1.1060422480308603</v>
      </c>
      <c r="R77" s="915">
        <v>1.1060422480308603</v>
      </c>
      <c r="S77" s="915">
        <v>1.1060422480308603</v>
      </c>
      <c r="T77" s="915">
        <v>1.1060422480308603</v>
      </c>
      <c r="U77" s="915">
        <v>1.1060422480308603</v>
      </c>
      <c r="V77" s="915">
        <v>1.1060422480308603</v>
      </c>
      <c r="W77" s="915">
        <v>1.1060422480308603</v>
      </c>
      <c r="X77" s="915">
        <v>1.1060422480308603</v>
      </c>
      <c r="Y77" s="915">
        <v>1.1060422480308603</v>
      </c>
      <c r="Z77" s="915">
        <v>1.1060422480308603</v>
      </c>
      <c r="AA77" s="915">
        <v>1.1060422480308603</v>
      </c>
      <c r="AB77" s="915">
        <v>1.1060422480308603</v>
      </c>
      <c r="AC77" s="915">
        <v>1.1060422480308603</v>
      </c>
      <c r="AD77" s="915">
        <v>1.1060422480308603</v>
      </c>
      <c r="AE77" s="915">
        <v>1.1060422480308603</v>
      </c>
      <c r="AF77" s="915">
        <v>1.1060422480308603</v>
      </c>
      <c r="AG77" s="915">
        <v>1.1060422480308603</v>
      </c>
      <c r="AH77" s="915">
        <v>1.1060422480308603</v>
      </c>
      <c r="AI77" s="915">
        <v>1.1060422480308603</v>
      </c>
      <c r="AJ77" s="915">
        <v>1.1060422480308603</v>
      </c>
      <c r="AK77" s="915">
        <v>1.1060422480308603</v>
      </c>
      <c r="AL77" s="915">
        <v>1.1060422480308603</v>
      </c>
      <c r="AM77" s="915">
        <v>1.1060422480308603</v>
      </c>
      <c r="AN77" s="915">
        <v>1.1060422480308603</v>
      </c>
      <c r="AO77" s="915">
        <v>1.1060422480308603</v>
      </c>
      <c r="AP77" s="915">
        <v>1.1060422480308603</v>
      </c>
      <c r="AQ77" s="915">
        <v>1.1060422480308603</v>
      </c>
      <c r="AR77" s="915">
        <v>1.1060422480308603</v>
      </c>
      <c r="AS77" s="915">
        <v>1.1060422480308603</v>
      </c>
      <c r="AT77" s="915">
        <v>1.1060422480308603</v>
      </c>
      <c r="AU77" s="915">
        <v>1.1060422480308603</v>
      </c>
      <c r="AV77" s="915">
        <v>1.1060422480308603</v>
      </c>
      <c r="AW77" s="915">
        <v>1.1060422480308603</v>
      </c>
      <c r="AX77" s="915">
        <v>1.1060422480308603</v>
      </c>
      <c r="AY77" s="915">
        <v>1.1060422480308603</v>
      </c>
      <c r="AZ77" s="915">
        <v>1.1060422480308603</v>
      </c>
      <c r="BA77" s="915">
        <v>1.1060422480308603</v>
      </c>
      <c r="BB77" s="915">
        <v>1.1060422480308603</v>
      </c>
      <c r="BC77" s="915">
        <v>1.1060422480308603</v>
      </c>
      <c r="BD77" s="915">
        <v>1.1060422480308603</v>
      </c>
      <c r="BE77" s="915">
        <v>1.1060422480308603</v>
      </c>
      <c r="BF77" s="915">
        <v>1.1060422480308603</v>
      </c>
      <c r="BG77" s="915">
        <v>1.1060422480308603</v>
      </c>
      <c r="BH77" s="915">
        <v>1.1060422480308603</v>
      </c>
      <c r="BI77" s="915">
        <v>1.1060422480308603</v>
      </c>
      <c r="BJ77" s="915">
        <v>1.1060422480308603</v>
      </c>
      <c r="BK77" s="915">
        <v>1.1060422480308603</v>
      </c>
      <c r="BL77" s="915">
        <v>1.1060422480308603</v>
      </c>
      <c r="BM77" s="915">
        <v>1.1060422480308603</v>
      </c>
      <c r="BN77" s="915">
        <v>1.1060422480308603</v>
      </c>
      <c r="BO77" s="915">
        <v>1.1060422480308603</v>
      </c>
      <c r="BP77" s="915">
        <v>1.1060422480308603</v>
      </c>
      <c r="BQ77" s="915">
        <v>1.1060422480308603</v>
      </c>
      <c r="BR77" s="915">
        <v>1.1060422480308603</v>
      </c>
      <c r="BS77" s="915">
        <v>1.1060422480308603</v>
      </c>
      <c r="BT77" s="915">
        <v>1.1060422480308603</v>
      </c>
      <c r="BU77" s="915">
        <v>1.1060422480308603</v>
      </c>
      <c r="BV77" s="915">
        <v>1.1060422480308603</v>
      </c>
      <c r="BW77" s="915">
        <v>1.1060422480308603</v>
      </c>
      <c r="BX77" s="915">
        <v>1.1060422480308603</v>
      </c>
      <c r="BY77" s="915">
        <v>1.1060422480308603</v>
      </c>
      <c r="BZ77" s="915">
        <v>1.1060422480308603</v>
      </c>
      <c r="CA77" s="915">
        <v>1.1060422480308603</v>
      </c>
      <c r="CB77" s="915">
        <v>1.1060422480308603</v>
      </c>
      <c r="CC77" s="915">
        <v>1.1060422480308603</v>
      </c>
      <c r="CD77" s="915">
        <v>1.1060422480308603</v>
      </c>
      <c r="CE77" s="915">
        <v>1.1060422480308603</v>
      </c>
      <c r="CF77" s="916">
        <v>1.1060422480308603</v>
      </c>
    </row>
    <row r="78" spans="1:84">
      <c r="A78" s="876"/>
      <c r="B78" s="900" t="s">
        <v>853</v>
      </c>
      <c r="C78" s="876"/>
      <c r="D78" s="876"/>
      <c r="E78" s="876"/>
      <c r="F78" s="876"/>
      <c r="G78" s="876"/>
      <c r="H78" s="876"/>
      <c r="I78" s="876"/>
      <c r="J78" s="876"/>
      <c r="K78" s="876"/>
      <c r="L78" s="876"/>
      <c r="M78" s="876"/>
      <c r="N78" s="876"/>
      <c r="O78" s="876"/>
      <c r="P78" s="876"/>
      <c r="Q78" s="876"/>
      <c r="R78" s="876"/>
      <c r="S78" s="876"/>
      <c r="T78" s="876"/>
      <c r="U78" s="876"/>
      <c r="V78" s="876"/>
      <c r="W78" s="876"/>
      <c r="X78" s="876"/>
      <c r="Y78" s="876"/>
      <c r="Z78" s="876"/>
      <c r="AA78" s="876"/>
      <c r="AB78" s="876"/>
      <c r="AC78" s="876"/>
      <c r="AD78" s="876"/>
      <c r="AE78" s="876"/>
      <c r="AF78" s="876"/>
      <c r="AG78" s="876"/>
      <c r="AH78" s="876"/>
      <c r="AI78" s="876"/>
      <c r="AJ78" s="876"/>
      <c r="AK78" s="876"/>
      <c r="AL78" s="876"/>
      <c r="AM78" s="876"/>
      <c r="AN78" s="876"/>
      <c r="AO78" s="876"/>
      <c r="AP78" s="876"/>
      <c r="AQ78" s="876"/>
      <c r="AR78" s="876"/>
      <c r="AS78" s="876"/>
      <c r="AT78" s="876"/>
      <c r="AU78" s="876"/>
      <c r="AV78" s="876"/>
      <c r="AW78" s="876"/>
      <c r="AX78" s="876"/>
      <c r="AY78" s="876"/>
      <c r="AZ78" s="876"/>
      <c r="BA78" s="876"/>
      <c r="BB78" s="876"/>
      <c r="BC78" s="876"/>
      <c r="BD78" s="876"/>
      <c r="BE78" s="876"/>
      <c r="BF78" s="876"/>
      <c r="BG78" s="876"/>
      <c r="BH78" s="876"/>
      <c r="BI78" s="876"/>
      <c r="BJ78" s="876"/>
      <c r="BK78" s="876"/>
      <c r="BL78" s="876"/>
      <c r="BM78" s="876"/>
      <c r="BN78" s="876"/>
      <c r="BO78" s="876"/>
      <c r="BP78" s="876"/>
      <c r="BQ78" s="876"/>
      <c r="BR78" s="876"/>
      <c r="BS78" s="876"/>
      <c r="BT78" s="876"/>
      <c r="BU78" s="876"/>
      <c r="BV78" s="876"/>
      <c r="BW78" s="876"/>
      <c r="BX78" s="876"/>
      <c r="BY78" s="876"/>
      <c r="BZ78" s="876"/>
      <c r="CA78" s="876"/>
      <c r="CB78" s="876"/>
      <c r="CC78" s="876"/>
      <c r="CD78" s="876"/>
      <c r="CE78" s="876"/>
      <c r="CF78" s="876"/>
    </row>
    <row r="79" spans="1:84">
      <c r="A79" s="876"/>
      <c r="B79" s="876"/>
      <c r="C79" s="876"/>
      <c r="D79" s="876"/>
      <c r="E79" s="876"/>
      <c r="F79" s="876"/>
      <c r="G79" s="876"/>
      <c r="H79" s="876"/>
      <c r="I79" s="876"/>
      <c r="J79" s="876"/>
      <c r="K79" s="876"/>
      <c r="L79" s="876"/>
      <c r="M79" s="876"/>
      <c r="N79" s="876"/>
      <c r="O79" s="876"/>
      <c r="P79" s="876"/>
      <c r="Q79" s="876"/>
      <c r="R79" s="876"/>
      <c r="S79" s="876"/>
      <c r="T79" s="876"/>
      <c r="U79" s="876"/>
      <c r="V79" s="876"/>
      <c r="W79" s="876"/>
      <c r="X79" s="876"/>
      <c r="Y79" s="876"/>
      <c r="Z79" s="876"/>
      <c r="AA79" s="876"/>
      <c r="AB79" s="876"/>
      <c r="AC79" s="876"/>
      <c r="AD79" s="876"/>
      <c r="AE79" s="876"/>
      <c r="AF79" s="876"/>
      <c r="AG79" s="876"/>
      <c r="AH79" s="876"/>
      <c r="AI79" s="876"/>
      <c r="AJ79" s="876"/>
      <c r="AK79" s="876"/>
      <c r="AL79" s="876"/>
      <c r="AM79" s="876"/>
      <c r="AN79" s="876"/>
      <c r="AO79" s="876"/>
      <c r="AP79" s="876"/>
      <c r="AQ79" s="876"/>
      <c r="AR79" s="876"/>
      <c r="AS79" s="876"/>
      <c r="AT79" s="876"/>
      <c r="AU79" s="876"/>
      <c r="AV79" s="876"/>
      <c r="AW79" s="876"/>
      <c r="AX79" s="876"/>
      <c r="AY79" s="876"/>
      <c r="AZ79" s="876"/>
      <c r="BA79" s="876"/>
      <c r="BB79" s="876"/>
      <c r="BC79" s="876"/>
      <c r="BD79" s="876"/>
      <c r="BE79" s="876"/>
      <c r="BF79" s="876"/>
      <c r="BG79" s="876"/>
      <c r="BH79" s="876"/>
      <c r="BI79" s="876"/>
      <c r="BJ79" s="876"/>
      <c r="BK79" s="876"/>
      <c r="BL79" s="876"/>
      <c r="BM79" s="876"/>
      <c r="BN79" s="876"/>
      <c r="BO79" s="876"/>
      <c r="BP79" s="876"/>
      <c r="BQ79" s="876"/>
      <c r="BR79" s="876"/>
      <c r="BS79" s="876"/>
      <c r="BT79" s="876"/>
      <c r="BU79" s="876"/>
      <c r="BV79" s="876"/>
      <c r="BW79" s="876"/>
      <c r="BX79" s="876"/>
      <c r="BY79" s="876"/>
      <c r="BZ79" s="876"/>
      <c r="CA79" s="876"/>
      <c r="CB79" s="876"/>
      <c r="CC79" s="876"/>
      <c r="CD79" s="876"/>
      <c r="CE79" s="876"/>
      <c r="CF79" s="876"/>
    </row>
    <row r="80" spans="1:84" ht="13.8" thickBot="1">
      <c r="A80" s="876"/>
      <c r="B80" s="877" t="s">
        <v>854</v>
      </c>
      <c r="C80" s="876"/>
      <c r="D80" s="876"/>
      <c r="E80" s="876"/>
      <c r="F80" s="876"/>
      <c r="G80" s="876"/>
      <c r="H80" s="876"/>
      <c r="I80" s="907">
        <f>$I$140</f>
        <v>0</v>
      </c>
      <c r="J80" s="876" t="s">
        <v>841</v>
      </c>
      <c r="K80" s="876"/>
      <c r="L80" s="876"/>
      <c r="M80" s="876"/>
      <c r="N80" s="876"/>
      <c r="O80" s="876"/>
      <c r="P80" s="876"/>
      <c r="Q80" s="876"/>
      <c r="R80" s="876"/>
      <c r="S80" s="876"/>
      <c r="T80" s="876"/>
      <c r="U80" s="876"/>
      <c r="V80" s="876"/>
      <c r="W80" s="876"/>
      <c r="X80" s="876"/>
      <c r="Y80" s="876"/>
      <c r="Z80" s="876"/>
      <c r="AA80" s="876"/>
      <c r="AB80" s="876"/>
      <c r="AC80" s="876"/>
      <c r="AD80" s="876"/>
      <c r="AE80" s="876"/>
      <c r="AF80" s="876"/>
      <c r="AG80" s="876"/>
      <c r="AH80" s="876"/>
      <c r="AI80" s="876"/>
      <c r="AJ80" s="876"/>
      <c r="AK80" s="876"/>
      <c r="AL80" s="876"/>
      <c r="AM80" s="876"/>
      <c r="AN80" s="876"/>
      <c r="AO80" s="876"/>
      <c r="AP80" s="876"/>
      <c r="AQ80" s="876"/>
      <c r="AR80" s="876"/>
      <c r="AS80" s="876"/>
      <c r="AT80" s="876"/>
      <c r="AU80" s="876"/>
      <c r="AV80" s="876"/>
      <c r="AW80" s="876"/>
      <c r="AX80" s="876"/>
      <c r="AY80" s="876"/>
      <c r="AZ80" s="876"/>
      <c r="BA80" s="876"/>
      <c r="BB80" s="876"/>
      <c r="BC80" s="876"/>
      <c r="BD80" s="876"/>
      <c r="BE80" s="876"/>
      <c r="BF80" s="876"/>
      <c r="BG80" s="876"/>
      <c r="BH80" s="876"/>
      <c r="BI80" s="876"/>
      <c r="BJ80" s="876"/>
      <c r="BK80" s="876"/>
      <c r="BL80" s="876"/>
      <c r="BM80" s="876"/>
      <c r="BN80" s="876"/>
      <c r="BO80" s="876"/>
      <c r="BP80" s="876"/>
      <c r="BQ80" s="876"/>
      <c r="BR80" s="876"/>
      <c r="BS80" s="876"/>
      <c r="BT80" s="876"/>
      <c r="BU80" s="876"/>
      <c r="BV80" s="876"/>
      <c r="BW80" s="876"/>
      <c r="BX80" s="876"/>
      <c r="BY80" s="876"/>
      <c r="BZ80" s="876"/>
      <c r="CA80" s="876"/>
      <c r="CB80" s="876"/>
      <c r="CC80" s="876"/>
      <c r="CD80" s="876"/>
      <c r="CE80" s="876"/>
      <c r="CF80" s="876"/>
    </row>
    <row r="81" spans="1:84">
      <c r="A81" s="876"/>
      <c r="B81" s="880" t="s">
        <v>842</v>
      </c>
      <c r="C81" s="881"/>
      <c r="D81" s="882">
        <v>2010</v>
      </c>
      <c r="E81" s="882">
        <v>2011</v>
      </c>
      <c r="F81" s="882">
        <v>2012</v>
      </c>
      <c r="G81" s="882">
        <v>2013</v>
      </c>
      <c r="H81" s="882">
        <v>2014</v>
      </c>
      <c r="I81" s="882">
        <v>2015</v>
      </c>
      <c r="J81" s="882">
        <v>2016</v>
      </c>
      <c r="K81" s="882">
        <v>2017</v>
      </c>
      <c r="L81" s="882">
        <v>2018</v>
      </c>
      <c r="M81" s="882">
        <v>2019</v>
      </c>
      <c r="N81" s="882">
        <v>2020</v>
      </c>
      <c r="O81" s="882">
        <v>2021</v>
      </c>
      <c r="P81" s="882">
        <v>2022</v>
      </c>
      <c r="Q81" s="882">
        <v>2023</v>
      </c>
      <c r="R81" s="882">
        <v>2024</v>
      </c>
      <c r="S81" s="882">
        <v>2025</v>
      </c>
      <c r="T81" s="882">
        <v>2026</v>
      </c>
      <c r="U81" s="882">
        <v>2027</v>
      </c>
      <c r="V81" s="882">
        <v>2028</v>
      </c>
      <c r="W81" s="882">
        <v>2029</v>
      </c>
      <c r="X81" s="882">
        <v>2030</v>
      </c>
      <c r="Y81" s="882">
        <v>2031</v>
      </c>
      <c r="Z81" s="882">
        <v>2032</v>
      </c>
      <c r="AA81" s="882">
        <v>2033</v>
      </c>
      <c r="AB81" s="882">
        <v>2034</v>
      </c>
      <c r="AC81" s="882">
        <v>2035</v>
      </c>
      <c r="AD81" s="882">
        <v>2036</v>
      </c>
      <c r="AE81" s="882">
        <v>2037</v>
      </c>
      <c r="AF81" s="882">
        <v>2038</v>
      </c>
      <c r="AG81" s="882">
        <v>2039</v>
      </c>
      <c r="AH81" s="882">
        <v>2040</v>
      </c>
      <c r="AI81" s="882">
        <v>2041</v>
      </c>
      <c r="AJ81" s="882">
        <v>2042</v>
      </c>
      <c r="AK81" s="882">
        <v>2043</v>
      </c>
      <c r="AL81" s="882">
        <v>2044</v>
      </c>
      <c r="AM81" s="882">
        <v>2045</v>
      </c>
      <c r="AN81" s="882">
        <v>2046</v>
      </c>
      <c r="AO81" s="882">
        <v>2047</v>
      </c>
      <c r="AP81" s="882">
        <v>2048</v>
      </c>
      <c r="AQ81" s="882">
        <v>2049</v>
      </c>
      <c r="AR81" s="882">
        <v>2050</v>
      </c>
      <c r="AS81" s="882">
        <v>2051</v>
      </c>
      <c r="AT81" s="882">
        <v>2052</v>
      </c>
      <c r="AU81" s="882">
        <v>2053</v>
      </c>
      <c r="AV81" s="882">
        <v>2054</v>
      </c>
      <c r="AW81" s="882">
        <v>2055</v>
      </c>
      <c r="AX81" s="882">
        <v>2056</v>
      </c>
      <c r="AY81" s="882">
        <v>2057</v>
      </c>
      <c r="AZ81" s="882">
        <v>2058</v>
      </c>
      <c r="BA81" s="882">
        <v>2059</v>
      </c>
      <c r="BB81" s="882">
        <v>2060</v>
      </c>
      <c r="BC81" s="882">
        <v>2061</v>
      </c>
      <c r="BD81" s="882">
        <v>2062</v>
      </c>
      <c r="BE81" s="882">
        <v>2063</v>
      </c>
      <c r="BF81" s="882">
        <v>2064</v>
      </c>
      <c r="BG81" s="882">
        <v>2065</v>
      </c>
      <c r="BH81" s="882">
        <v>2066</v>
      </c>
      <c r="BI81" s="882">
        <v>2067</v>
      </c>
      <c r="BJ81" s="882">
        <v>2068</v>
      </c>
      <c r="BK81" s="882">
        <v>2069</v>
      </c>
      <c r="BL81" s="882">
        <v>2070</v>
      </c>
      <c r="BM81" s="882">
        <v>2071</v>
      </c>
      <c r="BN81" s="882">
        <v>2072</v>
      </c>
      <c r="BO81" s="882">
        <v>2073</v>
      </c>
      <c r="BP81" s="882">
        <v>2074</v>
      </c>
      <c r="BQ81" s="882">
        <v>2075</v>
      </c>
      <c r="BR81" s="882">
        <v>2076</v>
      </c>
      <c r="BS81" s="882">
        <v>2077</v>
      </c>
      <c r="BT81" s="882">
        <v>2078</v>
      </c>
      <c r="BU81" s="882">
        <v>2079</v>
      </c>
      <c r="BV81" s="882">
        <v>2080</v>
      </c>
      <c r="BW81" s="882">
        <v>2081</v>
      </c>
      <c r="BX81" s="882">
        <v>2082</v>
      </c>
      <c r="BY81" s="882">
        <v>2083</v>
      </c>
      <c r="BZ81" s="882">
        <v>2084</v>
      </c>
      <c r="CA81" s="882">
        <v>2085</v>
      </c>
      <c r="CB81" s="882">
        <v>2086</v>
      </c>
      <c r="CC81" s="882">
        <v>2087</v>
      </c>
      <c r="CD81" s="882">
        <v>2088</v>
      </c>
      <c r="CE81" s="882">
        <v>2089</v>
      </c>
      <c r="CF81" s="883">
        <v>2090</v>
      </c>
    </row>
    <row r="82" spans="1:84">
      <c r="A82" s="876"/>
      <c r="B82" s="884" t="str">
        <f>CONCATENATE("Drivmiddel (", $D$122,"-priser)")</f>
        <v>Drivmiddel (-priser)</v>
      </c>
      <c r="C82" s="909" t="s">
        <v>843</v>
      </c>
      <c r="D82" s="917" t="e">
        <f t="shared" ref="D82" si="810">D3/#REF!*#REF!</f>
        <v>#REF!</v>
      </c>
      <c r="E82" s="917" t="e">
        <f t="shared" ref="E82" si="811">E3/#REF!*#REF!</f>
        <v>#REF!</v>
      </c>
      <c r="F82" s="917" t="e">
        <f t="shared" ref="F82" si="812">F3/#REF!*#REF!</f>
        <v>#REF!</v>
      </c>
      <c r="G82" s="917" t="e">
        <f t="shared" ref="G82" si="813">G3/#REF!*#REF!</f>
        <v>#REF!</v>
      </c>
      <c r="H82" s="917" t="e">
        <f t="shared" ref="H82" si="814">H3/#REF!*#REF!</f>
        <v>#REF!</v>
      </c>
      <c r="I82" s="917" t="e">
        <f t="shared" ref="I82" si="815">I3/#REF!*#REF!</f>
        <v>#REF!</v>
      </c>
      <c r="J82" s="917" t="e">
        <f t="shared" ref="J82" si="816">J3/#REF!*#REF!</f>
        <v>#REF!</v>
      </c>
      <c r="K82" s="917" t="e">
        <f t="shared" ref="K82" si="817">K3/#REF!*#REF!</f>
        <v>#REF!</v>
      </c>
      <c r="L82" s="917" t="e">
        <f t="shared" ref="L82" si="818">L3/#REF!*#REF!</f>
        <v>#REF!</v>
      </c>
      <c r="M82" s="917" t="e">
        <f t="shared" ref="M82" si="819">M3/#REF!*#REF!</f>
        <v>#REF!</v>
      </c>
      <c r="N82" s="917" t="e">
        <f t="shared" ref="N82" si="820">N3/#REF!*#REF!</f>
        <v>#REF!</v>
      </c>
      <c r="O82" s="917" t="e">
        <f t="shared" ref="O82" si="821">O3/#REF!*#REF!</f>
        <v>#REF!</v>
      </c>
      <c r="P82" s="917" t="e">
        <f t="shared" ref="P82" si="822">P3/#REF!*#REF!</f>
        <v>#REF!</v>
      </c>
      <c r="Q82" s="917" t="e">
        <f t="shared" ref="Q82" si="823">Q3/#REF!*#REF!</f>
        <v>#REF!</v>
      </c>
      <c r="R82" s="917" t="e">
        <f t="shared" ref="R82" si="824">R3/#REF!*#REF!</f>
        <v>#REF!</v>
      </c>
      <c r="S82" s="917" t="e">
        <f t="shared" ref="S82" si="825">S3/#REF!*#REF!</f>
        <v>#REF!</v>
      </c>
      <c r="T82" s="917" t="e">
        <f t="shared" ref="T82" si="826">T3/#REF!*#REF!</f>
        <v>#REF!</v>
      </c>
      <c r="U82" s="917" t="e">
        <f t="shared" ref="U82" si="827">U3/#REF!*#REF!</f>
        <v>#REF!</v>
      </c>
      <c r="V82" s="917" t="e">
        <f t="shared" ref="V82" si="828">V3/#REF!*#REF!</f>
        <v>#REF!</v>
      </c>
      <c r="W82" s="917" t="e">
        <f t="shared" ref="W82" si="829">W3/#REF!*#REF!</f>
        <v>#REF!</v>
      </c>
      <c r="X82" s="917" t="e">
        <f t="shared" ref="X82" si="830">X3/#REF!*#REF!</f>
        <v>#REF!</v>
      </c>
      <c r="Y82" s="917" t="e">
        <f t="shared" ref="Y82" si="831">Y3/#REF!*#REF!</f>
        <v>#REF!</v>
      </c>
      <c r="Z82" s="917" t="e">
        <f t="shared" ref="Z82" si="832">Z3/#REF!*#REF!</f>
        <v>#REF!</v>
      </c>
      <c r="AA82" s="917" t="e">
        <f t="shared" ref="AA82" si="833">AA3/#REF!*#REF!</f>
        <v>#REF!</v>
      </c>
      <c r="AB82" s="917" t="e">
        <f t="shared" ref="AB82" si="834">AB3/#REF!*#REF!</f>
        <v>#REF!</v>
      </c>
      <c r="AC82" s="917" t="e">
        <f t="shared" ref="AC82" si="835">AC3/#REF!*#REF!</f>
        <v>#REF!</v>
      </c>
      <c r="AD82" s="917" t="e">
        <f t="shared" ref="AD82" si="836">AD3/#REF!*#REF!</f>
        <v>#REF!</v>
      </c>
      <c r="AE82" s="917" t="e">
        <f t="shared" ref="AE82" si="837">AE3/#REF!*#REF!</f>
        <v>#REF!</v>
      </c>
      <c r="AF82" s="917" t="e">
        <f t="shared" ref="AF82" si="838">AF3/#REF!*#REF!</f>
        <v>#REF!</v>
      </c>
      <c r="AG82" s="917" t="e">
        <f t="shared" ref="AG82" si="839">AG3/#REF!*#REF!</f>
        <v>#REF!</v>
      </c>
      <c r="AH82" s="917" t="e">
        <f t="shared" ref="AH82" si="840">AH3/#REF!*#REF!</f>
        <v>#REF!</v>
      </c>
      <c r="AI82" s="917" t="e">
        <f t="shared" ref="AI82" si="841">AI3/#REF!*#REF!</f>
        <v>#REF!</v>
      </c>
      <c r="AJ82" s="917" t="e">
        <f t="shared" ref="AJ82" si="842">AJ3/#REF!*#REF!</f>
        <v>#REF!</v>
      </c>
      <c r="AK82" s="917" t="e">
        <f t="shared" ref="AK82" si="843">AK3/#REF!*#REF!</f>
        <v>#REF!</v>
      </c>
      <c r="AL82" s="917" t="e">
        <f t="shared" ref="AL82" si="844">AL3/#REF!*#REF!</f>
        <v>#REF!</v>
      </c>
      <c r="AM82" s="917" t="e">
        <f t="shared" ref="AM82" si="845">AM3/#REF!*#REF!</f>
        <v>#REF!</v>
      </c>
      <c r="AN82" s="917" t="e">
        <f t="shared" ref="AN82" si="846">AN3/#REF!*#REF!</f>
        <v>#REF!</v>
      </c>
      <c r="AO82" s="917" t="e">
        <f t="shared" ref="AO82" si="847">AO3/#REF!*#REF!</f>
        <v>#REF!</v>
      </c>
      <c r="AP82" s="917" t="e">
        <f t="shared" ref="AP82" si="848">AP3/#REF!*#REF!</f>
        <v>#REF!</v>
      </c>
      <c r="AQ82" s="917" t="e">
        <f t="shared" ref="AQ82" si="849">AQ3/#REF!*#REF!</f>
        <v>#REF!</v>
      </c>
      <c r="AR82" s="917" t="e">
        <f t="shared" ref="AR82" si="850">AR3/#REF!*#REF!</f>
        <v>#REF!</v>
      </c>
      <c r="AS82" s="917" t="e">
        <f t="shared" ref="AS82" si="851">AS3/#REF!*#REF!</f>
        <v>#REF!</v>
      </c>
      <c r="AT82" s="917" t="e">
        <f t="shared" ref="AT82" si="852">AT3/#REF!*#REF!</f>
        <v>#REF!</v>
      </c>
      <c r="AU82" s="917" t="e">
        <f t="shared" ref="AU82" si="853">AU3/#REF!*#REF!</f>
        <v>#REF!</v>
      </c>
      <c r="AV82" s="917" t="e">
        <f t="shared" ref="AV82" si="854">AV3/#REF!*#REF!</f>
        <v>#REF!</v>
      </c>
      <c r="AW82" s="917" t="e">
        <f t="shared" ref="AW82" si="855">AW3/#REF!*#REF!</f>
        <v>#REF!</v>
      </c>
      <c r="AX82" s="917" t="e">
        <f t="shared" ref="AX82" si="856">AX3/#REF!*#REF!</f>
        <v>#REF!</v>
      </c>
      <c r="AY82" s="917" t="e">
        <f t="shared" ref="AY82" si="857">AY3/#REF!*#REF!</f>
        <v>#REF!</v>
      </c>
      <c r="AZ82" s="917" t="e">
        <f t="shared" ref="AZ82" si="858">AZ3/#REF!*#REF!</f>
        <v>#REF!</v>
      </c>
      <c r="BA82" s="917" t="e">
        <f t="shared" ref="BA82" si="859">BA3/#REF!*#REF!</f>
        <v>#REF!</v>
      </c>
      <c r="BB82" s="917" t="e">
        <f t="shared" ref="BB82" si="860">BB3/#REF!*#REF!</f>
        <v>#REF!</v>
      </c>
      <c r="BC82" s="917" t="e">
        <f t="shared" ref="BC82" si="861">BC3/#REF!*#REF!</f>
        <v>#REF!</v>
      </c>
      <c r="BD82" s="917" t="e">
        <f t="shared" ref="BD82" si="862">BD3/#REF!*#REF!</f>
        <v>#REF!</v>
      </c>
      <c r="BE82" s="917" t="e">
        <f t="shared" ref="BE82" si="863">BE3/#REF!*#REF!</f>
        <v>#REF!</v>
      </c>
      <c r="BF82" s="917" t="e">
        <f t="shared" ref="BF82" si="864">BF3/#REF!*#REF!</f>
        <v>#REF!</v>
      </c>
      <c r="BG82" s="917" t="e">
        <f t="shared" ref="BG82" si="865">BG3/#REF!*#REF!</f>
        <v>#REF!</v>
      </c>
      <c r="BH82" s="917" t="e">
        <f t="shared" ref="BH82" si="866">BH3/#REF!*#REF!</f>
        <v>#REF!</v>
      </c>
      <c r="BI82" s="917" t="e">
        <f t="shared" ref="BI82" si="867">BI3/#REF!*#REF!</f>
        <v>#REF!</v>
      </c>
      <c r="BJ82" s="917" t="e">
        <f t="shared" ref="BJ82" si="868">BJ3/#REF!*#REF!</f>
        <v>#REF!</v>
      </c>
      <c r="BK82" s="917" t="e">
        <f t="shared" ref="BK82" si="869">BK3/#REF!*#REF!</f>
        <v>#REF!</v>
      </c>
      <c r="BL82" s="917" t="e">
        <f t="shared" ref="BL82" si="870">BL3/#REF!*#REF!</f>
        <v>#REF!</v>
      </c>
      <c r="BM82" s="917" t="e">
        <f t="shared" ref="BM82" si="871">BM3/#REF!*#REF!</f>
        <v>#REF!</v>
      </c>
      <c r="BN82" s="917" t="e">
        <f t="shared" ref="BN82" si="872">BN3/#REF!*#REF!</f>
        <v>#REF!</v>
      </c>
      <c r="BO82" s="917" t="e">
        <f t="shared" ref="BO82" si="873">BO3/#REF!*#REF!</f>
        <v>#REF!</v>
      </c>
      <c r="BP82" s="917" t="e">
        <f t="shared" ref="BP82" si="874">BP3/#REF!*#REF!</f>
        <v>#REF!</v>
      </c>
      <c r="BQ82" s="917" t="e">
        <f t="shared" ref="BQ82" si="875">BQ3/#REF!*#REF!</f>
        <v>#REF!</v>
      </c>
      <c r="BR82" s="917" t="e">
        <f t="shared" ref="BR82" si="876">BR3/#REF!*#REF!</f>
        <v>#REF!</v>
      </c>
      <c r="BS82" s="917" t="e">
        <f t="shared" ref="BS82" si="877">BS3/#REF!*#REF!</f>
        <v>#REF!</v>
      </c>
      <c r="BT82" s="917" t="e">
        <f t="shared" ref="BT82" si="878">BT3/#REF!*#REF!</f>
        <v>#REF!</v>
      </c>
      <c r="BU82" s="917" t="e">
        <f t="shared" ref="BU82" si="879">BU3/#REF!*#REF!</f>
        <v>#REF!</v>
      </c>
      <c r="BV82" s="917" t="e">
        <f t="shared" ref="BV82" si="880">BV3/#REF!*#REF!</f>
        <v>#REF!</v>
      </c>
      <c r="BW82" s="917" t="e">
        <f t="shared" ref="BW82" si="881">BW3/#REF!*#REF!</f>
        <v>#REF!</v>
      </c>
      <c r="BX82" s="917" t="e">
        <f t="shared" ref="BX82" si="882">BX3/#REF!*#REF!</f>
        <v>#REF!</v>
      </c>
      <c r="BY82" s="917" t="e">
        <f t="shared" ref="BY82" si="883">BY3/#REF!*#REF!</f>
        <v>#REF!</v>
      </c>
      <c r="BZ82" s="917" t="e">
        <f t="shared" ref="BZ82" si="884">BZ3/#REF!*#REF!</f>
        <v>#REF!</v>
      </c>
      <c r="CA82" s="917" t="e">
        <f t="shared" ref="CA82" si="885">CA3/#REF!*#REF!</f>
        <v>#REF!</v>
      </c>
      <c r="CB82" s="917" t="e">
        <f t="shared" ref="CB82" si="886">CB3/#REF!*#REF!</f>
        <v>#REF!</v>
      </c>
      <c r="CC82" s="917" t="e">
        <f t="shared" ref="CC82" si="887">CC3/#REF!*#REF!</f>
        <v>#REF!</v>
      </c>
      <c r="CD82" s="917" t="e">
        <f t="shared" ref="CD82" si="888">CD3/#REF!*#REF!</f>
        <v>#REF!</v>
      </c>
      <c r="CE82" s="917" t="e">
        <f t="shared" ref="CE82" si="889">CE3/#REF!*#REF!</f>
        <v>#REF!</v>
      </c>
      <c r="CF82" s="918" t="e">
        <f t="shared" ref="CF82" si="890">CF3/#REF!*#REF!</f>
        <v>#REF!</v>
      </c>
    </row>
    <row r="83" spans="1:84">
      <c r="A83" s="876"/>
      <c r="B83" s="884" t="s">
        <v>150</v>
      </c>
      <c r="C83" s="909" t="s">
        <v>843</v>
      </c>
      <c r="D83" s="910">
        <v>2.3590386728984565E-2</v>
      </c>
      <c r="E83" s="910">
        <v>2.3590386728984565E-2</v>
      </c>
      <c r="F83" s="910">
        <v>2.3590386728984565E-2</v>
      </c>
      <c r="G83" s="910">
        <v>2.3590386728984565E-2</v>
      </c>
      <c r="H83" s="910">
        <v>2.3590386728984565E-2</v>
      </c>
      <c r="I83" s="910">
        <v>2.3590386728984565E-2</v>
      </c>
      <c r="J83" s="910">
        <v>2.3590386728984565E-2</v>
      </c>
      <c r="K83" s="910">
        <v>2.3590386728984565E-2</v>
      </c>
      <c r="L83" s="910">
        <v>2.3590386728984565E-2</v>
      </c>
      <c r="M83" s="910">
        <v>2.3590386728984565E-2</v>
      </c>
      <c r="N83" s="910">
        <v>2.3590386728984565E-2</v>
      </c>
      <c r="O83" s="910">
        <v>2.3590386728984565E-2</v>
      </c>
      <c r="P83" s="910">
        <v>2.3590386728984565E-2</v>
      </c>
      <c r="Q83" s="910">
        <v>2.3590386728984565E-2</v>
      </c>
      <c r="R83" s="910">
        <v>2.3590386728984565E-2</v>
      </c>
      <c r="S83" s="910">
        <v>2.3590386728984565E-2</v>
      </c>
      <c r="T83" s="910">
        <v>2.3590386728984565E-2</v>
      </c>
      <c r="U83" s="910">
        <v>2.3590386728984565E-2</v>
      </c>
      <c r="V83" s="910">
        <v>2.3590386728984565E-2</v>
      </c>
      <c r="W83" s="910">
        <v>2.3590386728984565E-2</v>
      </c>
      <c r="X83" s="910">
        <v>2.3590386728984565E-2</v>
      </c>
      <c r="Y83" s="910">
        <v>2.3590386728984565E-2</v>
      </c>
      <c r="Z83" s="910">
        <v>2.3590386728984565E-2</v>
      </c>
      <c r="AA83" s="910">
        <v>2.3590386728984565E-2</v>
      </c>
      <c r="AB83" s="910">
        <v>2.3590386728984565E-2</v>
      </c>
      <c r="AC83" s="910">
        <v>2.3590386728984565E-2</v>
      </c>
      <c r="AD83" s="910">
        <v>2.3590386728984565E-2</v>
      </c>
      <c r="AE83" s="910">
        <v>2.3590386728984565E-2</v>
      </c>
      <c r="AF83" s="910">
        <v>2.3590386728984565E-2</v>
      </c>
      <c r="AG83" s="910">
        <v>2.3590386728984565E-2</v>
      </c>
      <c r="AH83" s="910">
        <v>2.3590386728984565E-2</v>
      </c>
      <c r="AI83" s="910">
        <v>2.3590386728984565E-2</v>
      </c>
      <c r="AJ83" s="910">
        <v>2.3590386728984565E-2</v>
      </c>
      <c r="AK83" s="910">
        <v>2.3590386728984565E-2</v>
      </c>
      <c r="AL83" s="910">
        <v>2.3590386728984565E-2</v>
      </c>
      <c r="AM83" s="910">
        <v>2.3590386728984565E-2</v>
      </c>
      <c r="AN83" s="910">
        <v>2.3590386728984565E-2</v>
      </c>
      <c r="AO83" s="910">
        <v>2.3590386728984565E-2</v>
      </c>
      <c r="AP83" s="910">
        <v>2.3590386728984565E-2</v>
      </c>
      <c r="AQ83" s="910">
        <v>2.3590386728984565E-2</v>
      </c>
      <c r="AR83" s="910">
        <v>2.3590386728984565E-2</v>
      </c>
      <c r="AS83" s="910">
        <v>2.3590386728984565E-2</v>
      </c>
      <c r="AT83" s="910">
        <v>2.3590386728984565E-2</v>
      </c>
      <c r="AU83" s="910">
        <v>2.3590386728984565E-2</v>
      </c>
      <c r="AV83" s="910">
        <v>2.3590386728984565E-2</v>
      </c>
      <c r="AW83" s="910">
        <v>2.3590386728984565E-2</v>
      </c>
      <c r="AX83" s="910">
        <v>2.3590386728984565E-2</v>
      </c>
      <c r="AY83" s="910">
        <v>2.3590386728984565E-2</v>
      </c>
      <c r="AZ83" s="910">
        <v>2.3590386728984565E-2</v>
      </c>
      <c r="BA83" s="910">
        <v>2.3590386728984565E-2</v>
      </c>
      <c r="BB83" s="910">
        <v>2.3590386728984565E-2</v>
      </c>
      <c r="BC83" s="910">
        <v>2.3590386728984565E-2</v>
      </c>
      <c r="BD83" s="910">
        <v>2.3590386728984565E-2</v>
      </c>
      <c r="BE83" s="910">
        <v>2.3590386728984565E-2</v>
      </c>
      <c r="BF83" s="910">
        <v>2.3590386728984565E-2</v>
      </c>
      <c r="BG83" s="910">
        <v>2.3590386728984565E-2</v>
      </c>
      <c r="BH83" s="910">
        <v>2.3590386728984565E-2</v>
      </c>
      <c r="BI83" s="910">
        <v>2.3590386728984565E-2</v>
      </c>
      <c r="BJ83" s="910">
        <v>2.3590386728984565E-2</v>
      </c>
      <c r="BK83" s="910">
        <v>2.3590386728984565E-2</v>
      </c>
      <c r="BL83" s="910">
        <v>2.3590386728984565E-2</v>
      </c>
      <c r="BM83" s="910">
        <v>2.3590386728984565E-2</v>
      </c>
      <c r="BN83" s="910">
        <v>2.3590386728984565E-2</v>
      </c>
      <c r="BO83" s="910">
        <v>2.3590386728984565E-2</v>
      </c>
      <c r="BP83" s="910">
        <v>2.3590386728984565E-2</v>
      </c>
      <c r="BQ83" s="910">
        <v>2.3590386728984565E-2</v>
      </c>
      <c r="BR83" s="910">
        <v>2.3590386728984565E-2</v>
      </c>
      <c r="BS83" s="910">
        <v>2.3590386728984565E-2</v>
      </c>
      <c r="BT83" s="910">
        <v>2.3590386728984565E-2</v>
      </c>
      <c r="BU83" s="910">
        <v>2.3590386728984565E-2</v>
      </c>
      <c r="BV83" s="910">
        <v>2.3590386728984565E-2</v>
      </c>
      <c r="BW83" s="910">
        <v>2.3590386728984565E-2</v>
      </c>
      <c r="BX83" s="910">
        <v>2.3590386728984565E-2</v>
      </c>
      <c r="BY83" s="910">
        <v>2.3590386728984565E-2</v>
      </c>
      <c r="BZ83" s="910">
        <v>2.3590386728984565E-2</v>
      </c>
      <c r="CA83" s="910">
        <v>2.3590386728984565E-2</v>
      </c>
      <c r="CB83" s="910">
        <v>2.3590386728984565E-2</v>
      </c>
      <c r="CC83" s="910">
        <v>2.3590386728984565E-2</v>
      </c>
      <c r="CD83" s="910">
        <v>2.3590386728984565E-2</v>
      </c>
      <c r="CE83" s="910">
        <v>2.3590386728984565E-2</v>
      </c>
      <c r="CF83" s="911">
        <v>2.3590386728984565E-2</v>
      </c>
    </row>
    <row r="84" spans="1:84">
      <c r="A84" s="876"/>
      <c r="B84" s="884" t="s">
        <v>844</v>
      </c>
      <c r="C84" s="909" t="s">
        <v>843</v>
      </c>
      <c r="D84" s="910">
        <v>7.6171672239444432E-2</v>
      </c>
      <c r="E84" s="910">
        <v>7.6171672239444432E-2</v>
      </c>
      <c r="F84" s="910">
        <v>7.6171672239444432E-2</v>
      </c>
      <c r="G84" s="910">
        <v>7.6171672239444432E-2</v>
      </c>
      <c r="H84" s="910">
        <v>7.6171672239444432E-2</v>
      </c>
      <c r="I84" s="910">
        <v>7.6171672239444432E-2</v>
      </c>
      <c r="J84" s="910">
        <v>7.6171672239444432E-2</v>
      </c>
      <c r="K84" s="910">
        <v>7.6171672239444432E-2</v>
      </c>
      <c r="L84" s="910">
        <v>7.6171672239444432E-2</v>
      </c>
      <c r="M84" s="910">
        <v>7.6171672239444432E-2</v>
      </c>
      <c r="N84" s="910">
        <v>7.6171672239444432E-2</v>
      </c>
      <c r="O84" s="910">
        <v>7.6171672239444432E-2</v>
      </c>
      <c r="P84" s="910">
        <v>7.6171672239444432E-2</v>
      </c>
      <c r="Q84" s="910">
        <v>7.6171672239444432E-2</v>
      </c>
      <c r="R84" s="910">
        <v>7.6171672239444432E-2</v>
      </c>
      <c r="S84" s="910">
        <v>7.6171672239444432E-2</v>
      </c>
      <c r="T84" s="910">
        <v>7.6171672239444432E-2</v>
      </c>
      <c r="U84" s="910">
        <v>7.6171672239444432E-2</v>
      </c>
      <c r="V84" s="910">
        <v>7.6171672239444432E-2</v>
      </c>
      <c r="W84" s="910">
        <v>7.6171672239444432E-2</v>
      </c>
      <c r="X84" s="910">
        <v>7.6171672239444432E-2</v>
      </c>
      <c r="Y84" s="910">
        <v>7.6171672239444432E-2</v>
      </c>
      <c r="Z84" s="910">
        <v>7.6171672239444432E-2</v>
      </c>
      <c r="AA84" s="910">
        <v>7.6171672239444432E-2</v>
      </c>
      <c r="AB84" s="910">
        <v>7.6171672239444432E-2</v>
      </c>
      <c r="AC84" s="910">
        <v>7.6171672239444432E-2</v>
      </c>
      <c r="AD84" s="910">
        <v>7.6171672239444432E-2</v>
      </c>
      <c r="AE84" s="910">
        <v>7.6171672239444432E-2</v>
      </c>
      <c r="AF84" s="910">
        <v>7.6171672239444432E-2</v>
      </c>
      <c r="AG84" s="910">
        <v>7.6171672239444432E-2</v>
      </c>
      <c r="AH84" s="910">
        <v>7.6171672239444432E-2</v>
      </c>
      <c r="AI84" s="910">
        <v>7.6171672239444432E-2</v>
      </c>
      <c r="AJ84" s="910">
        <v>7.6171672239444432E-2</v>
      </c>
      <c r="AK84" s="910">
        <v>7.6171672239444432E-2</v>
      </c>
      <c r="AL84" s="910">
        <v>7.6171672239444432E-2</v>
      </c>
      <c r="AM84" s="910">
        <v>7.6171672239444432E-2</v>
      </c>
      <c r="AN84" s="910">
        <v>7.6171672239444432E-2</v>
      </c>
      <c r="AO84" s="910">
        <v>7.6171672239444432E-2</v>
      </c>
      <c r="AP84" s="910">
        <v>7.6171672239444432E-2</v>
      </c>
      <c r="AQ84" s="910">
        <v>7.6171672239444432E-2</v>
      </c>
      <c r="AR84" s="910">
        <v>7.6171672239444432E-2</v>
      </c>
      <c r="AS84" s="910">
        <v>7.6171672239444432E-2</v>
      </c>
      <c r="AT84" s="910">
        <v>7.6171672239444432E-2</v>
      </c>
      <c r="AU84" s="910">
        <v>7.6171672239444432E-2</v>
      </c>
      <c r="AV84" s="910">
        <v>7.6171672239444432E-2</v>
      </c>
      <c r="AW84" s="910">
        <v>7.6171672239444432E-2</v>
      </c>
      <c r="AX84" s="910">
        <v>7.6171672239444432E-2</v>
      </c>
      <c r="AY84" s="910">
        <v>7.6171672239444432E-2</v>
      </c>
      <c r="AZ84" s="910">
        <v>7.6171672239444432E-2</v>
      </c>
      <c r="BA84" s="910">
        <v>7.6171672239444432E-2</v>
      </c>
      <c r="BB84" s="910">
        <v>7.6171672239444432E-2</v>
      </c>
      <c r="BC84" s="910">
        <v>7.6171672239444432E-2</v>
      </c>
      <c r="BD84" s="910">
        <v>7.6171672239444432E-2</v>
      </c>
      <c r="BE84" s="910">
        <v>7.6171672239444432E-2</v>
      </c>
      <c r="BF84" s="910">
        <v>7.6171672239444432E-2</v>
      </c>
      <c r="BG84" s="910">
        <v>7.6171672239444432E-2</v>
      </c>
      <c r="BH84" s="910">
        <v>7.6171672239444432E-2</v>
      </c>
      <c r="BI84" s="910">
        <v>7.6171672239444432E-2</v>
      </c>
      <c r="BJ84" s="910">
        <v>7.6171672239444432E-2</v>
      </c>
      <c r="BK84" s="910">
        <v>7.6171672239444432E-2</v>
      </c>
      <c r="BL84" s="910">
        <v>7.6171672239444432E-2</v>
      </c>
      <c r="BM84" s="910">
        <v>7.6171672239444432E-2</v>
      </c>
      <c r="BN84" s="910">
        <v>7.6171672239444432E-2</v>
      </c>
      <c r="BO84" s="910">
        <v>7.6171672239444432E-2</v>
      </c>
      <c r="BP84" s="910">
        <v>7.6171672239444432E-2</v>
      </c>
      <c r="BQ84" s="910">
        <v>7.6171672239444432E-2</v>
      </c>
      <c r="BR84" s="910">
        <v>7.6171672239444432E-2</v>
      </c>
      <c r="BS84" s="910">
        <v>7.6171672239444432E-2</v>
      </c>
      <c r="BT84" s="910">
        <v>7.6171672239444432E-2</v>
      </c>
      <c r="BU84" s="910">
        <v>7.6171672239444432E-2</v>
      </c>
      <c r="BV84" s="910">
        <v>7.6171672239444432E-2</v>
      </c>
      <c r="BW84" s="910">
        <v>7.6171672239444432E-2</v>
      </c>
      <c r="BX84" s="910">
        <v>7.6171672239444432E-2</v>
      </c>
      <c r="BY84" s="910">
        <v>7.6171672239444432E-2</v>
      </c>
      <c r="BZ84" s="910">
        <v>7.6171672239444432E-2</v>
      </c>
      <c r="CA84" s="910">
        <v>7.6171672239444432E-2</v>
      </c>
      <c r="CB84" s="910">
        <v>7.6171672239444432E-2</v>
      </c>
      <c r="CC84" s="910">
        <v>7.6171672239444432E-2</v>
      </c>
      <c r="CD84" s="910">
        <v>7.6171672239444432E-2</v>
      </c>
      <c r="CE84" s="910">
        <v>7.6171672239444432E-2</v>
      </c>
      <c r="CF84" s="911">
        <v>7.6171672239444432E-2</v>
      </c>
    </row>
    <row r="85" spans="1:84">
      <c r="A85" s="876"/>
      <c r="B85" s="884" t="s">
        <v>845</v>
      </c>
      <c r="C85" s="909" t="s">
        <v>843</v>
      </c>
      <c r="D85" s="910">
        <v>0.28749715090697858</v>
      </c>
      <c r="E85" s="910">
        <v>0.28749715090697858</v>
      </c>
      <c r="F85" s="910">
        <v>0.28749715090697858</v>
      </c>
      <c r="G85" s="910">
        <v>0.28749715090697858</v>
      </c>
      <c r="H85" s="910">
        <v>0.28749715090697858</v>
      </c>
      <c r="I85" s="910">
        <v>0.28749715090697858</v>
      </c>
      <c r="J85" s="910">
        <v>0.28749715090697858</v>
      </c>
      <c r="K85" s="910">
        <v>0.28749715090697858</v>
      </c>
      <c r="L85" s="910">
        <v>0.28749715090697858</v>
      </c>
      <c r="M85" s="910">
        <v>0.28749715090697858</v>
      </c>
      <c r="N85" s="910">
        <v>0.28749715090697858</v>
      </c>
      <c r="O85" s="910">
        <v>0.28749715090697858</v>
      </c>
      <c r="P85" s="910">
        <v>0.28749715090697858</v>
      </c>
      <c r="Q85" s="910">
        <v>0.28749715090697858</v>
      </c>
      <c r="R85" s="910">
        <v>0.28749715090697858</v>
      </c>
      <c r="S85" s="910">
        <v>0.28749715090697858</v>
      </c>
      <c r="T85" s="910">
        <v>0.28749715090697858</v>
      </c>
      <c r="U85" s="910">
        <v>0.28749715090697858</v>
      </c>
      <c r="V85" s="910">
        <v>0.28749715090697858</v>
      </c>
      <c r="W85" s="910">
        <v>0.28749715090697858</v>
      </c>
      <c r="X85" s="910">
        <v>0.28749715090697858</v>
      </c>
      <c r="Y85" s="910">
        <v>0.28749715090697858</v>
      </c>
      <c r="Z85" s="910">
        <v>0.28749715090697858</v>
      </c>
      <c r="AA85" s="910">
        <v>0.28749715090697858</v>
      </c>
      <c r="AB85" s="910">
        <v>0.28749715090697858</v>
      </c>
      <c r="AC85" s="910">
        <v>0.28749715090697858</v>
      </c>
      <c r="AD85" s="910">
        <v>0.28749715090697858</v>
      </c>
      <c r="AE85" s="910">
        <v>0.28749715090697858</v>
      </c>
      <c r="AF85" s="910">
        <v>0.28749715090697858</v>
      </c>
      <c r="AG85" s="910">
        <v>0.28749715090697858</v>
      </c>
      <c r="AH85" s="910">
        <v>0.28749715090697858</v>
      </c>
      <c r="AI85" s="910">
        <v>0.28749715090697858</v>
      </c>
      <c r="AJ85" s="910">
        <v>0.28749715090697858</v>
      </c>
      <c r="AK85" s="910">
        <v>0.28749715090697858</v>
      </c>
      <c r="AL85" s="910">
        <v>0.28749715090697858</v>
      </c>
      <c r="AM85" s="910">
        <v>0.28749715090697858</v>
      </c>
      <c r="AN85" s="910">
        <v>0.28749715090697858</v>
      </c>
      <c r="AO85" s="910">
        <v>0.28749715090697858</v>
      </c>
      <c r="AP85" s="910">
        <v>0.28749715090697858</v>
      </c>
      <c r="AQ85" s="910">
        <v>0.28749715090697858</v>
      </c>
      <c r="AR85" s="910">
        <v>0.28749715090697858</v>
      </c>
      <c r="AS85" s="910">
        <v>0.28749715090697858</v>
      </c>
      <c r="AT85" s="910">
        <v>0.28749715090697858</v>
      </c>
      <c r="AU85" s="910">
        <v>0.28749715090697858</v>
      </c>
      <c r="AV85" s="910">
        <v>0.28749715090697858</v>
      </c>
      <c r="AW85" s="910">
        <v>0.28749715090697858</v>
      </c>
      <c r="AX85" s="910">
        <v>0.28749715090697858</v>
      </c>
      <c r="AY85" s="910">
        <v>0.28749715090697858</v>
      </c>
      <c r="AZ85" s="910">
        <v>0.28749715090697858</v>
      </c>
      <c r="BA85" s="910">
        <v>0.28749715090697858</v>
      </c>
      <c r="BB85" s="910">
        <v>0.28749715090697858</v>
      </c>
      <c r="BC85" s="910">
        <v>0.28749715090697858</v>
      </c>
      <c r="BD85" s="910">
        <v>0.28749715090697858</v>
      </c>
      <c r="BE85" s="910">
        <v>0.28749715090697858</v>
      </c>
      <c r="BF85" s="910">
        <v>0.28749715090697858</v>
      </c>
      <c r="BG85" s="910">
        <v>0.28749715090697858</v>
      </c>
      <c r="BH85" s="910">
        <v>0.28749715090697858</v>
      </c>
      <c r="BI85" s="910">
        <v>0.28749715090697858</v>
      </c>
      <c r="BJ85" s="910">
        <v>0.28749715090697858</v>
      </c>
      <c r="BK85" s="910">
        <v>0.28749715090697858</v>
      </c>
      <c r="BL85" s="910">
        <v>0.28749715090697858</v>
      </c>
      <c r="BM85" s="910">
        <v>0.28749715090697858</v>
      </c>
      <c r="BN85" s="910">
        <v>0.28749715090697858</v>
      </c>
      <c r="BO85" s="910">
        <v>0.28749715090697858</v>
      </c>
      <c r="BP85" s="910">
        <v>0.28749715090697858</v>
      </c>
      <c r="BQ85" s="910">
        <v>0.28749715090697858</v>
      </c>
      <c r="BR85" s="910">
        <v>0.28749715090697858</v>
      </c>
      <c r="BS85" s="910">
        <v>0.28749715090697858</v>
      </c>
      <c r="BT85" s="910">
        <v>0.28749715090697858</v>
      </c>
      <c r="BU85" s="910">
        <v>0.28749715090697858</v>
      </c>
      <c r="BV85" s="910">
        <v>0.28749715090697858</v>
      </c>
      <c r="BW85" s="910">
        <v>0.28749715090697858</v>
      </c>
      <c r="BX85" s="910">
        <v>0.28749715090697858</v>
      </c>
      <c r="BY85" s="910">
        <v>0.28749715090697858</v>
      </c>
      <c r="BZ85" s="910">
        <v>0.28749715090697858</v>
      </c>
      <c r="CA85" s="910">
        <v>0.28749715090697858</v>
      </c>
      <c r="CB85" s="910">
        <v>0.28749715090697858</v>
      </c>
      <c r="CC85" s="910">
        <v>0.28749715090697858</v>
      </c>
      <c r="CD85" s="910">
        <v>0.28749715090697858</v>
      </c>
      <c r="CE85" s="910">
        <v>0.28749715090697858</v>
      </c>
      <c r="CF85" s="911">
        <v>0.28749715090697858</v>
      </c>
    </row>
    <row r="86" spans="1:84">
      <c r="A86" s="876"/>
      <c r="B86" s="890" t="s">
        <v>846</v>
      </c>
      <c r="C86" s="919" t="s">
        <v>843</v>
      </c>
      <c r="D86" s="920">
        <v>8.1000000000000003E-2</v>
      </c>
      <c r="E86" s="921">
        <v>8.1000000000000003E-2</v>
      </c>
      <c r="F86" s="921">
        <v>8.1000000000000003E-2</v>
      </c>
      <c r="G86" s="921">
        <v>8.1000000000000003E-2</v>
      </c>
      <c r="H86" s="921">
        <v>8.1000000000000003E-2</v>
      </c>
      <c r="I86" s="921">
        <v>8.1000000000000003E-2</v>
      </c>
      <c r="J86" s="921">
        <v>8.1000000000000003E-2</v>
      </c>
      <c r="K86" s="921">
        <v>8.1000000000000003E-2</v>
      </c>
      <c r="L86" s="921">
        <v>8.1000000000000003E-2</v>
      </c>
      <c r="M86" s="921">
        <v>8.1000000000000003E-2</v>
      </c>
      <c r="N86" s="921">
        <v>8.1000000000000003E-2</v>
      </c>
      <c r="O86" s="921">
        <v>8.1000000000000003E-2</v>
      </c>
      <c r="P86" s="921">
        <v>8.1000000000000003E-2</v>
      </c>
      <c r="Q86" s="921">
        <v>8.1000000000000003E-2</v>
      </c>
      <c r="R86" s="921">
        <v>8.1000000000000003E-2</v>
      </c>
      <c r="S86" s="921">
        <v>8.1000000000000003E-2</v>
      </c>
      <c r="T86" s="921">
        <v>8.1000000000000003E-2</v>
      </c>
      <c r="U86" s="921">
        <v>8.1000000000000003E-2</v>
      </c>
      <c r="V86" s="921">
        <v>8.1000000000000003E-2</v>
      </c>
      <c r="W86" s="921">
        <v>8.1000000000000003E-2</v>
      </c>
      <c r="X86" s="921">
        <v>8.1000000000000003E-2</v>
      </c>
      <c r="Y86" s="921">
        <v>8.1000000000000003E-2</v>
      </c>
      <c r="Z86" s="921">
        <v>8.1000000000000003E-2</v>
      </c>
      <c r="AA86" s="921">
        <v>8.1000000000000003E-2</v>
      </c>
      <c r="AB86" s="921">
        <v>8.1000000000000003E-2</v>
      </c>
      <c r="AC86" s="921">
        <v>8.1000000000000003E-2</v>
      </c>
      <c r="AD86" s="921">
        <v>8.1000000000000003E-2</v>
      </c>
      <c r="AE86" s="921">
        <v>8.1000000000000003E-2</v>
      </c>
      <c r="AF86" s="921">
        <v>8.1000000000000003E-2</v>
      </c>
      <c r="AG86" s="921">
        <v>8.1000000000000003E-2</v>
      </c>
      <c r="AH86" s="921">
        <v>8.1000000000000003E-2</v>
      </c>
      <c r="AI86" s="921">
        <v>8.1000000000000003E-2</v>
      </c>
      <c r="AJ86" s="921">
        <v>8.1000000000000003E-2</v>
      </c>
      <c r="AK86" s="921">
        <v>8.1000000000000003E-2</v>
      </c>
      <c r="AL86" s="921">
        <v>8.1000000000000003E-2</v>
      </c>
      <c r="AM86" s="921">
        <v>8.1000000000000003E-2</v>
      </c>
      <c r="AN86" s="921">
        <v>8.1000000000000003E-2</v>
      </c>
      <c r="AO86" s="921">
        <v>8.1000000000000003E-2</v>
      </c>
      <c r="AP86" s="921">
        <v>8.1000000000000003E-2</v>
      </c>
      <c r="AQ86" s="921">
        <v>8.1000000000000003E-2</v>
      </c>
      <c r="AR86" s="921">
        <v>8.1000000000000003E-2</v>
      </c>
      <c r="AS86" s="921">
        <v>8.1000000000000003E-2</v>
      </c>
      <c r="AT86" s="921">
        <v>8.1000000000000003E-2</v>
      </c>
      <c r="AU86" s="921">
        <v>8.1000000000000003E-2</v>
      </c>
      <c r="AV86" s="921">
        <v>8.1000000000000003E-2</v>
      </c>
      <c r="AW86" s="921">
        <v>8.1000000000000003E-2</v>
      </c>
      <c r="AX86" s="921">
        <v>8.1000000000000003E-2</v>
      </c>
      <c r="AY86" s="921">
        <v>8.1000000000000003E-2</v>
      </c>
      <c r="AZ86" s="921">
        <v>8.1000000000000003E-2</v>
      </c>
      <c r="BA86" s="921">
        <v>8.1000000000000003E-2</v>
      </c>
      <c r="BB86" s="921">
        <v>8.1000000000000003E-2</v>
      </c>
      <c r="BC86" s="921">
        <v>8.1000000000000003E-2</v>
      </c>
      <c r="BD86" s="921">
        <v>8.1000000000000003E-2</v>
      </c>
      <c r="BE86" s="921">
        <v>8.1000000000000003E-2</v>
      </c>
      <c r="BF86" s="921">
        <v>8.1000000000000003E-2</v>
      </c>
      <c r="BG86" s="921">
        <v>8.1000000000000003E-2</v>
      </c>
      <c r="BH86" s="921">
        <v>8.1000000000000003E-2</v>
      </c>
      <c r="BI86" s="921">
        <v>8.1000000000000003E-2</v>
      </c>
      <c r="BJ86" s="921">
        <v>8.1000000000000003E-2</v>
      </c>
      <c r="BK86" s="921">
        <v>8.1000000000000003E-2</v>
      </c>
      <c r="BL86" s="921">
        <v>8.1000000000000003E-2</v>
      </c>
      <c r="BM86" s="921">
        <v>8.1000000000000003E-2</v>
      </c>
      <c r="BN86" s="921">
        <v>8.1000000000000003E-2</v>
      </c>
      <c r="BO86" s="921">
        <v>8.1000000000000003E-2</v>
      </c>
      <c r="BP86" s="921">
        <v>8.1000000000000003E-2</v>
      </c>
      <c r="BQ86" s="921">
        <v>8.1000000000000003E-2</v>
      </c>
      <c r="BR86" s="921">
        <v>8.1000000000000003E-2</v>
      </c>
      <c r="BS86" s="921">
        <v>8.1000000000000003E-2</v>
      </c>
      <c r="BT86" s="921">
        <v>8.1000000000000003E-2</v>
      </c>
      <c r="BU86" s="921">
        <v>8.1000000000000003E-2</v>
      </c>
      <c r="BV86" s="921">
        <v>8.1000000000000003E-2</v>
      </c>
      <c r="BW86" s="921">
        <v>8.1000000000000003E-2</v>
      </c>
      <c r="BX86" s="921">
        <v>8.1000000000000003E-2</v>
      </c>
      <c r="BY86" s="921">
        <v>8.1000000000000003E-2</v>
      </c>
      <c r="BZ86" s="921">
        <v>8.1000000000000003E-2</v>
      </c>
      <c r="CA86" s="921">
        <v>8.1000000000000003E-2</v>
      </c>
      <c r="CB86" s="921">
        <v>8.1000000000000003E-2</v>
      </c>
      <c r="CC86" s="921">
        <v>8.1000000000000003E-2</v>
      </c>
      <c r="CD86" s="921">
        <v>8.1000000000000003E-2</v>
      </c>
      <c r="CE86" s="921">
        <v>8.1000000000000003E-2</v>
      </c>
      <c r="CF86" s="922">
        <v>8.1000000000000003E-2</v>
      </c>
    </row>
    <row r="87" spans="1:84">
      <c r="A87" s="876"/>
      <c r="B87" s="884" t="str">
        <f>CONCATENATE("Drivmiddel (", $D$122,"-priser)")</f>
        <v>Drivmiddel (-priser)</v>
      </c>
      <c r="C87" s="909" t="s">
        <v>847</v>
      </c>
      <c r="D87" s="917" t="e">
        <f t="shared" ref="D87" si="891">D6/#REF!*#REF!</f>
        <v>#REF!</v>
      </c>
      <c r="E87" s="917" t="e">
        <f t="shared" ref="E87" si="892">E6/#REF!*#REF!</f>
        <v>#REF!</v>
      </c>
      <c r="F87" s="917" t="e">
        <f t="shared" ref="F87" si="893">F6/#REF!*#REF!</f>
        <v>#REF!</v>
      </c>
      <c r="G87" s="917" t="e">
        <f t="shared" ref="G87" si="894">G6/#REF!*#REF!</f>
        <v>#REF!</v>
      </c>
      <c r="H87" s="917" t="e">
        <f t="shared" ref="H87" si="895">H6/#REF!*#REF!</f>
        <v>#REF!</v>
      </c>
      <c r="I87" s="917" t="e">
        <f t="shared" ref="I87" si="896">I6/#REF!*#REF!</f>
        <v>#REF!</v>
      </c>
      <c r="J87" s="917" t="e">
        <f t="shared" ref="J87" si="897">J6/#REF!*#REF!</f>
        <v>#REF!</v>
      </c>
      <c r="K87" s="917" t="e">
        <f t="shared" ref="K87" si="898">K6/#REF!*#REF!</f>
        <v>#REF!</v>
      </c>
      <c r="L87" s="917" t="e">
        <f t="shared" ref="L87" si="899">L6/#REF!*#REF!</f>
        <v>#REF!</v>
      </c>
      <c r="M87" s="917" t="e">
        <f t="shared" ref="M87" si="900">M6/#REF!*#REF!</f>
        <v>#REF!</v>
      </c>
      <c r="N87" s="917" t="e">
        <f t="shared" ref="N87" si="901">N6/#REF!*#REF!</f>
        <v>#REF!</v>
      </c>
      <c r="O87" s="917" t="e">
        <f t="shared" ref="O87" si="902">O6/#REF!*#REF!</f>
        <v>#REF!</v>
      </c>
      <c r="P87" s="917" t="e">
        <f t="shared" ref="P87" si="903">P6/#REF!*#REF!</f>
        <v>#REF!</v>
      </c>
      <c r="Q87" s="917" t="e">
        <f t="shared" ref="Q87" si="904">Q6/#REF!*#REF!</f>
        <v>#REF!</v>
      </c>
      <c r="R87" s="917" t="e">
        <f t="shared" ref="R87" si="905">R6/#REF!*#REF!</f>
        <v>#REF!</v>
      </c>
      <c r="S87" s="917" t="e">
        <f t="shared" ref="S87" si="906">S6/#REF!*#REF!</f>
        <v>#REF!</v>
      </c>
      <c r="T87" s="917" t="e">
        <f t="shared" ref="T87" si="907">T6/#REF!*#REF!</f>
        <v>#REF!</v>
      </c>
      <c r="U87" s="917" t="e">
        <f t="shared" ref="U87" si="908">U6/#REF!*#REF!</f>
        <v>#REF!</v>
      </c>
      <c r="V87" s="917" t="e">
        <f t="shared" ref="V87" si="909">V6/#REF!*#REF!</f>
        <v>#REF!</v>
      </c>
      <c r="W87" s="917" t="e">
        <f t="shared" ref="W87" si="910">W6/#REF!*#REF!</f>
        <v>#REF!</v>
      </c>
      <c r="X87" s="917" t="e">
        <f t="shared" ref="X87" si="911">X6/#REF!*#REF!</f>
        <v>#REF!</v>
      </c>
      <c r="Y87" s="917" t="e">
        <f t="shared" ref="Y87" si="912">Y6/#REF!*#REF!</f>
        <v>#REF!</v>
      </c>
      <c r="Z87" s="917" t="e">
        <f t="shared" ref="Z87" si="913">Z6/#REF!*#REF!</f>
        <v>#REF!</v>
      </c>
      <c r="AA87" s="917" t="e">
        <f t="shared" ref="AA87" si="914">AA6/#REF!*#REF!</f>
        <v>#REF!</v>
      </c>
      <c r="AB87" s="917" t="e">
        <f t="shared" ref="AB87" si="915">AB6/#REF!*#REF!</f>
        <v>#REF!</v>
      </c>
      <c r="AC87" s="917" t="e">
        <f t="shared" ref="AC87" si="916">AC6/#REF!*#REF!</f>
        <v>#REF!</v>
      </c>
      <c r="AD87" s="917" t="e">
        <f t="shared" ref="AD87" si="917">AD6/#REF!*#REF!</f>
        <v>#REF!</v>
      </c>
      <c r="AE87" s="917" t="e">
        <f t="shared" ref="AE87" si="918">AE6/#REF!*#REF!</f>
        <v>#REF!</v>
      </c>
      <c r="AF87" s="917" t="e">
        <f t="shared" ref="AF87" si="919">AF6/#REF!*#REF!</f>
        <v>#REF!</v>
      </c>
      <c r="AG87" s="917" t="e">
        <f t="shared" ref="AG87" si="920">AG6/#REF!*#REF!</f>
        <v>#REF!</v>
      </c>
      <c r="AH87" s="917" t="e">
        <f t="shared" ref="AH87" si="921">AH6/#REF!*#REF!</f>
        <v>#REF!</v>
      </c>
      <c r="AI87" s="917" t="e">
        <f t="shared" ref="AI87" si="922">AI6/#REF!*#REF!</f>
        <v>#REF!</v>
      </c>
      <c r="AJ87" s="917" t="e">
        <f t="shared" ref="AJ87" si="923">AJ6/#REF!*#REF!</f>
        <v>#REF!</v>
      </c>
      <c r="AK87" s="917" t="e">
        <f t="shared" ref="AK87" si="924">AK6/#REF!*#REF!</f>
        <v>#REF!</v>
      </c>
      <c r="AL87" s="917" t="e">
        <f t="shared" ref="AL87" si="925">AL6/#REF!*#REF!</f>
        <v>#REF!</v>
      </c>
      <c r="AM87" s="917" t="e">
        <f t="shared" ref="AM87" si="926">AM6/#REF!*#REF!</f>
        <v>#REF!</v>
      </c>
      <c r="AN87" s="917" t="e">
        <f t="shared" ref="AN87" si="927">AN6/#REF!*#REF!</f>
        <v>#REF!</v>
      </c>
      <c r="AO87" s="917" t="e">
        <f t="shared" ref="AO87" si="928">AO6/#REF!*#REF!</f>
        <v>#REF!</v>
      </c>
      <c r="AP87" s="917" t="e">
        <f t="shared" ref="AP87" si="929">AP6/#REF!*#REF!</f>
        <v>#REF!</v>
      </c>
      <c r="AQ87" s="917" t="e">
        <f t="shared" ref="AQ87" si="930">AQ6/#REF!*#REF!</f>
        <v>#REF!</v>
      </c>
      <c r="AR87" s="917" t="e">
        <f t="shared" ref="AR87" si="931">AR6/#REF!*#REF!</f>
        <v>#REF!</v>
      </c>
      <c r="AS87" s="917" t="e">
        <f t="shared" ref="AS87" si="932">AS6/#REF!*#REF!</f>
        <v>#REF!</v>
      </c>
      <c r="AT87" s="917" t="e">
        <f t="shared" ref="AT87" si="933">AT6/#REF!*#REF!</f>
        <v>#REF!</v>
      </c>
      <c r="AU87" s="917" t="e">
        <f t="shared" ref="AU87" si="934">AU6/#REF!*#REF!</f>
        <v>#REF!</v>
      </c>
      <c r="AV87" s="917" t="e">
        <f t="shared" ref="AV87" si="935">AV6/#REF!*#REF!</f>
        <v>#REF!</v>
      </c>
      <c r="AW87" s="917" t="e">
        <f t="shared" ref="AW87" si="936">AW6/#REF!*#REF!</f>
        <v>#REF!</v>
      </c>
      <c r="AX87" s="917" t="e">
        <f t="shared" ref="AX87" si="937">AX6/#REF!*#REF!</f>
        <v>#REF!</v>
      </c>
      <c r="AY87" s="917" t="e">
        <f t="shared" ref="AY87" si="938">AY6/#REF!*#REF!</f>
        <v>#REF!</v>
      </c>
      <c r="AZ87" s="917" t="e">
        <f t="shared" ref="AZ87" si="939">AZ6/#REF!*#REF!</f>
        <v>#REF!</v>
      </c>
      <c r="BA87" s="917" t="e">
        <f t="shared" ref="BA87" si="940">BA6/#REF!*#REF!</f>
        <v>#REF!</v>
      </c>
      <c r="BB87" s="917" t="e">
        <f t="shared" ref="BB87" si="941">BB6/#REF!*#REF!</f>
        <v>#REF!</v>
      </c>
      <c r="BC87" s="917" t="e">
        <f t="shared" ref="BC87" si="942">BC6/#REF!*#REF!</f>
        <v>#REF!</v>
      </c>
      <c r="BD87" s="917" t="e">
        <f t="shared" ref="BD87" si="943">BD6/#REF!*#REF!</f>
        <v>#REF!</v>
      </c>
      <c r="BE87" s="917" t="e">
        <f t="shared" ref="BE87" si="944">BE6/#REF!*#REF!</f>
        <v>#REF!</v>
      </c>
      <c r="BF87" s="917" t="e">
        <f t="shared" ref="BF87" si="945">BF6/#REF!*#REF!</f>
        <v>#REF!</v>
      </c>
      <c r="BG87" s="917" t="e">
        <f t="shared" ref="BG87" si="946">BG6/#REF!*#REF!</f>
        <v>#REF!</v>
      </c>
      <c r="BH87" s="917" t="e">
        <f t="shared" ref="BH87" si="947">BH6/#REF!*#REF!</f>
        <v>#REF!</v>
      </c>
      <c r="BI87" s="917" t="e">
        <f t="shared" ref="BI87" si="948">BI6/#REF!*#REF!</f>
        <v>#REF!</v>
      </c>
      <c r="BJ87" s="917" t="e">
        <f t="shared" ref="BJ87" si="949">BJ6/#REF!*#REF!</f>
        <v>#REF!</v>
      </c>
      <c r="BK87" s="917" t="e">
        <f t="shared" ref="BK87" si="950">BK6/#REF!*#REF!</f>
        <v>#REF!</v>
      </c>
      <c r="BL87" s="917" t="e">
        <f t="shared" ref="BL87" si="951">BL6/#REF!*#REF!</f>
        <v>#REF!</v>
      </c>
      <c r="BM87" s="917" t="e">
        <f t="shared" ref="BM87" si="952">BM6/#REF!*#REF!</f>
        <v>#REF!</v>
      </c>
      <c r="BN87" s="917" t="e">
        <f t="shared" ref="BN87" si="953">BN6/#REF!*#REF!</f>
        <v>#REF!</v>
      </c>
      <c r="BO87" s="917" t="e">
        <f t="shared" ref="BO87" si="954">BO6/#REF!*#REF!</f>
        <v>#REF!</v>
      </c>
      <c r="BP87" s="917" t="e">
        <f t="shared" ref="BP87" si="955">BP6/#REF!*#REF!</f>
        <v>#REF!</v>
      </c>
      <c r="BQ87" s="917" t="e">
        <f t="shared" ref="BQ87" si="956">BQ6/#REF!*#REF!</f>
        <v>#REF!</v>
      </c>
      <c r="BR87" s="917" t="e">
        <f t="shared" ref="BR87" si="957">BR6/#REF!*#REF!</f>
        <v>#REF!</v>
      </c>
      <c r="BS87" s="917" t="e">
        <f t="shared" ref="BS87" si="958">BS6/#REF!*#REF!</f>
        <v>#REF!</v>
      </c>
      <c r="BT87" s="917" t="e">
        <f t="shared" ref="BT87" si="959">BT6/#REF!*#REF!</f>
        <v>#REF!</v>
      </c>
      <c r="BU87" s="917" t="e">
        <f t="shared" ref="BU87" si="960">BU6/#REF!*#REF!</f>
        <v>#REF!</v>
      </c>
      <c r="BV87" s="917" t="e">
        <f t="shared" ref="BV87" si="961">BV6/#REF!*#REF!</f>
        <v>#REF!</v>
      </c>
      <c r="BW87" s="917" t="e">
        <f t="shared" ref="BW87" si="962">BW6/#REF!*#REF!</f>
        <v>#REF!</v>
      </c>
      <c r="BX87" s="917" t="e">
        <f t="shared" ref="BX87" si="963">BX6/#REF!*#REF!</f>
        <v>#REF!</v>
      </c>
      <c r="BY87" s="917" t="e">
        <f t="shared" ref="BY87" si="964">BY6/#REF!*#REF!</f>
        <v>#REF!</v>
      </c>
      <c r="BZ87" s="917" t="e">
        <f t="shared" ref="BZ87" si="965">BZ6/#REF!*#REF!</f>
        <v>#REF!</v>
      </c>
      <c r="CA87" s="917" t="e">
        <f t="shared" ref="CA87" si="966">CA6/#REF!*#REF!</f>
        <v>#REF!</v>
      </c>
      <c r="CB87" s="917" t="e">
        <f t="shared" ref="CB87" si="967">CB6/#REF!*#REF!</f>
        <v>#REF!</v>
      </c>
      <c r="CC87" s="917" t="e">
        <f t="shared" ref="CC87" si="968">CC6/#REF!*#REF!</f>
        <v>#REF!</v>
      </c>
      <c r="CD87" s="917" t="e">
        <f t="shared" ref="CD87" si="969">CD6/#REF!*#REF!</f>
        <v>#REF!</v>
      </c>
      <c r="CE87" s="917" t="e">
        <f t="shared" ref="CE87" si="970">CE6/#REF!*#REF!</f>
        <v>#REF!</v>
      </c>
      <c r="CF87" s="918" t="e">
        <f t="shared" ref="CF87" si="971">CF6/#REF!*#REF!</f>
        <v>#REF!</v>
      </c>
    </row>
    <row r="88" spans="1:84">
      <c r="A88" s="876"/>
      <c r="B88" s="884" t="s">
        <v>150</v>
      </c>
      <c r="C88" s="909" t="s">
        <v>847</v>
      </c>
      <c r="D88" s="910">
        <v>2.9487983411230705E-2</v>
      </c>
      <c r="E88" s="910">
        <v>2.9487983411230705E-2</v>
      </c>
      <c r="F88" s="910">
        <v>2.9487983411230705E-2</v>
      </c>
      <c r="G88" s="910">
        <v>2.9487983411230705E-2</v>
      </c>
      <c r="H88" s="910">
        <v>2.9487983411230705E-2</v>
      </c>
      <c r="I88" s="910">
        <v>2.9487983411230705E-2</v>
      </c>
      <c r="J88" s="910">
        <v>2.9487983411230705E-2</v>
      </c>
      <c r="K88" s="910">
        <v>2.9487983411230705E-2</v>
      </c>
      <c r="L88" s="910">
        <v>2.9487983411230705E-2</v>
      </c>
      <c r="M88" s="910">
        <v>2.9487983411230705E-2</v>
      </c>
      <c r="N88" s="910">
        <v>2.9487983411230705E-2</v>
      </c>
      <c r="O88" s="910">
        <v>2.9487983411230705E-2</v>
      </c>
      <c r="P88" s="910">
        <v>2.9487983411230705E-2</v>
      </c>
      <c r="Q88" s="910">
        <v>2.9487983411230705E-2</v>
      </c>
      <c r="R88" s="910">
        <v>2.9487983411230705E-2</v>
      </c>
      <c r="S88" s="910">
        <v>2.9487983411230705E-2</v>
      </c>
      <c r="T88" s="910">
        <v>2.9487983411230705E-2</v>
      </c>
      <c r="U88" s="910">
        <v>2.9487983411230705E-2</v>
      </c>
      <c r="V88" s="910">
        <v>2.9487983411230705E-2</v>
      </c>
      <c r="W88" s="910">
        <v>2.9487983411230705E-2</v>
      </c>
      <c r="X88" s="910">
        <v>2.9487983411230705E-2</v>
      </c>
      <c r="Y88" s="910">
        <v>2.9487983411230705E-2</v>
      </c>
      <c r="Z88" s="910">
        <v>2.9487983411230705E-2</v>
      </c>
      <c r="AA88" s="910">
        <v>2.9487983411230705E-2</v>
      </c>
      <c r="AB88" s="910">
        <v>2.9487983411230705E-2</v>
      </c>
      <c r="AC88" s="910">
        <v>2.9487983411230705E-2</v>
      </c>
      <c r="AD88" s="910">
        <v>2.9487983411230705E-2</v>
      </c>
      <c r="AE88" s="910">
        <v>2.9487983411230705E-2</v>
      </c>
      <c r="AF88" s="910">
        <v>2.9487983411230705E-2</v>
      </c>
      <c r="AG88" s="910">
        <v>2.9487983411230705E-2</v>
      </c>
      <c r="AH88" s="910">
        <v>2.9487983411230705E-2</v>
      </c>
      <c r="AI88" s="910">
        <v>2.9487983411230705E-2</v>
      </c>
      <c r="AJ88" s="910">
        <v>2.9487983411230705E-2</v>
      </c>
      <c r="AK88" s="910">
        <v>2.9487983411230705E-2</v>
      </c>
      <c r="AL88" s="910">
        <v>2.9487983411230705E-2</v>
      </c>
      <c r="AM88" s="910">
        <v>2.9487983411230705E-2</v>
      </c>
      <c r="AN88" s="910">
        <v>2.9487983411230705E-2</v>
      </c>
      <c r="AO88" s="910">
        <v>2.9487983411230705E-2</v>
      </c>
      <c r="AP88" s="910">
        <v>2.9487983411230705E-2</v>
      </c>
      <c r="AQ88" s="910">
        <v>2.9487983411230705E-2</v>
      </c>
      <c r="AR88" s="910">
        <v>2.9487983411230705E-2</v>
      </c>
      <c r="AS88" s="910">
        <v>2.9487983411230705E-2</v>
      </c>
      <c r="AT88" s="910">
        <v>2.9487983411230705E-2</v>
      </c>
      <c r="AU88" s="910">
        <v>2.9487983411230705E-2</v>
      </c>
      <c r="AV88" s="910">
        <v>2.9487983411230705E-2</v>
      </c>
      <c r="AW88" s="910">
        <v>2.9487983411230705E-2</v>
      </c>
      <c r="AX88" s="910">
        <v>2.9487983411230705E-2</v>
      </c>
      <c r="AY88" s="910">
        <v>2.9487983411230705E-2</v>
      </c>
      <c r="AZ88" s="910">
        <v>2.9487983411230705E-2</v>
      </c>
      <c r="BA88" s="910">
        <v>2.9487983411230705E-2</v>
      </c>
      <c r="BB88" s="910">
        <v>2.9487983411230705E-2</v>
      </c>
      <c r="BC88" s="910">
        <v>2.9487983411230705E-2</v>
      </c>
      <c r="BD88" s="910">
        <v>2.9487983411230705E-2</v>
      </c>
      <c r="BE88" s="910">
        <v>2.9487983411230705E-2</v>
      </c>
      <c r="BF88" s="910">
        <v>2.9487983411230705E-2</v>
      </c>
      <c r="BG88" s="910">
        <v>2.9487983411230705E-2</v>
      </c>
      <c r="BH88" s="910">
        <v>2.9487983411230705E-2</v>
      </c>
      <c r="BI88" s="910">
        <v>2.9487983411230705E-2</v>
      </c>
      <c r="BJ88" s="910">
        <v>2.9487983411230705E-2</v>
      </c>
      <c r="BK88" s="910">
        <v>2.9487983411230705E-2</v>
      </c>
      <c r="BL88" s="910">
        <v>2.9487983411230705E-2</v>
      </c>
      <c r="BM88" s="910">
        <v>2.9487983411230705E-2</v>
      </c>
      <c r="BN88" s="910">
        <v>2.9487983411230705E-2</v>
      </c>
      <c r="BO88" s="910">
        <v>2.9487983411230705E-2</v>
      </c>
      <c r="BP88" s="910">
        <v>2.9487983411230705E-2</v>
      </c>
      <c r="BQ88" s="910">
        <v>2.9487983411230705E-2</v>
      </c>
      <c r="BR88" s="910">
        <v>2.9487983411230705E-2</v>
      </c>
      <c r="BS88" s="910">
        <v>2.9487983411230705E-2</v>
      </c>
      <c r="BT88" s="910">
        <v>2.9487983411230705E-2</v>
      </c>
      <c r="BU88" s="910">
        <v>2.9487983411230705E-2</v>
      </c>
      <c r="BV88" s="910">
        <v>2.9487983411230705E-2</v>
      </c>
      <c r="BW88" s="910">
        <v>2.9487983411230705E-2</v>
      </c>
      <c r="BX88" s="910">
        <v>2.9487983411230705E-2</v>
      </c>
      <c r="BY88" s="910">
        <v>2.9487983411230705E-2</v>
      </c>
      <c r="BZ88" s="910">
        <v>2.9487983411230705E-2</v>
      </c>
      <c r="CA88" s="910">
        <v>2.9487983411230705E-2</v>
      </c>
      <c r="CB88" s="910">
        <v>2.9487983411230705E-2</v>
      </c>
      <c r="CC88" s="910">
        <v>2.9487983411230705E-2</v>
      </c>
      <c r="CD88" s="910">
        <v>2.9487983411230705E-2</v>
      </c>
      <c r="CE88" s="910">
        <v>2.9487983411230705E-2</v>
      </c>
      <c r="CF88" s="911">
        <v>2.9487983411230705E-2</v>
      </c>
    </row>
    <row r="89" spans="1:84">
      <c r="A89" s="876"/>
      <c r="B89" s="884" t="s">
        <v>844</v>
      </c>
      <c r="C89" s="909" t="s">
        <v>847</v>
      </c>
      <c r="D89" s="910">
        <v>9.521459029930554E-2</v>
      </c>
      <c r="E89" s="910">
        <v>9.521459029930554E-2</v>
      </c>
      <c r="F89" s="910">
        <v>9.521459029930554E-2</v>
      </c>
      <c r="G89" s="910">
        <v>9.521459029930554E-2</v>
      </c>
      <c r="H89" s="910">
        <v>9.521459029930554E-2</v>
      </c>
      <c r="I89" s="910">
        <v>9.521459029930554E-2</v>
      </c>
      <c r="J89" s="910">
        <v>9.521459029930554E-2</v>
      </c>
      <c r="K89" s="910">
        <v>9.521459029930554E-2</v>
      </c>
      <c r="L89" s="910">
        <v>9.521459029930554E-2</v>
      </c>
      <c r="M89" s="910">
        <v>9.521459029930554E-2</v>
      </c>
      <c r="N89" s="910">
        <v>9.521459029930554E-2</v>
      </c>
      <c r="O89" s="910">
        <v>9.521459029930554E-2</v>
      </c>
      <c r="P89" s="910">
        <v>9.521459029930554E-2</v>
      </c>
      <c r="Q89" s="910">
        <v>9.521459029930554E-2</v>
      </c>
      <c r="R89" s="910">
        <v>9.521459029930554E-2</v>
      </c>
      <c r="S89" s="910">
        <v>9.521459029930554E-2</v>
      </c>
      <c r="T89" s="910">
        <v>9.521459029930554E-2</v>
      </c>
      <c r="U89" s="910">
        <v>9.521459029930554E-2</v>
      </c>
      <c r="V89" s="910">
        <v>9.521459029930554E-2</v>
      </c>
      <c r="W89" s="910">
        <v>9.521459029930554E-2</v>
      </c>
      <c r="X89" s="910">
        <v>9.521459029930554E-2</v>
      </c>
      <c r="Y89" s="910">
        <v>9.521459029930554E-2</v>
      </c>
      <c r="Z89" s="910">
        <v>9.521459029930554E-2</v>
      </c>
      <c r="AA89" s="910">
        <v>9.521459029930554E-2</v>
      </c>
      <c r="AB89" s="910">
        <v>9.521459029930554E-2</v>
      </c>
      <c r="AC89" s="910">
        <v>9.521459029930554E-2</v>
      </c>
      <c r="AD89" s="910">
        <v>9.521459029930554E-2</v>
      </c>
      <c r="AE89" s="910">
        <v>9.521459029930554E-2</v>
      </c>
      <c r="AF89" s="910">
        <v>9.521459029930554E-2</v>
      </c>
      <c r="AG89" s="910">
        <v>9.521459029930554E-2</v>
      </c>
      <c r="AH89" s="910">
        <v>9.521459029930554E-2</v>
      </c>
      <c r="AI89" s="910">
        <v>9.521459029930554E-2</v>
      </c>
      <c r="AJ89" s="910">
        <v>9.521459029930554E-2</v>
      </c>
      <c r="AK89" s="910">
        <v>9.521459029930554E-2</v>
      </c>
      <c r="AL89" s="910">
        <v>9.521459029930554E-2</v>
      </c>
      <c r="AM89" s="910">
        <v>9.521459029930554E-2</v>
      </c>
      <c r="AN89" s="910">
        <v>9.521459029930554E-2</v>
      </c>
      <c r="AO89" s="910">
        <v>9.521459029930554E-2</v>
      </c>
      <c r="AP89" s="910">
        <v>9.521459029930554E-2</v>
      </c>
      <c r="AQ89" s="910">
        <v>9.521459029930554E-2</v>
      </c>
      <c r="AR89" s="910">
        <v>9.521459029930554E-2</v>
      </c>
      <c r="AS89" s="910">
        <v>9.521459029930554E-2</v>
      </c>
      <c r="AT89" s="910">
        <v>9.521459029930554E-2</v>
      </c>
      <c r="AU89" s="910">
        <v>9.521459029930554E-2</v>
      </c>
      <c r="AV89" s="910">
        <v>9.521459029930554E-2</v>
      </c>
      <c r="AW89" s="910">
        <v>9.521459029930554E-2</v>
      </c>
      <c r="AX89" s="910">
        <v>9.521459029930554E-2</v>
      </c>
      <c r="AY89" s="910">
        <v>9.521459029930554E-2</v>
      </c>
      <c r="AZ89" s="910">
        <v>9.521459029930554E-2</v>
      </c>
      <c r="BA89" s="910">
        <v>9.521459029930554E-2</v>
      </c>
      <c r="BB89" s="910">
        <v>9.521459029930554E-2</v>
      </c>
      <c r="BC89" s="910">
        <v>9.521459029930554E-2</v>
      </c>
      <c r="BD89" s="910">
        <v>9.521459029930554E-2</v>
      </c>
      <c r="BE89" s="910">
        <v>9.521459029930554E-2</v>
      </c>
      <c r="BF89" s="910">
        <v>9.521459029930554E-2</v>
      </c>
      <c r="BG89" s="910">
        <v>9.521459029930554E-2</v>
      </c>
      <c r="BH89" s="910">
        <v>9.521459029930554E-2</v>
      </c>
      <c r="BI89" s="910">
        <v>9.521459029930554E-2</v>
      </c>
      <c r="BJ89" s="910">
        <v>9.521459029930554E-2</v>
      </c>
      <c r="BK89" s="910">
        <v>9.521459029930554E-2</v>
      </c>
      <c r="BL89" s="910">
        <v>9.521459029930554E-2</v>
      </c>
      <c r="BM89" s="910">
        <v>9.521459029930554E-2</v>
      </c>
      <c r="BN89" s="910">
        <v>9.521459029930554E-2</v>
      </c>
      <c r="BO89" s="910">
        <v>9.521459029930554E-2</v>
      </c>
      <c r="BP89" s="910">
        <v>9.521459029930554E-2</v>
      </c>
      <c r="BQ89" s="910">
        <v>9.521459029930554E-2</v>
      </c>
      <c r="BR89" s="910">
        <v>9.521459029930554E-2</v>
      </c>
      <c r="BS89" s="910">
        <v>9.521459029930554E-2</v>
      </c>
      <c r="BT89" s="910">
        <v>9.521459029930554E-2</v>
      </c>
      <c r="BU89" s="910">
        <v>9.521459029930554E-2</v>
      </c>
      <c r="BV89" s="910">
        <v>9.521459029930554E-2</v>
      </c>
      <c r="BW89" s="910">
        <v>9.521459029930554E-2</v>
      </c>
      <c r="BX89" s="910">
        <v>9.521459029930554E-2</v>
      </c>
      <c r="BY89" s="910">
        <v>9.521459029930554E-2</v>
      </c>
      <c r="BZ89" s="910">
        <v>9.521459029930554E-2</v>
      </c>
      <c r="CA89" s="910">
        <v>9.521459029930554E-2</v>
      </c>
      <c r="CB89" s="910">
        <v>9.521459029930554E-2</v>
      </c>
      <c r="CC89" s="910">
        <v>9.521459029930554E-2</v>
      </c>
      <c r="CD89" s="910">
        <v>9.521459029930554E-2</v>
      </c>
      <c r="CE89" s="910">
        <v>9.521459029930554E-2</v>
      </c>
      <c r="CF89" s="911">
        <v>9.521459029930554E-2</v>
      </c>
    </row>
    <row r="90" spans="1:84">
      <c r="A90" s="876"/>
      <c r="B90" s="884" t="s">
        <v>845</v>
      </c>
      <c r="C90" s="909" t="s">
        <v>847</v>
      </c>
      <c r="D90" s="910">
        <v>0.38477862156470538</v>
      </c>
      <c r="E90" s="910">
        <v>0.38477862156470538</v>
      </c>
      <c r="F90" s="910">
        <v>0.38477862156470538</v>
      </c>
      <c r="G90" s="910">
        <v>0.38477862156470538</v>
      </c>
      <c r="H90" s="910">
        <v>0.38477862156470538</v>
      </c>
      <c r="I90" s="910">
        <v>0.38477862156470538</v>
      </c>
      <c r="J90" s="910">
        <v>0.38477862156470538</v>
      </c>
      <c r="K90" s="910">
        <v>0.38477862156470538</v>
      </c>
      <c r="L90" s="910">
        <v>0.38477862156470538</v>
      </c>
      <c r="M90" s="910">
        <v>0.38477862156470538</v>
      </c>
      <c r="N90" s="910">
        <v>0.38477862156470538</v>
      </c>
      <c r="O90" s="910">
        <v>0.38477862156470538</v>
      </c>
      <c r="P90" s="910">
        <v>0.38477862156470538</v>
      </c>
      <c r="Q90" s="910">
        <v>0.38477862156470538</v>
      </c>
      <c r="R90" s="910">
        <v>0.38477862156470538</v>
      </c>
      <c r="S90" s="910">
        <v>0.38477862156470538</v>
      </c>
      <c r="T90" s="910">
        <v>0.38477862156470538</v>
      </c>
      <c r="U90" s="910">
        <v>0.38477862156470538</v>
      </c>
      <c r="V90" s="910">
        <v>0.38477862156470538</v>
      </c>
      <c r="W90" s="910">
        <v>0.38477862156470538</v>
      </c>
      <c r="X90" s="910">
        <v>0.38477862156470538</v>
      </c>
      <c r="Y90" s="910">
        <v>0.38477862156470538</v>
      </c>
      <c r="Z90" s="910">
        <v>0.38477862156470538</v>
      </c>
      <c r="AA90" s="910">
        <v>0.38477862156470538</v>
      </c>
      <c r="AB90" s="910">
        <v>0.38477862156470538</v>
      </c>
      <c r="AC90" s="910">
        <v>0.38477862156470538</v>
      </c>
      <c r="AD90" s="910">
        <v>0.38477862156470538</v>
      </c>
      <c r="AE90" s="910">
        <v>0.38477862156470538</v>
      </c>
      <c r="AF90" s="910">
        <v>0.38477862156470538</v>
      </c>
      <c r="AG90" s="910">
        <v>0.38477862156470538</v>
      </c>
      <c r="AH90" s="910">
        <v>0.38477862156470538</v>
      </c>
      <c r="AI90" s="910">
        <v>0.38477862156470538</v>
      </c>
      <c r="AJ90" s="910">
        <v>0.38477862156470538</v>
      </c>
      <c r="AK90" s="910">
        <v>0.38477862156470538</v>
      </c>
      <c r="AL90" s="910">
        <v>0.38477862156470538</v>
      </c>
      <c r="AM90" s="910">
        <v>0.38477862156470538</v>
      </c>
      <c r="AN90" s="910">
        <v>0.38477862156470538</v>
      </c>
      <c r="AO90" s="910">
        <v>0.38477862156470538</v>
      </c>
      <c r="AP90" s="910">
        <v>0.38477862156470538</v>
      </c>
      <c r="AQ90" s="910">
        <v>0.38477862156470538</v>
      </c>
      <c r="AR90" s="910">
        <v>0.38477862156470538</v>
      </c>
      <c r="AS90" s="910">
        <v>0.38477862156470538</v>
      </c>
      <c r="AT90" s="910">
        <v>0.38477862156470538</v>
      </c>
      <c r="AU90" s="910">
        <v>0.38477862156470538</v>
      </c>
      <c r="AV90" s="910">
        <v>0.38477862156470538</v>
      </c>
      <c r="AW90" s="910">
        <v>0.38477862156470538</v>
      </c>
      <c r="AX90" s="910">
        <v>0.38477862156470538</v>
      </c>
      <c r="AY90" s="910">
        <v>0.38477862156470538</v>
      </c>
      <c r="AZ90" s="910">
        <v>0.38477862156470538</v>
      </c>
      <c r="BA90" s="910">
        <v>0.38477862156470538</v>
      </c>
      <c r="BB90" s="910">
        <v>0.38477862156470538</v>
      </c>
      <c r="BC90" s="910">
        <v>0.38477862156470538</v>
      </c>
      <c r="BD90" s="910">
        <v>0.38477862156470538</v>
      </c>
      <c r="BE90" s="910">
        <v>0.38477862156470538</v>
      </c>
      <c r="BF90" s="910">
        <v>0.38477862156470538</v>
      </c>
      <c r="BG90" s="910">
        <v>0.38477862156470538</v>
      </c>
      <c r="BH90" s="910">
        <v>0.38477862156470538</v>
      </c>
      <c r="BI90" s="910">
        <v>0.38477862156470538</v>
      </c>
      <c r="BJ90" s="910">
        <v>0.38477862156470538</v>
      </c>
      <c r="BK90" s="910">
        <v>0.38477862156470538</v>
      </c>
      <c r="BL90" s="910">
        <v>0.38477862156470538</v>
      </c>
      <c r="BM90" s="910">
        <v>0.38477862156470538</v>
      </c>
      <c r="BN90" s="910">
        <v>0.38477862156470538</v>
      </c>
      <c r="BO90" s="910">
        <v>0.38477862156470538</v>
      </c>
      <c r="BP90" s="910">
        <v>0.38477862156470538</v>
      </c>
      <c r="BQ90" s="910">
        <v>0.38477862156470538</v>
      </c>
      <c r="BR90" s="910">
        <v>0.38477862156470538</v>
      </c>
      <c r="BS90" s="910">
        <v>0.38477862156470538</v>
      </c>
      <c r="BT90" s="910">
        <v>0.38477862156470538</v>
      </c>
      <c r="BU90" s="910">
        <v>0.38477862156470538</v>
      </c>
      <c r="BV90" s="910">
        <v>0.38477862156470538</v>
      </c>
      <c r="BW90" s="910">
        <v>0.38477862156470538</v>
      </c>
      <c r="BX90" s="910">
        <v>0.38477862156470538</v>
      </c>
      <c r="BY90" s="910">
        <v>0.38477862156470538</v>
      </c>
      <c r="BZ90" s="910">
        <v>0.38477862156470538</v>
      </c>
      <c r="CA90" s="910">
        <v>0.38477862156470538</v>
      </c>
      <c r="CB90" s="910">
        <v>0.38477862156470538</v>
      </c>
      <c r="CC90" s="910">
        <v>0.38477862156470538</v>
      </c>
      <c r="CD90" s="910">
        <v>0.38477862156470538</v>
      </c>
      <c r="CE90" s="910">
        <v>0.38477862156470538</v>
      </c>
      <c r="CF90" s="911">
        <v>0.38477862156470538</v>
      </c>
    </row>
    <row r="91" spans="1:84" ht="13.8" thickBot="1">
      <c r="A91" s="876"/>
      <c r="B91" s="912" t="s">
        <v>846</v>
      </c>
      <c r="C91" s="913" t="s">
        <v>847</v>
      </c>
      <c r="D91" s="914">
        <v>0.17144184125704315</v>
      </c>
      <c r="E91" s="915">
        <v>0.17144184125704315</v>
      </c>
      <c r="F91" s="915">
        <v>0.17144184125704315</v>
      </c>
      <c r="G91" s="915">
        <v>0.17144184125704315</v>
      </c>
      <c r="H91" s="915">
        <v>0.17144184125704315</v>
      </c>
      <c r="I91" s="915">
        <v>0.17144184125704315</v>
      </c>
      <c r="J91" s="915">
        <v>0.17144184125704315</v>
      </c>
      <c r="K91" s="915">
        <v>0.17144184125704315</v>
      </c>
      <c r="L91" s="915">
        <v>0.17144184125704315</v>
      </c>
      <c r="M91" s="915">
        <v>0.17144184125704315</v>
      </c>
      <c r="N91" s="915">
        <v>0.17144184125704315</v>
      </c>
      <c r="O91" s="915">
        <v>0.17144184125704315</v>
      </c>
      <c r="P91" s="915">
        <v>0.17144184125704315</v>
      </c>
      <c r="Q91" s="915">
        <v>0.17144184125704315</v>
      </c>
      <c r="R91" s="915">
        <v>0.17144184125704315</v>
      </c>
      <c r="S91" s="915">
        <v>0.17144184125704315</v>
      </c>
      <c r="T91" s="915">
        <v>0.17144184125704315</v>
      </c>
      <c r="U91" s="915">
        <v>0.17144184125704315</v>
      </c>
      <c r="V91" s="915">
        <v>0.17144184125704315</v>
      </c>
      <c r="W91" s="915">
        <v>0.17144184125704315</v>
      </c>
      <c r="X91" s="915">
        <v>0.17144184125704315</v>
      </c>
      <c r="Y91" s="915">
        <v>0.17144184125704315</v>
      </c>
      <c r="Z91" s="915">
        <v>0.17144184125704315</v>
      </c>
      <c r="AA91" s="915">
        <v>0.17144184125704315</v>
      </c>
      <c r="AB91" s="915">
        <v>0.17144184125704315</v>
      </c>
      <c r="AC91" s="915">
        <v>0.17144184125704315</v>
      </c>
      <c r="AD91" s="915">
        <v>0.17144184125704315</v>
      </c>
      <c r="AE91" s="915">
        <v>0.17144184125704315</v>
      </c>
      <c r="AF91" s="915">
        <v>0.17144184125704315</v>
      </c>
      <c r="AG91" s="915">
        <v>0.17144184125704315</v>
      </c>
      <c r="AH91" s="915">
        <v>0.17144184125704315</v>
      </c>
      <c r="AI91" s="915">
        <v>0.17144184125704315</v>
      </c>
      <c r="AJ91" s="915">
        <v>0.17144184125704315</v>
      </c>
      <c r="AK91" s="915">
        <v>0.17144184125704315</v>
      </c>
      <c r="AL91" s="915">
        <v>0.17144184125704315</v>
      </c>
      <c r="AM91" s="915">
        <v>0.17144184125704315</v>
      </c>
      <c r="AN91" s="915">
        <v>0.17144184125704315</v>
      </c>
      <c r="AO91" s="915">
        <v>0.17144184125704315</v>
      </c>
      <c r="AP91" s="915">
        <v>0.17144184125704315</v>
      </c>
      <c r="AQ91" s="915">
        <v>0.17144184125704315</v>
      </c>
      <c r="AR91" s="915">
        <v>0.17144184125704315</v>
      </c>
      <c r="AS91" s="915">
        <v>0.17144184125704315</v>
      </c>
      <c r="AT91" s="915">
        <v>0.17144184125704315</v>
      </c>
      <c r="AU91" s="915">
        <v>0.17144184125704315</v>
      </c>
      <c r="AV91" s="915">
        <v>0.17144184125704315</v>
      </c>
      <c r="AW91" s="915">
        <v>0.17144184125704315</v>
      </c>
      <c r="AX91" s="915">
        <v>0.17144184125704315</v>
      </c>
      <c r="AY91" s="915">
        <v>0.17144184125704315</v>
      </c>
      <c r="AZ91" s="915">
        <v>0.17144184125704315</v>
      </c>
      <c r="BA91" s="915">
        <v>0.17144184125704315</v>
      </c>
      <c r="BB91" s="915">
        <v>0.17144184125704315</v>
      </c>
      <c r="BC91" s="915">
        <v>0.17144184125704315</v>
      </c>
      <c r="BD91" s="915">
        <v>0.17144184125704315</v>
      </c>
      <c r="BE91" s="915">
        <v>0.17144184125704315</v>
      </c>
      <c r="BF91" s="915">
        <v>0.17144184125704315</v>
      </c>
      <c r="BG91" s="915">
        <v>0.17144184125704315</v>
      </c>
      <c r="BH91" s="915">
        <v>0.17144184125704315</v>
      </c>
      <c r="BI91" s="915">
        <v>0.17144184125704315</v>
      </c>
      <c r="BJ91" s="915">
        <v>0.17144184125704315</v>
      </c>
      <c r="BK91" s="915">
        <v>0.17144184125704315</v>
      </c>
      <c r="BL91" s="915">
        <v>0.17144184125704315</v>
      </c>
      <c r="BM91" s="915">
        <v>0.17144184125704315</v>
      </c>
      <c r="BN91" s="915">
        <v>0.17144184125704315</v>
      </c>
      <c r="BO91" s="915">
        <v>0.17144184125704315</v>
      </c>
      <c r="BP91" s="915">
        <v>0.17144184125704315</v>
      </c>
      <c r="BQ91" s="915">
        <v>0.17144184125704315</v>
      </c>
      <c r="BR91" s="915">
        <v>0.17144184125704315</v>
      </c>
      <c r="BS91" s="915">
        <v>0.17144184125704315</v>
      </c>
      <c r="BT91" s="915">
        <v>0.17144184125704315</v>
      </c>
      <c r="BU91" s="915">
        <v>0.17144184125704315</v>
      </c>
      <c r="BV91" s="915">
        <v>0.17144184125704315</v>
      </c>
      <c r="BW91" s="915">
        <v>0.17144184125704315</v>
      </c>
      <c r="BX91" s="915">
        <v>0.17144184125704315</v>
      </c>
      <c r="BY91" s="915">
        <v>0.17144184125704315</v>
      </c>
      <c r="BZ91" s="915">
        <v>0.17144184125704315</v>
      </c>
      <c r="CA91" s="915">
        <v>0.17144184125704315</v>
      </c>
      <c r="CB91" s="915">
        <v>0.17144184125704315</v>
      </c>
      <c r="CC91" s="915">
        <v>0.17144184125704315</v>
      </c>
      <c r="CD91" s="915">
        <v>0.17144184125704315</v>
      </c>
      <c r="CE91" s="915">
        <v>0.17144184125704315</v>
      </c>
      <c r="CF91" s="916">
        <v>0.17144184125704315</v>
      </c>
    </row>
    <row r="92" spans="1:84">
      <c r="A92" s="876"/>
      <c r="B92" s="900" t="s">
        <v>853</v>
      </c>
      <c r="C92" s="876"/>
      <c r="D92" s="876"/>
      <c r="E92" s="876"/>
      <c r="F92" s="876"/>
      <c r="G92" s="876"/>
      <c r="H92" s="876"/>
      <c r="I92" s="876"/>
      <c r="J92" s="876"/>
      <c r="K92" s="876"/>
      <c r="L92" s="876"/>
      <c r="M92" s="876"/>
      <c r="N92" s="876"/>
      <c r="O92" s="876"/>
      <c r="P92" s="876"/>
      <c r="Q92" s="876"/>
      <c r="R92" s="876"/>
      <c r="S92" s="876"/>
      <c r="T92" s="876"/>
      <c r="U92" s="876"/>
      <c r="V92" s="876"/>
      <c r="W92" s="876"/>
      <c r="X92" s="876"/>
      <c r="Y92" s="876"/>
      <c r="Z92" s="876"/>
      <c r="AA92" s="876"/>
      <c r="AB92" s="876"/>
      <c r="AC92" s="876"/>
      <c r="AD92" s="876"/>
      <c r="AE92" s="876"/>
      <c r="AF92" s="876"/>
      <c r="AG92" s="876"/>
      <c r="AH92" s="876"/>
      <c r="AI92" s="876"/>
      <c r="AJ92" s="876"/>
      <c r="AK92" s="876"/>
      <c r="AL92" s="876"/>
      <c r="AM92" s="876"/>
      <c r="AN92" s="876"/>
      <c r="AO92" s="876"/>
      <c r="AP92" s="876"/>
      <c r="AQ92" s="876"/>
      <c r="AR92" s="876"/>
      <c r="AS92" s="876"/>
      <c r="AT92" s="876"/>
      <c r="AU92" s="876"/>
      <c r="AV92" s="876"/>
      <c r="AW92" s="876"/>
      <c r="AX92" s="876"/>
      <c r="AY92" s="876"/>
      <c r="AZ92" s="876"/>
      <c r="BA92" s="876"/>
      <c r="BB92" s="876"/>
      <c r="BC92" s="876"/>
      <c r="BD92" s="876"/>
      <c r="BE92" s="876"/>
      <c r="BF92" s="876"/>
      <c r="BG92" s="876"/>
      <c r="BH92" s="876"/>
      <c r="BI92" s="876"/>
      <c r="BJ92" s="876"/>
      <c r="BK92" s="876"/>
      <c r="BL92" s="876"/>
      <c r="BM92" s="876"/>
      <c r="BN92" s="876"/>
      <c r="BO92" s="876"/>
      <c r="BP92" s="876"/>
      <c r="BQ92" s="876"/>
      <c r="BR92" s="876"/>
      <c r="BS92" s="876"/>
      <c r="BT92" s="876"/>
      <c r="BU92" s="876"/>
      <c r="BV92" s="876"/>
      <c r="BW92" s="876"/>
      <c r="BX92" s="876"/>
      <c r="BY92" s="876"/>
      <c r="BZ92" s="876"/>
      <c r="CA92" s="876"/>
      <c r="CB92" s="876"/>
      <c r="CC92" s="876"/>
      <c r="CD92" s="876"/>
      <c r="CE92" s="876"/>
      <c r="CF92" s="876"/>
    </row>
    <row r="93" spans="1:84">
      <c r="A93" s="876"/>
      <c r="B93" s="900"/>
      <c r="C93" s="876"/>
      <c r="D93" s="876"/>
      <c r="E93" s="876"/>
      <c r="F93" s="876"/>
      <c r="G93" s="876"/>
      <c r="H93" s="876"/>
      <c r="I93" s="876"/>
      <c r="J93" s="876"/>
      <c r="K93" s="876"/>
      <c r="L93" s="876"/>
      <c r="M93" s="876"/>
      <c r="N93" s="876"/>
      <c r="O93" s="876"/>
      <c r="P93" s="876"/>
      <c r="Q93" s="876"/>
      <c r="R93" s="876"/>
      <c r="S93" s="876"/>
      <c r="T93" s="876"/>
      <c r="U93" s="876"/>
      <c r="V93" s="876"/>
      <c r="W93" s="876"/>
      <c r="X93" s="876"/>
      <c r="Y93" s="876"/>
      <c r="Z93" s="876"/>
      <c r="AA93" s="876"/>
      <c r="AB93" s="876"/>
      <c r="AC93" s="876"/>
      <c r="AD93" s="876"/>
      <c r="AE93" s="876"/>
      <c r="AF93" s="876"/>
      <c r="AG93" s="876"/>
      <c r="AH93" s="876"/>
      <c r="AI93" s="876"/>
      <c r="AJ93" s="876"/>
      <c r="AK93" s="876"/>
      <c r="AL93" s="876"/>
      <c r="AM93" s="876"/>
      <c r="AN93" s="876"/>
      <c r="AO93" s="876"/>
      <c r="AP93" s="876"/>
      <c r="AQ93" s="876"/>
      <c r="AR93" s="876"/>
      <c r="AS93" s="876"/>
      <c r="AT93" s="876"/>
      <c r="AU93" s="876"/>
      <c r="AV93" s="876"/>
      <c r="AW93" s="876"/>
      <c r="AX93" s="876"/>
      <c r="AY93" s="876"/>
      <c r="AZ93" s="876"/>
      <c r="BA93" s="876"/>
      <c r="BB93" s="876"/>
      <c r="BC93" s="876"/>
      <c r="BD93" s="876"/>
      <c r="BE93" s="876"/>
      <c r="BF93" s="876"/>
      <c r="BG93" s="876"/>
      <c r="BH93" s="876"/>
      <c r="BI93" s="876"/>
      <c r="BJ93" s="876"/>
      <c r="BK93" s="876"/>
      <c r="BL93" s="876"/>
      <c r="BM93" s="876"/>
      <c r="BN93" s="876"/>
      <c r="BO93" s="876"/>
      <c r="BP93" s="876"/>
      <c r="BQ93" s="876"/>
      <c r="BR93" s="876"/>
      <c r="BS93" s="876"/>
      <c r="BT93" s="876"/>
      <c r="BU93" s="876"/>
      <c r="BV93" s="876"/>
      <c r="BW93" s="876"/>
      <c r="BX93" s="876"/>
      <c r="BY93" s="876"/>
      <c r="BZ93" s="876"/>
      <c r="CA93" s="876"/>
      <c r="CB93" s="876"/>
      <c r="CC93" s="876"/>
      <c r="CD93" s="876"/>
      <c r="CE93" s="876"/>
      <c r="CF93" s="876"/>
    </row>
    <row r="94" spans="1:84" ht="13.8" thickBot="1">
      <c r="A94" s="876"/>
      <c r="B94" s="877" t="s">
        <v>855</v>
      </c>
      <c r="C94" s="876"/>
      <c r="D94" s="876"/>
      <c r="E94" s="876"/>
      <c r="F94" s="876"/>
      <c r="G94" s="876"/>
      <c r="H94" s="876"/>
      <c r="I94" s="907">
        <f>$I$140</f>
        <v>0</v>
      </c>
      <c r="J94" s="876" t="s">
        <v>841</v>
      </c>
      <c r="K94" s="876"/>
      <c r="L94" s="876"/>
      <c r="M94" s="876"/>
      <c r="N94" s="876"/>
      <c r="O94" s="876"/>
      <c r="P94" s="876"/>
      <c r="Q94" s="876"/>
      <c r="R94" s="876"/>
      <c r="S94" s="876"/>
      <c r="T94" s="876"/>
      <c r="U94" s="876"/>
      <c r="V94" s="876"/>
      <c r="W94" s="876"/>
      <c r="X94" s="876"/>
      <c r="Y94" s="876"/>
      <c r="Z94" s="876"/>
      <c r="AA94" s="876"/>
      <c r="AB94" s="876"/>
      <c r="AC94" s="876"/>
      <c r="AD94" s="876"/>
      <c r="AE94" s="876"/>
      <c r="AF94" s="876"/>
      <c r="AG94" s="876"/>
      <c r="AH94" s="876"/>
      <c r="AI94" s="876"/>
      <c r="AJ94" s="876"/>
      <c r="AK94" s="876"/>
      <c r="AL94" s="876"/>
      <c r="AM94" s="876"/>
      <c r="AN94" s="876"/>
      <c r="AO94" s="876"/>
      <c r="AP94" s="876"/>
      <c r="AQ94" s="876"/>
      <c r="AR94" s="876"/>
      <c r="AS94" s="876"/>
      <c r="AT94" s="876"/>
      <c r="AU94" s="876"/>
      <c r="AV94" s="876"/>
      <c r="AW94" s="876"/>
      <c r="AX94" s="876"/>
      <c r="AY94" s="876"/>
      <c r="AZ94" s="876"/>
      <c r="BA94" s="876"/>
      <c r="BB94" s="876"/>
      <c r="BC94" s="876"/>
      <c r="BD94" s="876"/>
      <c r="BE94" s="876"/>
      <c r="BF94" s="876"/>
      <c r="BG94" s="876"/>
      <c r="BH94" s="876"/>
      <c r="BI94" s="876"/>
      <c r="BJ94" s="876"/>
      <c r="BK94" s="876"/>
      <c r="BL94" s="876"/>
      <c r="BM94" s="876"/>
      <c r="BN94" s="876"/>
      <c r="BO94" s="876"/>
      <c r="BP94" s="876"/>
      <c r="BQ94" s="876"/>
      <c r="BR94" s="876"/>
      <c r="BS94" s="876"/>
      <c r="BT94" s="876"/>
      <c r="BU94" s="876"/>
      <c r="BV94" s="876"/>
      <c r="BW94" s="876"/>
      <c r="BX94" s="876"/>
      <c r="BY94" s="876"/>
      <c r="BZ94" s="876"/>
      <c r="CA94" s="876"/>
      <c r="CB94" s="876"/>
      <c r="CC94" s="876"/>
      <c r="CD94" s="876"/>
      <c r="CE94" s="876"/>
      <c r="CF94" s="876"/>
    </row>
    <row r="95" spans="1:84">
      <c r="A95" s="876"/>
      <c r="B95" s="880" t="s">
        <v>842</v>
      </c>
      <c r="C95" s="881"/>
      <c r="D95" s="882">
        <v>2010</v>
      </c>
      <c r="E95" s="882">
        <v>2011</v>
      </c>
      <c r="F95" s="882">
        <v>2012</v>
      </c>
      <c r="G95" s="882">
        <v>2013</v>
      </c>
      <c r="H95" s="882">
        <v>2014</v>
      </c>
      <c r="I95" s="882">
        <v>2015</v>
      </c>
      <c r="J95" s="882">
        <v>2016</v>
      </c>
      <c r="K95" s="882">
        <v>2017</v>
      </c>
      <c r="L95" s="882">
        <v>2018</v>
      </c>
      <c r="M95" s="882">
        <v>2019</v>
      </c>
      <c r="N95" s="882">
        <v>2020</v>
      </c>
      <c r="O95" s="882">
        <v>2021</v>
      </c>
      <c r="P95" s="882">
        <v>2022</v>
      </c>
      <c r="Q95" s="882">
        <v>2023</v>
      </c>
      <c r="R95" s="882">
        <v>2024</v>
      </c>
      <c r="S95" s="882">
        <v>2025</v>
      </c>
      <c r="T95" s="882">
        <v>2026</v>
      </c>
      <c r="U95" s="882">
        <v>2027</v>
      </c>
      <c r="V95" s="882">
        <v>2028</v>
      </c>
      <c r="W95" s="882">
        <v>2029</v>
      </c>
      <c r="X95" s="882">
        <v>2030</v>
      </c>
      <c r="Y95" s="882">
        <v>2031</v>
      </c>
      <c r="Z95" s="882">
        <v>2032</v>
      </c>
      <c r="AA95" s="882">
        <v>2033</v>
      </c>
      <c r="AB95" s="882">
        <v>2034</v>
      </c>
      <c r="AC95" s="882">
        <v>2035</v>
      </c>
      <c r="AD95" s="882">
        <v>2036</v>
      </c>
      <c r="AE95" s="882">
        <v>2037</v>
      </c>
      <c r="AF95" s="882">
        <v>2038</v>
      </c>
      <c r="AG95" s="882">
        <v>2039</v>
      </c>
      <c r="AH95" s="882">
        <v>2040</v>
      </c>
      <c r="AI95" s="882">
        <v>2041</v>
      </c>
      <c r="AJ95" s="882">
        <v>2042</v>
      </c>
      <c r="AK95" s="882">
        <v>2043</v>
      </c>
      <c r="AL95" s="882">
        <v>2044</v>
      </c>
      <c r="AM95" s="882">
        <v>2045</v>
      </c>
      <c r="AN95" s="882">
        <v>2046</v>
      </c>
      <c r="AO95" s="882">
        <v>2047</v>
      </c>
      <c r="AP95" s="882">
        <v>2048</v>
      </c>
      <c r="AQ95" s="882">
        <v>2049</v>
      </c>
      <c r="AR95" s="882">
        <v>2050</v>
      </c>
      <c r="AS95" s="882">
        <v>2051</v>
      </c>
      <c r="AT95" s="882">
        <v>2052</v>
      </c>
      <c r="AU95" s="882">
        <v>2053</v>
      </c>
      <c r="AV95" s="882">
        <v>2054</v>
      </c>
      <c r="AW95" s="882">
        <v>2055</v>
      </c>
      <c r="AX95" s="882">
        <v>2056</v>
      </c>
      <c r="AY95" s="882">
        <v>2057</v>
      </c>
      <c r="AZ95" s="882">
        <v>2058</v>
      </c>
      <c r="BA95" s="882">
        <v>2059</v>
      </c>
      <c r="BB95" s="882">
        <v>2060</v>
      </c>
      <c r="BC95" s="882">
        <v>2061</v>
      </c>
      <c r="BD95" s="882">
        <v>2062</v>
      </c>
      <c r="BE95" s="882">
        <v>2063</v>
      </c>
      <c r="BF95" s="882">
        <v>2064</v>
      </c>
      <c r="BG95" s="882">
        <v>2065</v>
      </c>
      <c r="BH95" s="882">
        <v>2066</v>
      </c>
      <c r="BI95" s="882">
        <v>2067</v>
      </c>
      <c r="BJ95" s="882">
        <v>2068</v>
      </c>
      <c r="BK95" s="882">
        <v>2069</v>
      </c>
      <c r="BL95" s="882">
        <v>2070</v>
      </c>
      <c r="BM95" s="882">
        <v>2071</v>
      </c>
      <c r="BN95" s="882">
        <v>2072</v>
      </c>
      <c r="BO95" s="882">
        <v>2073</v>
      </c>
      <c r="BP95" s="882">
        <v>2074</v>
      </c>
      <c r="BQ95" s="882">
        <v>2075</v>
      </c>
      <c r="BR95" s="882">
        <v>2076</v>
      </c>
      <c r="BS95" s="882">
        <v>2077</v>
      </c>
      <c r="BT95" s="882">
        <v>2078</v>
      </c>
      <c r="BU95" s="882">
        <v>2079</v>
      </c>
      <c r="BV95" s="882">
        <v>2080</v>
      </c>
      <c r="BW95" s="882">
        <v>2081</v>
      </c>
      <c r="BX95" s="882">
        <v>2082</v>
      </c>
      <c r="BY95" s="882">
        <v>2083</v>
      </c>
      <c r="BZ95" s="882">
        <v>2084</v>
      </c>
      <c r="CA95" s="882">
        <v>2085</v>
      </c>
      <c r="CB95" s="882">
        <v>2086</v>
      </c>
      <c r="CC95" s="882">
        <v>2087</v>
      </c>
      <c r="CD95" s="882">
        <v>2088</v>
      </c>
      <c r="CE95" s="882">
        <v>2089</v>
      </c>
      <c r="CF95" s="883">
        <v>2090</v>
      </c>
    </row>
    <row r="96" spans="1:84">
      <c r="A96" s="876"/>
      <c r="B96" s="884" t="str">
        <f>CONCATENATE("Drivmiddel (", $D$122,"-priser)")</f>
        <v>Drivmiddel (-priser)</v>
      </c>
      <c r="C96" s="885" t="s">
        <v>843</v>
      </c>
      <c r="D96" s="886" t="e">
        <f t="shared" ref="D96" si="972">D5/#REF!*#REF!</f>
        <v>#REF!</v>
      </c>
      <c r="E96" s="886" t="e">
        <f t="shared" ref="E96" si="973">E5/#REF!*#REF!</f>
        <v>#REF!</v>
      </c>
      <c r="F96" s="886" t="e">
        <f t="shared" ref="F96" si="974">F5/#REF!*#REF!</f>
        <v>#REF!</v>
      </c>
      <c r="G96" s="886" t="e">
        <f t="shared" ref="G96" si="975">G5/#REF!*#REF!</f>
        <v>#REF!</v>
      </c>
      <c r="H96" s="886" t="e">
        <f t="shared" ref="H96" si="976">H5/#REF!*#REF!</f>
        <v>#REF!</v>
      </c>
      <c r="I96" s="886" t="e">
        <f t="shared" ref="I96" si="977">I5/#REF!*#REF!</f>
        <v>#REF!</v>
      </c>
      <c r="J96" s="886" t="e">
        <f t="shared" ref="J96" si="978">J5/#REF!*#REF!</f>
        <v>#REF!</v>
      </c>
      <c r="K96" s="886" t="e">
        <f t="shared" ref="K96" si="979">K5/#REF!*#REF!</f>
        <v>#REF!</v>
      </c>
      <c r="L96" s="886" t="e">
        <f t="shared" ref="L96" si="980">L5/#REF!*#REF!</f>
        <v>#REF!</v>
      </c>
      <c r="M96" s="886" t="e">
        <f t="shared" ref="M96" si="981">M5/#REF!*#REF!</f>
        <v>#REF!</v>
      </c>
      <c r="N96" s="886" t="e">
        <f t="shared" ref="N96" si="982">N5/#REF!*#REF!</f>
        <v>#REF!</v>
      </c>
      <c r="O96" s="886" t="e">
        <f t="shared" ref="O96" si="983">O5/#REF!*#REF!</f>
        <v>#REF!</v>
      </c>
      <c r="P96" s="886" t="e">
        <f t="shared" ref="P96" si="984">P5/#REF!*#REF!</f>
        <v>#REF!</v>
      </c>
      <c r="Q96" s="886" t="e">
        <f t="shared" ref="Q96" si="985">Q5/#REF!*#REF!</f>
        <v>#REF!</v>
      </c>
      <c r="R96" s="886" t="e">
        <f t="shared" ref="R96" si="986">R5/#REF!*#REF!</f>
        <v>#REF!</v>
      </c>
      <c r="S96" s="886" t="e">
        <f t="shared" ref="S96" si="987">S5/#REF!*#REF!</f>
        <v>#REF!</v>
      </c>
      <c r="T96" s="886" t="e">
        <f t="shared" ref="T96" si="988">T5/#REF!*#REF!</f>
        <v>#REF!</v>
      </c>
      <c r="U96" s="886" t="e">
        <f t="shared" ref="U96" si="989">U5/#REF!*#REF!</f>
        <v>#REF!</v>
      </c>
      <c r="V96" s="886" t="e">
        <f t="shared" ref="V96" si="990">V5/#REF!*#REF!</f>
        <v>#REF!</v>
      </c>
      <c r="W96" s="886" t="e">
        <f t="shared" ref="W96" si="991">W5/#REF!*#REF!</f>
        <v>#REF!</v>
      </c>
      <c r="X96" s="886" t="e">
        <f t="shared" ref="X96" si="992">X5/#REF!*#REF!</f>
        <v>#REF!</v>
      </c>
      <c r="Y96" s="886" t="e">
        <f t="shared" ref="Y96" si="993">Y5/#REF!*#REF!</f>
        <v>#REF!</v>
      </c>
      <c r="Z96" s="886" t="e">
        <f t="shared" ref="Z96" si="994">Z5/#REF!*#REF!</f>
        <v>#REF!</v>
      </c>
      <c r="AA96" s="886" t="e">
        <f t="shared" ref="AA96" si="995">AA5/#REF!*#REF!</f>
        <v>#REF!</v>
      </c>
      <c r="AB96" s="886" t="e">
        <f t="shared" ref="AB96" si="996">AB5/#REF!*#REF!</f>
        <v>#REF!</v>
      </c>
      <c r="AC96" s="886" t="e">
        <f t="shared" ref="AC96" si="997">AC5/#REF!*#REF!</f>
        <v>#REF!</v>
      </c>
      <c r="AD96" s="886" t="e">
        <f t="shared" ref="AD96" si="998">AD5/#REF!*#REF!</f>
        <v>#REF!</v>
      </c>
      <c r="AE96" s="886" t="e">
        <f t="shared" ref="AE96" si="999">AE5/#REF!*#REF!</f>
        <v>#REF!</v>
      </c>
      <c r="AF96" s="886" t="e">
        <f t="shared" ref="AF96" si="1000">AF5/#REF!*#REF!</f>
        <v>#REF!</v>
      </c>
      <c r="AG96" s="886" t="e">
        <f t="shared" ref="AG96" si="1001">AG5/#REF!*#REF!</f>
        <v>#REF!</v>
      </c>
      <c r="AH96" s="886" t="e">
        <f t="shared" ref="AH96" si="1002">AH5/#REF!*#REF!</f>
        <v>#REF!</v>
      </c>
      <c r="AI96" s="886" t="e">
        <f t="shared" ref="AI96" si="1003">AI5/#REF!*#REF!</f>
        <v>#REF!</v>
      </c>
      <c r="AJ96" s="886" t="e">
        <f t="shared" ref="AJ96" si="1004">AJ5/#REF!*#REF!</f>
        <v>#REF!</v>
      </c>
      <c r="AK96" s="886" t="e">
        <f t="shared" ref="AK96" si="1005">AK5/#REF!*#REF!</f>
        <v>#REF!</v>
      </c>
      <c r="AL96" s="886" t="e">
        <f t="shared" ref="AL96" si="1006">AL5/#REF!*#REF!</f>
        <v>#REF!</v>
      </c>
      <c r="AM96" s="886" t="e">
        <f t="shared" ref="AM96" si="1007">AM5/#REF!*#REF!</f>
        <v>#REF!</v>
      </c>
      <c r="AN96" s="886" t="e">
        <f t="shared" ref="AN96" si="1008">AN5/#REF!*#REF!</f>
        <v>#REF!</v>
      </c>
      <c r="AO96" s="886" t="e">
        <f t="shared" ref="AO96" si="1009">AO5/#REF!*#REF!</f>
        <v>#REF!</v>
      </c>
      <c r="AP96" s="886" t="e">
        <f t="shared" ref="AP96" si="1010">AP5/#REF!*#REF!</f>
        <v>#REF!</v>
      </c>
      <c r="AQ96" s="886" t="e">
        <f t="shared" ref="AQ96" si="1011">AQ5/#REF!*#REF!</f>
        <v>#REF!</v>
      </c>
      <c r="AR96" s="886" t="e">
        <f t="shared" ref="AR96" si="1012">AR5/#REF!*#REF!</f>
        <v>#REF!</v>
      </c>
      <c r="AS96" s="886" t="e">
        <f t="shared" ref="AS96" si="1013">AS5/#REF!*#REF!</f>
        <v>#REF!</v>
      </c>
      <c r="AT96" s="886" t="e">
        <f t="shared" ref="AT96" si="1014">AT5/#REF!*#REF!</f>
        <v>#REF!</v>
      </c>
      <c r="AU96" s="886" t="e">
        <f t="shared" ref="AU96" si="1015">AU5/#REF!*#REF!</f>
        <v>#REF!</v>
      </c>
      <c r="AV96" s="886" t="e">
        <f t="shared" ref="AV96" si="1016">AV5/#REF!*#REF!</f>
        <v>#REF!</v>
      </c>
      <c r="AW96" s="886" t="e">
        <f t="shared" ref="AW96" si="1017">AW5/#REF!*#REF!</f>
        <v>#REF!</v>
      </c>
      <c r="AX96" s="886" t="e">
        <f t="shared" ref="AX96" si="1018">AX5/#REF!*#REF!</f>
        <v>#REF!</v>
      </c>
      <c r="AY96" s="886" t="e">
        <f t="shared" ref="AY96" si="1019">AY5/#REF!*#REF!</f>
        <v>#REF!</v>
      </c>
      <c r="AZ96" s="886" t="e">
        <f t="shared" ref="AZ96" si="1020">AZ5/#REF!*#REF!</f>
        <v>#REF!</v>
      </c>
      <c r="BA96" s="886" t="e">
        <f t="shared" ref="BA96" si="1021">BA5/#REF!*#REF!</f>
        <v>#REF!</v>
      </c>
      <c r="BB96" s="886" t="e">
        <f t="shared" ref="BB96" si="1022">BB5/#REF!*#REF!</f>
        <v>#REF!</v>
      </c>
      <c r="BC96" s="886" t="e">
        <f t="shared" ref="BC96" si="1023">BC5/#REF!*#REF!</f>
        <v>#REF!</v>
      </c>
      <c r="BD96" s="886" t="e">
        <f t="shared" ref="BD96" si="1024">BD5/#REF!*#REF!</f>
        <v>#REF!</v>
      </c>
      <c r="BE96" s="886" t="e">
        <f t="shared" ref="BE96" si="1025">BE5/#REF!*#REF!</f>
        <v>#REF!</v>
      </c>
      <c r="BF96" s="886" t="e">
        <f t="shared" ref="BF96" si="1026">BF5/#REF!*#REF!</f>
        <v>#REF!</v>
      </c>
      <c r="BG96" s="886" t="e">
        <f t="shared" ref="BG96" si="1027">BG5/#REF!*#REF!</f>
        <v>#REF!</v>
      </c>
      <c r="BH96" s="886" t="e">
        <f t="shared" ref="BH96" si="1028">BH5/#REF!*#REF!</f>
        <v>#REF!</v>
      </c>
      <c r="BI96" s="886" t="e">
        <f t="shared" ref="BI96" si="1029">BI5/#REF!*#REF!</f>
        <v>#REF!</v>
      </c>
      <c r="BJ96" s="886" t="e">
        <f t="shared" ref="BJ96" si="1030">BJ5/#REF!*#REF!</f>
        <v>#REF!</v>
      </c>
      <c r="BK96" s="886" t="e">
        <f t="shared" ref="BK96" si="1031">BK5/#REF!*#REF!</f>
        <v>#REF!</v>
      </c>
      <c r="BL96" s="886" t="e">
        <f t="shared" ref="BL96" si="1032">BL5/#REF!*#REF!</f>
        <v>#REF!</v>
      </c>
      <c r="BM96" s="886" t="e">
        <f t="shared" ref="BM96" si="1033">BM5/#REF!*#REF!</f>
        <v>#REF!</v>
      </c>
      <c r="BN96" s="886" t="e">
        <f t="shared" ref="BN96" si="1034">BN5/#REF!*#REF!</f>
        <v>#REF!</v>
      </c>
      <c r="BO96" s="886" t="e">
        <f t="shared" ref="BO96" si="1035">BO5/#REF!*#REF!</f>
        <v>#REF!</v>
      </c>
      <c r="BP96" s="886" t="e">
        <f t="shared" ref="BP96" si="1036">BP5/#REF!*#REF!</f>
        <v>#REF!</v>
      </c>
      <c r="BQ96" s="886" t="e">
        <f t="shared" ref="BQ96" si="1037">BQ5/#REF!*#REF!</f>
        <v>#REF!</v>
      </c>
      <c r="BR96" s="886" t="e">
        <f t="shared" ref="BR96" si="1038">BR5/#REF!*#REF!</f>
        <v>#REF!</v>
      </c>
      <c r="BS96" s="886" t="e">
        <f t="shared" ref="BS96" si="1039">BS5/#REF!*#REF!</f>
        <v>#REF!</v>
      </c>
      <c r="BT96" s="886" t="e">
        <f t="shared" ref="BT96" si="1040">BT5/#REF!*#REF!</f>
        <v>#REF!</v>
      </c>
      <c r="BU96" s="886" t="e">
        <f t="shared" ref="BU96" si="1041">BU5/#REF!*#REF!</f>
        <v>#REF!</v>
      </c>
      <c r="BV96" s="886" t="e">
        <f t="shared" ref="BV96" si="1042">BV5/#REF!*#REF!</f>
        <v>#REF!</v>
      </c>
      <c r="BW96" s="886" t="e">
        <f t="shared" ref="BW96" si="1043">BW5/#REF!*#REF!</f>
        <v>#REF!</v>
      </c>
      <c r="BX96" s="886" t="e">
        <f t="shared" ref="BX96" si="1044">BX5/#REF!*#REF!</f>
        <v>#REF!</v>
      </c>
      <c r="BY96" s="886" t="e">
        <f t="shared" ref="BY96" si="1045">BY5/#REF!*#REF!</f>
        <v>#REF!</v>
      </c>
      <c r="BZ96" s="886" t="e">
        <f t="shared" ref="BZ96" si="1046">BZ5/#REF!*#REF!</f>
        <v>#REF!</v>
      </c>
      <c r="CA96" s="886" t="e">
        <f t="shared" ref="CA96" si="1047">CA5/#REF!*#REF!</f>
        <v>#REF!</v>
      </c>
      <c r="CB96" s="886" t="e">
        <f t="shared" ref="CB96" si="1048">CB5/#REF!*#REF!</f>
        <v>#REF!</v>
      </c>
      <c r="CC96" s="886" t="e">
        <f t="shared" ref="CC96" si="1049">CC5/#REF!*#REF!</f>
        <v>#REF!</v>
      </c>
      <c r="CD96" s="886" t="e">
        <f t="shared" ref="CD96" si="1050">CD5/#REF!*#REF!</f>
        <v>#REF!</v>
      </c>
      <c r="CE96" s="886" t="e">
        <f t="shared" ref="CE96" si="1051">CE5/#REF!*#REF!</f>
        <v>#REF!</v>
      </c>
      <c r="CF96" s="887" t="e">
        <f t="shared" ref="CF96" si="1052">CF5/#REF!*#REF!</f>
        <v>#REF!</v>
      </c>
    </row>
    <row r="97" spans="1:84">
      <c r="A97" s="876"/>
      <c r="B97" s="884" t="s">
        <v>150</v>
      </c>
      <c r="C97" s="885" t="s">
        <v>843</v>
      </c>
      <c r="D97" s="888">
        <v>0.34097939718713188</v>
      </c>
      <c r="E97" s="888">
        <v>0.34097939718713188</v>
      </c>
      <c r="F97" s="888">
        <v>0.34097939718713188</v>
      </c>
      <c r="G97" s="888">
        <v>0.34097939718713188</v>
      </c>
      <c r="H97" s="888">
        <v>0.34097939718713188</v>
      </c>
      <c r="I97" s="888">
        <v>0.34097939718713188</v>
      </c>
      <c r="J97" s="888">
        <v>0.34097939718713188</v>
      </c>
      <c r="K97" s="888">
        <v>0.34097939718713188</v>
      </c>
      <c r="L97" s="888">
        <v>0.34097939718713188</v>
      </c>
      <c r="M97" s="888">
        <v>0.34097939718713188</v>
      </c>
      <c r="N97" s="888">
        <v>0.34097939718713188</v>
      </c>
      <c r="O97" s="888">
        <v>0.34097939718713188</v>
      </c>
      <c r="P97" s="888">
        <v>0.34097939718713188</v>
      </c>
      <c r="Q97" s="888">
        <v>0.34097939718713188</v>
      </c>
      <c r="R97" s="888">
        <v>0.34097939718713188</v>
      </c>
      <c r="S97" s="888">
        <v>0.34097939718713188</v>
      </c>
      <c r="T97" s="888">
        <v>0.34097939718713188</v>
      </c>
      <c r="U97" s="888">
        <v>0.34097939718713188</v>
      </c>
      <c r="V97" s="888">
        <v>0.34097939718713188</v>
      </c>
      <c r="W97" s="888">
        <v>0.34097939718713188</v>
      </c>
      <c r="X97" s="888">
        <v>0.34097939718713188</v>
      </c>
      <c r="Y97" s="888">
        <v>0.34097939718713188</v>
      </c>
      <c r="Z97" s="888">
        <v>0.34097939718713188</v>
      </c>
      <c r="AA97" s="888">
        <v>0.34097939718713188</v>
      </c>
      <c r="AB97" s="888">
        <v>0.34097939718713188</v>
      </c>
      <c r="AC97" s="888">
        <v>0.34097939718713188</v>
      </c>
      <c r="AD97" s="888">
        <v>0.34097939718713188</v>
      </c>
      <c r="AE97" s="888">
        <v>0.34097939718713188</v>
      </c>
      <c r="AF97" s="888">
        <v>0.34097939718713188</v>
      </c>
      <c r="AG97" s="888">
        <v>0.34097939718713188</v>
      </c>
      <c r="AH97" s="888">
        <v>0.34097939718713188</v>
      </c>
      <c r="AI97" s="888">
        <v>0.34097939718713188</v>
      </c>
      <c r="AJ97" s="888">
        <v>0.34097939718713188</v>
      </c>
      <c r="AK97" s="888">
        <v>0.34097939718713188</v>
      </c>
      <c r="AL97" s="888">
        <v>0.34097939718713188</v>
      </c>
      <c r="AM97" s="888">
        <v>0.34097939718713188</v>
      </c>
      <c r="AN97" s="888">
        <v>0.34097939718713188</v>
      </c>
      <c r="AO97" s="888">
        <v>0.34097939718713188</v>
      </c>
      <c r="AP97" s="888">
        <v>0.34097939718713188</v>
      </c>
      <c r="AQ97" s="888">
        <v>0.34097939718713188</v>
      </c>
      <c r="AR97" s="888">
        <v>0.34097939718713188</v>
      </c>
      <c r="AS97" s="888">
        <v>0.34097939718713188</v>
      </c>
      <c r="AT97" s="888">
        <v>0.34097939718713188</v>
      </c>
      <c r="AU97" s="888">
        <v>0.34097939718713188</v>
      </c>
      <c r="AV97" s="888">
        <v>0.34097939718713188</v>
      </c>
      <c r="AW97" s="888">
        <v>0.34097939718713188</v>
      </c>
      <c r="AX97" s="888">
        <v>0.34097939718713188</v>
      </c>
      <c r="AY97" s="888">
        <v>0.34097939718713188</v>
      </c>
      <c r="AZ97" s="888">
        <v>0.34097939718713188</v>
      </c>
      <c r="BA97" s="888">
        <v>0.34097939718713188</v>
      </c>
      <c r="BB97" s="888">
        <v>0.34097939718713188</v>
      </c>
      <c r="BC97" s="888">
        <v>0.34097939718713188</v>
      </c>
      <c r="BD97" s="888">
        <v>0.34097939718713188</v>
      </c>
      <c r="BE97" s="888">
        <v>0.34097939718713188</v>
      </c>
      <c r="BF97" s="888">
        <v>0.34097939718713188</v>
      </c>
      <c r="BG97" s="888">
        <v>0.34097939718713188</v>
      </c>
      <c r="BH97" s="888">
        <v>0.34097939718713188</v>
      </c>
      <c r="BI97" s="888">
        <v>0.34097939718713188</v>
      </c>
      <c r="BJ97" s="888">
        <v>0.34097939718713188</v>
      </c>
      <c r="BK97" s="888">
        <v>0.34097939718713188</v>
      </c>
      <c r="BL97" s="888">
        <v>0.34097939718713188</v>
      </c>
      <c r="BM97" s="888">
        <v>0.34097939718713188</v>
      </c>
      <c r="BN97" s="888">
        <v>0.34097939718713188</v>
      </c>
      <c r="BO97" s="888">
        <v>0.34097939718713188</v>
      </c>
      <c r="BP97" s="888">
        <v>0.34097939718713188</v>
      </c>
      <c r="BQ97" s="888">
        <v>0.34097939718713188</v>
      </c>
      <c r="BR97" s="888">
        <v>0.34097939718713188</v>
      </c>
      <c r="BS97" s="888">
        <v>0.34097939718713188</v>
      </c>
      <c r="BT97" s="888">
        <v>0.34097939718713188</v>
      </c>
      <c r="BU97" s="888">
        <v>0.34097939718713188</v>
      </c>
      <c r="BV97" s="888">
        <v>0.34097939718713188</v>
      </c>
      <c r="BW97" s="888">
        <v>0.34097939718713188</v>
      </c>
      <c r="BX97" s="888">
        <v>0.34097939718713188</v>
      </c>
      <c r="BY97" s="888">
        <v>0.34097939718713188</v>
      </c>
      <c r="BZ97" s="888">
        <v>0.34097939718713188</v>
      </c>
      <c r="CA97" s="888">
        <v>0.34097939718713188</v>
      </c>
      <c r="CB97" s="888">
        <v>0.34097939718713188</v>
      </c>
      <c r="CC97" s="888">
        <v>0.34097939718713188</v>
      </c>
      <c r="CD97" s="888">
        <v>0.34097939718713188</v>
      </c>
      <c r="CE97" s="888">
        <v>0.34097939718713188</v>
      </c>
      <c r="CF97" s="889">
        <v>0.34097939718713188</v>
      </c>
    </row>
    <row r="98" spans="1:84">
      <c r="A98" s="876"/>
      <c r="B98" s="884" t="s">
        <v>844</v>
      </c>
      <c r="C98" s="885" t="s">
        <v>843</v>
      </c>
      <c r="D98" s="888">
        <v>8.9178502116168887E-2</v>
      </c>
      <c r="E98" s="888">
        <v>8.9178502116168887E-2</v>
      </c>
      <c r="F98" s="888">
        <v>8.9178502116168887E-2</v>
      </c>
      <c r="G98" s="888">
        <v>8.9178502116168887E-2</v>
      </c>
      <c r="H98" s="888">
        <v>8.9178502116168887E-2</v>
      </c>
      <c r="I98" s="888">
        <v>8.9178502116168887E-2</v>
      </c>
      <c r="J98" s="888">
        <v>8.9178502116168887E-2</v>
      </c>
      <c r="K98" s="888">
        <v>8.9178502116168887E-2</v>
      </c>
      <c r="L98" s="888">
        <v>8.9178502116168887E-2</v>
      </c>
      <c r="M98" s="888">
        <v>8.9178502116168887E-2</v>
      </c>
      <c r="N98" s="888">
        <v>8.9178502116168887E-2</v>
      </c>
      <c r="O98" s="888">
        <v>8.9178502116168887E-2</v>
      </c>
      <c r="P98" s="888">
        <v>8.9178502116168887E-2</v>
      </c>
      <c r="Q98" s="888">
        <v>8.9178502116168887E-2</v>
      </c>
      <c r="R98" s="888">
        <v>8.9178502116168887E-2</v>
      </c>
      <c r="S98" s="888">
        <v>8.9178502116168887E-2</v>
      </c>
      <c r="T98" s="888">
        <v>8.9178502116168887E-2</v>
      </c>
      <c r="U98" s="888">
        <v>8.9178502116168887E-2</v>
      </c>
      <c r="V98" s="888">
        <v>8.9178502116168887E-2</v>
      </c>
      <c r="W98" s="888">
        <v>8.9178502116168887E-2</v>
      </c>
      <c r="X98" s="888">
        <v>8.9178502116168887E-2</v>
      </c>
      <c r="Y98" s="888">
        <v>8.9178502116168887E-2</v>
      </c>
      <c r="Z98" s="888">
        <v>8.9178502116168887E-2</v>
      </c>
      <c r="AA98" s="888">
        <v>8.9178502116168887E-2</v>
      </c>
      <c r="AB98" s="888">
        <v>8.9178502116168887E-2</v>
      </c>
      <c r="AC98" s="888">
        <v>8.9178502116168887E-2</v>
      </c>
      <c r="AD98" s="888">
        <v>8.9178502116168887E-2</v>
      </c>
      <c r="AE98" s="888">
        <v>8.9178502116168887E-2</v>
      </c>
      <c r="AF98" s="888">
        <v>8.9178502116168887E-2</v>
      </c>
      <c r="AG98" s="888">
        <v>8.9178502116168887E-2</v>
      </c>
      <c r="AH98" s="888">
        <v>8.9178502116168887E-2</v>
      </c>
      <c r="AI98" s="888">
        <v>8.9178502116168887E-2</v>
      </c>
      <c r="AJ98" s="888">
        <v>8.9178502116168887E-2</v>
      </c>
      <c r="AK98" s="888">
        <v>8.9178502116168887E-2</v>
      </c>
      <c r="AL98" s="888">
        <v>8.9178502116168887E-2</v>
      </c>
      <c r="AM98" s="888">
        <v>8.9178502116168887E-2</v>
      </c>
      <c r="AN98" s="888">
        <v>8.9178502116168887E-2</v>
      </c>
      <c r="AO98" s="888">
        <v>8.9178502116168887E-2</v>
      </c>
      <c r="AP98" s="888">
        <v>8.9178502116168887E-2</v>
      </c>
      <c r="AQ98" s="888">
        <v>8.9178502116168887E-2</v>
      </c>
      <c r="AR98" s="888">
        <v>8.9178502116168887E-2</v>
      </c>
      <c r="AS98" s="888">
        <v>8.9178502116168887E-2</v>
      </c>
      <c r="AT98" s="888">
        <v>8.9178502116168887E-2</v>
      </c>
      <c r="AU98" s="888">
        <v>8.9178502116168887E-2</v>
      </c>
      <c r="AV98" s="888">
        <v>8.9178502116168887E-2</v>
      </c>
      <c r="AW98" s="888">
        <v>8.9178502116168887E-2</v>
      </c>
      <c r="AX98" s="888">
        <v>8.9178502116168887E-2</v>
      </c>
      <c r="AY98" s="888">
        <v>8.9178502116168887E-2</v>
      </c>
      <c r="AZ98" s="888">
        <v>8.9178502116168887E-2</v>
      </c>
      <c r="BA98" s="888">
        <v>8.9178502116168887E-2</v>
      </c>
      <c r="BB98" s="888">
        <v>8.9178502116168887E-2</v>
      </c>
      <c r="BC98" s="888">
        <v>8.9178502116168887E-2</v>
      </c>
      <c r="BD98" s="888">
        <v>8.9178502116168887E-2</v>
      </c>
      <c r="BE98" s="888">
        <v>8.9178502116168887E-2</v>
      </c>
      <c r="BF98" s="888">
        <v>8.9178502116168887E-2</v>
      </c>
      <c r="BG98" s="888">
        <v>8.9178502116168887E-2</v>
      </c>
      <c r="BH98" s="888">
        <v>8.9178502116168887E-2</v>
      </c>
      <c r="BI98" s="888">
        <v>8.9178502116168887E-2</v>
      </c>
      <c r="BJ98" s="888">
        <v>8.9178502116168887E-2</v>
      </c>
      <c r="BK98" s="888">
        <v>8.9178502116168887E-2</v>
      </c>
      <c r="BL98" s="888">
        <v>8.9178502116168887E-2</v>
      </c>
      <c r="BM98" s="888">
        <v>8.9178502116168887E-2</v>
      </c>
      <c r="BN98" s="888">
        <v>8.9178502116168887E-2</v>
      </c>
      <c r="BO98" s="888">
        <v>8.9178502116168887E-2</v>
      </c>
      <c r="BP98" s="888">
        <v>8.9178502116168887E-2</v>
      </c>
      <c r="BQ98" s="888">
        <v>8.9178502116168887E-2</v>
      </c>
      <c r="BR98" s="888">
        <v>8.9178502116168887E-2</v>
      </c>
      <c r="BS98" s="888">
        <v>8.9178502116168887E-2</v>
      </c>
      <c r="BT98" s="888">
        <v>8.9178502116168887E-2</v>
      </c>
      <c r="BU98" s="888">
        <v>8.9178502116168887E-2</v>
      </c>
      <c r="BV98" s="888">
        <v>8.9178502116168887E-2</v>
      </c>
      <c r="BW98" s="888">
        <v>8.9178502116168887E-2</v>
      </c>
      <c r="BX98" s="888">
        <v>8.9178502116168887E-2</v>
      </c>
      <c r="BY98" s="888">
        <v>8.9178502116168887E-2</v>
      </c>
      <c r="BZ98" s="888">
        <v>8.9178502116168887E-2</v>
      </c>
      <c r="CA98" s="888">
        <v>8.9178502116168887E-2</v>
      </c>
      <c r="CB98" s="888">
        <v>8.9178502116168887E-2</v>
      </c>
      <c r="CC98" s="888">
        <v>8.9178502116168887E-2</v>
      </c>
      <c r="CD98" s="888">
        <v>8.9178502116168887E-2</v>
      </c>
      <c r="CE98" s="888">
        <v>8.9178502116168887E-2</v>
      </c>
      <c r="CF98" s="889">
        <v>8.9178502116168887E-2</v>
      </c>
    </row>
    <row r="99" spans="1:84">
      <c r="A99" s="876"/>
      <c r="B99" s="884" t="s">
        <v>845</v>
      </c>
      <c r="C99" s="885" t="s">
        <v>843</v>
      </c>
      <c r="D99" s="888">
        <v>0.46</v>
      </c>
      <c r="E99" s="888">
        <v>0.46</v>
      </c>
      <c r="F99" s="888">
        <v>0.46</v>
      </c>
      <c r="G99" s="888">
        <v>0.46</v>
      </c>
      <c r="H99" s="888">
        <v>0.46</v>
      </c>
      <c r="I99" s="888">
        <v>0.46</v>
      </c>
      <c r="J99" s="888">
        <v>0.46</v>
      </c>
      <c r="K99" s="888">
        <v>0.46</v>
      </c>
      <c r="L99" s="888">
        <v>0.46</v>
      </c>
      <c r="M99" s="888">
        <v>0.46</v>
      </c>
      <c r="N99" s="888">
        <v>0.46</v>
      </c>
      <c r="O99" s="888">
        <v>0.46</v>
      </c>
      <c r="P99" s="888">
        <v>0.46</v>
      </c>
      <c r="Q99" s="888">
        <v>0.46</v>
      </c>
      <c r="R99" s="888">
        <v>0.46</v>
      </c>
      <c r="S99" s="888">
        <v>0.46</v>
      </c>
      <c r="T99" s="888">
        <v>0.46</v>
      </c>
      <c r="U99" s="888">
        <v>0.46</v>
      </c>
      <c r="V99" s="888">
        <v>0.46</v>
      </c>
      <c r="W99" s="888">
        <v>0.46</v>
      </c>
      <c r="X99" s="888">
        <v>0.46</v>
      </c>
      <c r="Y99" s="888">
        <v>0.46</v>
      </c>
      <c r="Z99" s="888">
        <v>0.46</v>
      </c>
      <c r="AA99" s="888">
        <v>0.46</v>
      </c>
      <c r="AB99" s="888">
        <v>0.46</v>
      </c>
      <c r="AC99" s="888">
        <v>0.46</v>
      </c>
      <c r="AD99" s="888">
        <v>0.46</v>
      </c>
      <c r="AE99" s="888">
        <v>0.46</v>
      </c>
      <c r="AF99" s="888">
        <v>0.46</v>
      </c>
      <c r="AG99" s="888">
        <v>0.46</v>
      </c>
      <c r="AH99" s="888">
        <v>0.46</v>
      </c>
      <c r="AI99" s="888">
        <v>0.46</v>
      </c>
      <c r="AJ99" s="888">
        <v>0.46</v>
      </c>
      <c r="AK99" s="888">
        <v>0.46</v>
      </c>
      <c r="AL99" s="888">
        <v>0.46</v>
      </c>
      <c r="AM99" s="888">
        <v>0.46</v>
      </c>
      <c r="AN99" s="888">
        <v>0.46</v>
      </c>
      <c r="AO99" s="888">
        <v>0.46</v>
      </c>
      <c r="AP99" s="888">
        <v>0.46</v>
      </c>
      <c r="AQ99" s="888">
        <v>0.46</v>
      </c>
      <c r="AR99" s="888">
        <v>0.46</v>
      </c>
      <c r="AS99" s="888">
        <v>0.46</v>
      </c>
      <c r="AT99" s="888">
        <v>0.46</v>
      </c>
      <c r="AU99" s="888">
        <v>0.46</v>
      </c>
      <c r="AV99" s="888">
        <v>0.46</v>
      </c>
      <c r="AW99" s="888">
        <v>0.46</v>
      </c>
      <c r="AX99" s="888">
        <v>0.46</v>
      </c>
      <c r="AY99" s="888">
        <v>0.46</v>
      </c>
      <c r="AZ99" s="888">
        <v>0.46</v>
      </c>
      <c r="BA99" s="888">
        <v>0.46</v>
      </c>
      <c r="BB99" s="888">
        <v>0.46</v>
      </c>
      <c r="BC99" s="888">
        <v>0.46</v>
      </c>
      <c r="BD99" s="888">
        <v>0.46</v>
      </c>
      <c r="BE99" s="888">
        <v>0.46</v>
      </c>
      <c r="BF99" s="888">
        <v>0.46</v>
      </c>
      <c r="BG99" s="888">
        <v>0.46</v>
      </c>
      <c r="BH99" s="888">
        <v>0.46</v>
      </c>
      <c r="BI99" s="888">
        <v>0.46</v>
      </c>
      <c r="BJ99" s="888">
        <v>0.46</v>
      </c>
      <c r="BK99" s="888">
        <v>0.46</v>
      </c>
      <c r="BL99" s="888">
        <v>0.46</v>
      </c>
      <c r="BM99" s="888">
        <v>0.46</v>
      </c>
      <c r="BN99" s="888">
        <v>0.46</v>
      </c>
      <c r="BO99" s="888">
        <v>0.46</v>
      </c>
      <c r="BP99" s="888">
        <v>0.46</v>
      </c>
      <c r="BQ99" s="888">
        <v>0.46</v>
      </c>
      <c r="BR99" s="888">
        <v>0.46</v>
      </c>
      <c r="BS99" s="888">
        <v>0.46</v>
      </c>
      <c r="BT99" s="888">
        <v>0.46</v>
      </c>
      <c r="BU99" s="888">
        <v>0.46</v>
      </c>
      <c r="BV99" s="888">
        <v>0.46</v>
      </c>
      <c r="BW99" s="888">
        <v>0.46</v>
      </c>
      <c r="BX99" s="888">
        <v>0.46</v>
      </c>
      <c r="BY99" s="888">
        <v>0.46</v>
      </c>
      <c r="BZ99" s="888">
        <v>0.46</v>
      </c>
      <c r="CA99" s="888">
        <v>0.46</v>
      </c>
      <c r="CB99" s="888">
        <v>0.46</v>
      </c>
      <c r="CC99" s="888">
        <v>0.46</v>
      </c>
      <c r="CD99" s="888">
        <v>0.46</v>
      </c>
      <c r="CE99" s="888">
        <v>0.46</v>
      </c>
      <c r="CF99" s="889">
        <v>0.46</v>
      </c>
    </row>
    <row r="100" spans="1:84">
      <c r="A100" s="876"/>
      <c r="B100" s="890" t="s">
        <v>846</v>
      </c>
      <c r="C100" s="891" t="s">
        <v>843</v>
      </c>
      <c r="D100" s="892">
        <v>1.1508877495320959</v>
      </c>
      <c r="E100" s="893">
        <v>1.1508877495320959</v>
      </c>
      <c r="F100" s="893">
        <v>1.1508877495320959</v>
      </c>
      <c r="G100" s="893">
        <v>1.1508877495320959</v>
      </c>
      <c r="H100" s="893">
        <v>1.1508877495320959</v>
      </c>
      <c r="I100" s="893">
        <v>1.1508877495320959</v>
      </c>
      <c r="J100" s="893">
        <v>1.1508877495320959</v>
      </c>
      <c r="K100" s="893">
        <v>1.1508877495320959</v>
      </c>
      <c r="L100" s="893">
        <v>1.1508877495320959</v>
      </c>
      <c r="M100" s="893">
        <v>1.1508877495320959</v>
      </c>
      <c r="N100" s="893">
        <v>1.1508877495320959</v>
      </c>
      <c r="O100" s="893">
        <v>1.1508877495320959</v>
      </c>
      <c r="P100" s="893">
        <v>1.1508877495320959</v>
      </c>
      <c r="Q100" s="893">
        <v>1.1508877495320959</v>
      </c>
      <c r="R100" s="893">
        <v>1.1508877495320959</v>
      </c>
      <c r="S100" s="893">
        <v>1.1508877495320959</v>
      </c>
      <c r="T100" s="893">
        <v>1.1508877495320959</v>
      </c>
      <c r="U100" s="893">
        <v>1.1508877495320959</v>
      </c>
      <c r="V100" s="893">
        <v>1.1508877495320959</v>
      </c>
      <c r="W100" s="893">
        <v>1.1508877495320959</v>
      </c>
      <c r="X100" s="893">
        <v>1.1508877495320959</v>
      </c>
      <c r="Y100" s="893">
        <v>1.1508877495320959</v>
      </c>
      <c r="Z100" s="893">
        <v>1.1508877495320959</v>
      </c>
      <c r="AA100" s="893">
        <v>1.1508877495320959</v>
      </c>
      <c r="AB100" s="893">
        <v>1.1508877495320959</v>
      </c>
      <c r="AC100" s="893">
        <v>1.1508877495320959</v>
      </c>
      <c r="AD100" s="893">
        <v>1.1508877495320959</v>
      </c>
      <c r="AE100" s="893">
        <v>1.1508877495320959</v>
      </c>
      <c r="AF100" s="893">
        <v>1.1508877495320959</v>
      </c>
      <c r="AG100" s="893">
        <v>1.1508877495320959</v>
      </c>
      <c r="AH100" s="893">
        <v>1.1508877495320959</v>
      </c>
      <c r="AI100" s="893">
        <v>1.1508877495320959</v>
      </c>
      <c r="AJ100" s="893">
        <v>1.1508877495320959</v>
      </c>
      <c r="AK100" s="893">
        <v>1.1508877495320959</v>
      </c>
      <c r="AL100" s="893">
        <v>1.1508877495320959</v>
      </c>
      <c r="AM100" s="893">
        <v>1.1508877495320959</v>
      </c>
      <c r="AN100" s="893">
        <v>1.1508877495320959</v>
      </c>
      <c r="AO100" s="893">
        <v>1.1508877495320959</v>
      </c>
      <c r="AP100" s="893">
        <v>1.1508877495320959</v>
      </c>
      <c r="AQ100" s="893">
        <v>1.1508877495320959</v>
      </c>
      <c r="AR100" s="893">
        <v>1.1508877495320959</v>
      </c>
      <c r="AS100" s="893">
        <v>1.1508877495320959</v>
      </c>
      <c r="AT100" s="893">
        <v>1.1508877495320959</v>
      </c>
      <c r="AU100" s="893">
        <v>1.1508877495320959</v>
      </c>
      <c r="AV100" s="893">
        <v>1.1508877495320959</v>
      </c>
      <c r="AW100" s="893">
        <v>1.1508877495320959</v>
      </c>
      <c r="AX100" s="893">
        <v>1.1508877495320959</v>
      </c>
      <c r="AY100" s="893">
        <v>1.1508877495320959</v>
      </c>
      <c r="AZ100" s="893">
        <v>1.1508877495320959</v>
      </c>
      <c r="BA100" s="893">
        <v>1.1508877495320959</v>
      </c>
      <c r="BB100" s="893">
        <v>1.1508877495320959</v>
      </c>
      <c r="BC100" s="893">
        <v>1.1508877495320959</v>
      </c>
      <c r="BD100" s="893">
        <v>1.1508877495320959</v>
      </c>
      <c r="BE100" s="893">
        <v>1.1508877495320959</v>
      </c>
      <c r="BF100" s="893">
        <v>1.1508877495320959</v>
      </c>
      <c r="BG100" s="893">
        <v>1.1508877495320959</v>
      </c>
      <c r="BH100" s="893">
        <v>1.1508877495320959</v>
      </c>
      <c r="BI100" s="893">
        <v>1.1508877495320959</v>
      </c>
      <c r="BJ100" s="893">
        <v>1.1508877495320959</v>
      </c>
      <c r="BK100" s="893">
        <v>1.1508877495320959</v>
      </c>
      <c r="BL100" s="893">
        <v>1.1508877495320959</v>
      </c>
      <c r="BM100" s="893">
        <v>1.1508877495320959</v>
      </c>
      <c r="BN100" s="893">
        <v>1.1508877495320959</v>
      </c>
      <c r="BO100" s="893">
        <v>1.1508877495320959</v>
      </c>
      <c r="BP100" s="893">
        <v>1.1508877495320959</v>
      </c>
      <c r="BQ100" s="893">
        <v>1.1508877495320959</v>
      </c>
      <c r="BR100" s="893">
        <v>1.1508877495320959</v>
      </c>
      <c r="BS100" s="893">
        <v>1.1508877495320959</v>
      </c>
      <c r="BT100" s="893">
        <v>1.1508877495320959</v>
      </c>
      <c r="BU100" s="893">
        <v>1.1508877495320959</v>
      </c>
      <c r="BV100" s="893">
        <v>1.1508877495320959</v>
      </c>
      <c r="BW100" s="893">
        <v>1.1508877495320959</v>
      </c>
      <c r="BX100" s="893">
        <v>1.1508877495320959</v>
      </c>
      <c r="BY100" s="893">
        <v>1.1508877495320959</v>
      </c>
      <c r="BZ100" s="893">
        <v>1.1508877495320959</v>
      </c>
      <c r="CA100" s="893">
        <v>1.1508877495320959</v>
      </c>
      <c r="CB100" s="893">
        <v>1.1508877495320959</v>
      </c>
      <c r="CC100" s="893">
        <v>1.1508877495320959</v>
      </c>
      <c r="CD100" s="893">
        <v>1.1508877495320959</v>
      </c>
      <c r="CE100" s="893">
        <v>1.1508877495320959</v>
      </c>
      <c r="CF100" s="894">
        <v>1.1508877495320959</v>
      </c>
    </row>
    <row r="101" spans="1:84">
      <c r="A101" s="876"/>
      <c r="B101" s="884" t="str">
        <f>CONCATENATE("Drivmiddel (", $D$122,"-priser)")</f>
        <v>Drivmiddel (-priser)</v>
      </c>
      <c r="C101" s="885" t="s">
        <v>847</v>
      </c>
      <c r="D101" s="886" t="e">
        <f t="shared" ref="D101" si="1053">D8/#REF!*#REF!</f>
        <v>#REF!</v>
      </c>
      <c r="E101" s="886" t="e">
        <f t="shared" ref="E101" si="1054">E8/#REF!*#REF!</f>
        <v>#REF!</v>
      </c>
      <c r="F101" s="886" t="e">
        <f t="shared" ref="F101" si="1055">F8/#REF!*#REF!</f>
        <v>#REF!</v>
      </c>
      <c r="G101" s="886" t="e">
        <f t="shared" ref="G101" si="1056">G8/#REF!*#REF!</f>
        <v>#REF!</v>
      </c>
      <c r="H101" s="886" t="e">
        <f t="shared" ref="H101" si="1057">H8/#REF!*#REF!</f>
        <v>#REF!</v>
      </c>
      <c r="I101" s="886" t="e">
        <f t="shared" ref="I101" si="1058">I8/#REF!*#REF!</f>
        <v>#REF!</v>
      </c>
      <c r="J101" s="886" t="e">
        <f t="shared" ref="J101" si="1059">J8/#REF!*#REF!</f>
        <v>#REF!</v>
      </c>
      <c r="K101" s="886" t="e">
        <f t="shared" ref="K101" si="1060">K8/#REF!*#REF!</f>
        <v>#REF!</v>
      </c>
      <c r="L101" s="886" t="e">
        <f t="shared" ref="L101" si="1061">L8/#REF!*#REF!</f>
        <v>#REF!</v>
      </c>
      <c r="M101" s="886" t="e">
        <f t="shared" ref="M101" si="1062">M8/#REF!*#REF!</f>
        <v>#REF!</v>
      </c>
      <c r="N101" s="886" t="e">
        <f t="shared" ref="N101" si="1063">N8/#REF!*#REF!</f>
        <v>#REF!</v>
      </c>
      <c r="O101" s="886" t="e">
        <f t="shared" ref="O101" si="1064">O8/#REF!*#REF!</f>
        <v>#REF!</v>
      </c>
      <c r="P101" s="886" t="e">
        <f t="shared" ref="P101" si="1065">P8/#REF!*#REF!</f>
        <v>#REF!</v>
      </c>
      <c r="Q101" s="886" t="e">
        <f t="shared" ref="Q101" si="1066">Q8/#REF!*#REF!</f>
        <v>#REF!</v>
      </c>
      <c r="R101" s="886" t="e">
        <f t="shared" ref="R101" si="1067">R8/#REF!*#REF!</f>
        <v>#REF!</v>
      </c>
      <c r="S101" s="886" t="e">
        <f t="shared" ref="S101" si="1068">S8/#REF!*#REF!</f>
        <v>#REF!</v>
      </c>
      <c r="T101" s="886" t="e">
        <f t="shared" ref="T101" si="1069">T8/#REF!*#REF!</f>
        <v>#REF!</v>
      </c>
      <c r="U101" s="886" t="e">
        <f t="shared" ref="U101" si="1070">U8/#REF!*#REF!</f>
        <v>#REF!</v>
      </c>
      <c r="V101" s="886" t="e">
        <f t="shared" ref="V101" si="1071">V8/#REF!*#REF!</f>
        <v>#REF!</v>
      </c>
      <c r="W101" s="886" t="e">
        <f t="shared" ref="W101" si="1072">W8/#REF!*#REF!</f>
        <v>#REF!</v>
      </c>
      <c r="X101" s="886" t="e">
        <f t="shared" ref="X101" si="1073">X8/#REF!*#REF!</f>
        <v>#REF!</v>
      </c>
      <c r="Y101" s="886" t="e">
        <f t="shared" ref="Y101" si="1074">Y8/#REF!*#REF!</f>
        <v>#REF!</v>
      </c>
      <c r="Z101" s="886" t="e">
        <f t="shared" ref="Z101" si="1075">Z8/#REF!*#REF!</f>
        <v>#REF!</v>
      </c>
      <c r="AA101" s="886" t="e">
        <f t="shared" ref="AA101" si="1076">AA8/#REF!*#REF!</f>
        <v>#REF!</v>
      </c>
      <c r="AB101" s="886" t="e">
        <f t="shared" ref="AB101" si="1077">AB8/#REF!*#REF!</f>
        <v>#REF!</v>
      </c>
      <c r="AC101" s="886" t="e">
        <f t="shared" ref="AC101" si="1078">AC8/#REF!*#REF!</f>
        <v>#REF!</v>
      </c>
      <c r="AD101" s="886" t="e">
        <f t="shared" ref="AD101" si="1079">AD8/#REF!*#REF!</f>
        <v>#REF!</v>
      </c>
      <c r="AE101" s="886" t="e">
        <f t="shared" ref="AE101" si="1080">AE8/#REF!*#REF!</f>
        <v>#REF!</v>
      </c>
      <c r="AF101" s="886" t="e">
        <f t="shared" ref="AF101" si="1081">AF8/#REF!*#REF!</f>
        <v>#REF!</v>
      </c>
      <c r="AG101" s="886" t="e">
        <f t="shared" ref="AG101" si="1082">AG8/#REF!*#REF!</f>
        <v>#REF!</v>
      </c>
      <c r="AH101" s="886" t="e">
        <f t="shared" ref="AH101" si="1083">AH8/#REF!*#REF!</f>
        <v>#REF!</v>
      </c>
      <c r="AI101" s="886" t="e">
        <f t="shared" ref="AI101" si="1084">AI8/#REF!*#REF!</f>
        <v>#REF!</v>
      </c>
      <c r="AJ101" s="886" t="e">
        <f t="shared" ref="AJ101" si="1085">AJ8/#REF!*#REF!</f>
        <v>#REF!</v>
      </c>
      <c r="AK101" s="886" t="e">
        <f t="shared" ref="AK101" si="1086">AK8/#REF!*#REF!</f>
        <v>#REF!</v>
      </c>
      <c r="AL101" s="886" t="e">
        <f t="shared" ref="AL101" si="1087">AL8/#REF!*#REF!</f>
        <v>#REF!</v>
      </c>
      <c r="AM101" s="886" t="e">
        <f t="shared" ref="AM101" si="1088">AM8/#REF!*#REF!</f>
        <v>#REF!</v>
      </c>
      <c r="AN101" s="886" t="e">
        <f t="shared" ref="AN101" si="1089">AN8/#REF!*#REF!</f>
        <v>#REF!</v>
      </c>
      <c r="AO101" s="886" t="e">
        <f t="shared" ref="AO101" si="1090">AO8/#REF!*#REF!</f>
        <v>#REF!</v>
      </c>
      <c r="AP101" s="886" t="e">
        <f t="shared" ref="AP101" si="1091">AP8/#REF!*#REF!</f>
        <v>#REF!</v>
      </c>
      <c r="AQ101" s="886" t="e">
        <f t="shared" ref="AQ101" si="1092">AQ8/#REF!*#REF!</f>
        <v>#REF!</v>
      </c>
      <c r="AR101" s="886" t="e">
        <f t="shared" ref="AR101" si="1093">AR8/#REF!*#REF!</f>
        <v>#REF!</v>
      </c>
      <c r="AS101" s="886" t="e">
        <f t="shared" ref="AS101" si="1094">AS8/#REF!*#REF!</f>
        <v>#REF!</v>
      </c>
      <c r="AT101" s="886" t="e">
        <f t="shared" ref="AT101" si="1095">AT8/#REF!*#REF!</f>
        <v>#REF!</v>
      </c>
      <c r="AU101" s="886" t="e">
        <f t="shared" ref="AU101" si="1096">AU8/#REF!*#REF!</f>
        <v>#REF!</v>
      </c>
      <c r="AV101" s="886" t="e">
        <f t="shared" ref="AV101" si="1097">AV8/#REF!*#REF!</f>
        <v>#REF!</v>
      </c>
      <c r="AW101" s="886" t="e">
        <f t="shared" ref="AW101" si="1098">AW8/#REF!*#REF!</f>
        <v>#REF!</v>
      </c>
      <c r="AX101" s="886" t="e">
        <f t="shared" ref="AX101" si="1099">AX8/#REF!*#REF!</f>
        <v>#REF!</v>
      </c>
      <c r="AY101" s="886" t="e">
        <f t="shared" ref="AY101" si="1100">AY8/#REF!*#REF!</f>
        <v>#REF!</v>
      </c>
      <c r="AZ101" s="886" t="e">
        <f t="shared" ref="AZ101" si="1101">AZ8/#REF!*#REF!</f>
        <v>#REF!</v>
      </c>
      <c r="BA101" s="886" t="e">
        <f t="shared" ref="BA101" si="1102">BA8/#REF!*#REF!</f>
        <v>#REF!</v>
      </c>
      <c r="BB101" s="886" t="e">
        <f t="shared" ref="BB101" si="1103">BB8/#REF!*#REF!</f>
        <v>#REF!</v>
      </c>
      <c r="BC101" s="886" t="e">
        <f t="shared" ref="BC101" si="1104">BC8/#REF!*#REF!</f>
        <v>#REF!</v>
      </c>
      <c r="BD101" s="886" t="e">
        <f t="shared" ref="BD101" si="1105">BD8/#REF!*#REF!</f>
        <v>#REF!</v>
      </c>
      <c r="BE101" s="886" t="e">
        <f t="shared" ref="BE101" si="1106">BE8/#REF!*#REF!</f>
        <v>#REF!</v>
      </c>
      <c r="BF101" s="886" t="e">
        <f t="shared" ref="BF101" si="1107">BF8/#REF!*#REF!</f>
        <v>#REF!</v>
      </c>
      <c r="BG101" s="886" t="e">
        <f t="shared" ref="BG101" si="1108">BG8/#REF!*#REF!</f>
        <v>#REF!</v>
      </c>
      <c r="BH101" s="886" t="e">
        <f t="shared" ref="BH101" si="1109">BH8/#REF!*#REF!</f>
        <v>#REF!</v>
      </c>
      <c r="BI101" s="886" t="e">
        <f t="shared" ref="BI101" si="1110">BI8/#REF!*#REF!</f>
        <v>#REF!</v>
      </c>
      <c r="BJ101" s="886" t="e">
        <f t="shared" ref="BJ101" si="1111">BJ8/#REF!*#REF!</f>
        <v>#REF!</v>
      </c>
      <c r="BK101" s="886" t="e">
        <f t="shared" ref="BK101" si="1112">BK8/#REF!*#REF!</f>
        <v>#REF!</v>
      </c>
      <c r="BL101" s="886" t="e">
        <f t="shared" ref="BL101" si="1113">BL8/#REF!*#REF!</f>
        <v>#REF!</v>
      </c>
      <c r="BM101" s="886" t="e">
        <f t="shared" ref="BM101" si="1114">BM8/#REF!*#REF!</f>
        <v>#REF!</v>
      </c>
      <c r="BN101" s="886" t="e">
        <f t="shared" ref="BN101" si="1115">BN8/#REF!*#REF!</f>
        <v>#REF!</v>
      </c>
      <c r="BO101" s="886" t="e">
        <f t="shared" ref="BO101" si="1116">BO8/#REF!*#REF!</f>
        <v>#REF!</v>
      </c>
      <c r="BP101" s="886" t="e">
        <f t="shared" ref="BP101" si="1117">BP8/#REF!*#REF!</f>
        <v>#REF!</v>
      </c>
      <c r="BQ101" s="886" t="e">
        <f t="shared" ref="BQ101" si="1118">BQ8/#REF!*#REF!</f>
        <v>#REF!</v>
      </c>
      <c r="BR101" s="886" t="e">
        <f t="shared" ref="BR101" si="1119">BR8/#REF!*#REF!</f>
        <v>#REF!</v>
      </c>
      <c r="BS101" s="886" t="e">
        <f t="shared" ref="BS101" si="1120">BS8/#REF!*#REF!</f>
        <v>#REF!</v>
      </c>
      <c r="BT101" s="886" t="e">
        <f t="shared" ref="BT101" si="1121">BT8/#REF!*#REF!</f>
        <v>#REF!</v>
      </c>
      <c r="BU101" s="886" t="e">
        <f t="shared" ref="BU101" si="1122">BU8/#REF!*#REF!</f>
        <v>#REF!</v>
      </c>
      <c r="BV101" s="886" t="e">
        <f t="shared" ref="BV101" si="1123">BV8/#REF!*#REF!</f>
        <v>#REF!</v>
      </c>
      <c r="BW101" s="886" t="e">
        <f t="shared" ref="BW101" si="1124">BW8/#REF!*#REF!</f>
        <v>#REF!</v>
      </c>
      <c r="BX101" s="886" t="e">
        <f t="shared" ref="BX101" si="1125">BX8/#REF!*#REF!</f>
        <v>#REF!</v>
      </c>
      <c r="BY101" s="886" t="e">
        <f t="shared" ref="BY101" si="1126">BY8/#REF!*#REF!</f>
        <v>#REF!</v>
      </c>
      <c r="BZ101" s="886" t="e">
        <f t="shared" ref="BZ101" si="1127">BZ8/#REF!*#REF!</f>
        <v>#REF!</v>
      </c>
      <c r="CA101" s="886" t="e">
        <f t="shared" ref="CA101" si="1128">CA8/#REF!*#REF!</f>
        <v>#REF!</v>
      </c>
      <c r="CB101" s="886" t="e">
        <f t="shared" ref="CB101" si="1129">CB8/#REF!*#REF!</f>
        <v>#REF!</v>
      </c>
      <c r="CC101" s="886" t="e">
        <f t="shared" ref="CC101" si="1130">CC8/#REF!*#REF!</f>
        <v>#REF!</v>
      </c>
      <c r="CD101" s="886" t="e">
        <f t="shared" ref="CD101" si="1131">CD8/#REF!*#REF!</f>
        <v>#REF!</v>
      </c>
      <c r="CE101" s="886" t="e">
        <f t="shared" ref="CE101" si="1132">CE8/#REF!*#REF!</f>
        <v>#REF!</v>
      </c>
      <c r="CF101" s="887" t="e">
        <f t="shared" ref="CF101" si="1133">CF8/#REF!*#REF!</f>
        <v>#REF!</v>
      </c>
    </row>
    <row r="102" spans="1:84">
      <c r="A102" s="876"/>
      <c r="B102" s="908" t="s">
        <v>150</v>
      </c>
      <c r="C102" s="909" t="s">
        <v>847</v>
      </c>
      <c r="D102" s="910">
        <v>0.42622424648391499</v>
      </c>
      <c r="E102" s="910">
        <v>0.42622424648391477</v>
      </c>
      <c r="F102" s="910">
        <v>0.42622424648391477</v>
      </c>
      <c r="G102" s="910">
        <v>0.42622424648391477</v>
      </c>
      <c r="H102" s="910">
        <v>0.42622424648391477</v>
      </c>
      <c r="I102" s="910">
        <v>0.42622424648391477</v>
      </c>
      <c r="J102" s="910">
        <v>0.42622424648391477</v>
      </c>
      <c r="K102" s="910">
        <v>0.42622424648391477</v>
      </c>
      <c r="L102" s="910">
        <v>0.42622424648391477</v>
      </c>
      <c r="M102" s="910">
        <v>0.42622424648391477</v>
      </c>
      <c r="N102" s="910">
        <v>0.42622424648391477</v>
      </c>
      <c r="O102" s="910">
        <v>0.42622424648391477</v>
      </c>
      <c r="P102" s="910">
        <v>0.42622424648391477</v>
      </c>
      <c r="Q102" s="910">
        <v>0.42622424648391477</v>
      </c>
      <c r="R102" s="910">
        <v>0.42622424648391477</v>
      </c>
      <c r="S102" s="910">
        <v>0.42622424648391477</v>
      </c>
      <c r="T102" s="910">
        <v>0.42622424648391477</v>
      </c>
      <c r="U102" s="910">
        <v>0.42622424648391477</v>
      </c>
      <c r="V102" s="910">
        <v>0.42622424648391477</v>
      </c>
      <c r="W102" s="910">
        <v>0.42622424648391477</v>
      </c>
      <c r="X102" s="910">
        <v>0.42622424648391477</v>
      </c>
      <c r="Y102" s="910">
        <v>0.42622424648391477</v>
      </c>
      <c r="Z102" s="910">
        <v>0.42622424648391477</v>
      </c>
      <c r="AA102" s="910">
        <v>0.42622424648391477</v>
      </c>
      <c r="AB102" s="910">
        <v>0.42622424648391477</v>
      </c>
      <c r="AC102" s="910">
        <v>0.42622424648391477</v>
      </c>
      <c r="AD102" s="910">
        <v>0.42622424648391477</v>
      </c>
      <c r="AE102" s="910">
        <v>0.42622424648391477</v>
      </c>
      <c r="AF102" s="910">
        <v>0.42622424648391477</v>
      </c>
      <c r="AG102" s="910">
        <v>0.42622424648391477</v>
      </c>
      <c r="AH102" s="910">
        <v>0.42622424648391477</v>
      </c>
      <c r="AI102" s="910">
        <v>0.42622424648391477</v>
      </c>
      <c r="AJ102" s="910">
        <v>0.42622424648391477</v>
      </c>
      <c r="AK102" s="910">
        <v>0.42622424648391477</v>
      </c>
      <c r="AL102" s="910">
        <v>0.42622424648391477</v>
      </c>
      <c r="AM102" s="910">
        <v>0.42622424648391477</v>
      </c>
      <c r="AN102" s="910">
        <v>0.42622424648391477</v>
      </c>
      <c r="AO102" s="910">
        <v>0.42622424648391477</v>
      </c>
      <c r="AP102" s="910">
        <v>0.42622424648391477</v>
      </c>
      <c r="AQ102" s="910">
        <v>0.42622424648391477</v>
      </c>
      <c r="AR102" s="910">
        <v>0.42622424648391477</v>
      </c>
      <c r="AS102" s="910">
        <v>0.42622424648391477</v>
      </c>
      <c r="AT102" s="910">
        <v>0.42622424648391477</v>
      </c>
      <c r="AU102" s="910">
        <v>0.42622424648391477</v>
      </c>
      <c r="AV102" s="910">
        <v>0.42622424648391477</v>
      </c>
      <c r="AW102" s="910">
        <v>0.42622424648391477</v>
      </c>
      <c r="AX102" s="910">
        <v>0.42622424648391477</v>
      </c>
      <c r="AY102" s="910">
        <v>0.42622424648391477</v>
      </c>
      <c r="AZ102" s="910">
        <v>0.42622424648391477</v>
      </c>
      <c r="BA102" s="910">
        <v>0.42622424648391477</v>
      </c>
      <c r="BB102" s="910">
        <v>0.42622424648391477</v>
      </c>
      <c r="BC102" s="910">
        <v>0.42622424648391477</v>
      </c>
      <c r="BD102" s="910">
        <v>0.42622424648391477</v>
      </c>
      <c r="BE102" s="910">
        <v>0.42622424648391477</v>
      </c>
      <c r="BF102" s="910">
        <v>0.42622424648391477</v>
      </c>
      <c r="BG102" s="910">
        <v>0.42622424648391477</v>
      </c>
      <c r="BH102" s="910">
        <v>0.42622424648391477</v>
      </c>
      <c r="BI102" s="910">
        <v>0.42622424648391477</v>
      </c>
      <c r="BJ102" s="910">
        <v>0.42622424648391477</v>
      </c>
      <c r="BK102" s="910">
        <v>0.42622424648391477</v>
      </c>
      <c r="BL102" s="910">
        <v>0.42622424648391477</v>
      </c>
      <c r="BM102" s="910">
        <v>0.42622424648391477</v>
      </c>
      <c r="BN102" s="910">
        <v>0.42622424648391477</v>
      </c>
      <c r="BO102" s="910">
        <v>0.42622424648391477</v>
      </c>
      <c r="BP102" s="910">
        <v>0.42622424648391477</v>
      </c>
      <c r="BQ102" s="910">
        <v>0.42622424648391477</v>
      </c>
      <c r="BR102" s="910">
        <v>0.42622424648391477</v>
      </c>
      <c r="BS102" s="910">
        <v>0.42622424648391477</v>
      </c>
      <c r="BT102" s="910">
        <v>0.42622424648391477</v>
      </c>
      <c r="BU102" s="910">
        <v>0.42622424648391477</v>
      </c>
      <c r="BV102" s="910">
        <v>0.42622424648391477</v>
      </c>
      <c r="BW102" s="910">
        <v>0.42622424648391477</v>
      </c>
      <c r="BX102" s="910">
        <v>0.42622424648391477</v>
      </c>
      <c r="BY102" s="910">
        <v>0.42622424648391477</v>
      </c>
      <c r="BZ102" s="910">
        <v>0.42622424648391477</v>
      </c>
      <c r="CA102" s="910">
        <v>0.42622424648391477</v>
      </c>
      <c r="CB102" s="910">
        <v>0.42622424648391477</v>
      </c>
      <c r="CC102" s="910">
        <v>0.42622424648391477</v>
      </c>
      <c r="CD102" s="910">
        <v>0.42622424648391477</v>
      </c>
      <c r="CE102" s="910">
        <v>0.42622424648391477</v>
      </c>
      <c r="CF102" s="911">
        <v>0.42622424648391477</v>
      </c>
    </row>
    <row r="103" spans="1:84">
      <c r="A103" s="876"/>
      <c r="B103" s="908" t="s">
        <v>844</v>
      </c>
      <c r="C103" s="909" t="s">
        <v>847</v>
      </c>
      <c r="D103" s="910">
        <v>0.11147312764521111</v>
      </c>
      <c r="E103" s="910">
        <v>0.11147312764521111</v>
      </c>
      <c r="F103" s="910">
        <v>0.11147312764521111</v>
      </c>
      <c r="G103" s="910">
        <v>0.11147312764521111</v>
      </c>
      <c r="H103" s="910">
        <v>0.11147312764521111</v>
      </c>
      <c r="I103" s="910">
        <v>0.11147312764521111</v>
      </c>
      <c r="J103" s="910">
        <v>0.11147312764521111</v>
      </c>
      <c r="K103" s="910">
        <v>0.11147312764521111</v>
      </c>
      <c r="L103" s="910">
        <v>0.11147312764521111</v>
      </c>
      <c r="M103" s="910">
        <v>0.11147312764521111</v>
      </c>
      <c r="N103" s="910">
        <v>0.11147312764521111</v>
      </c>
      <c r="O103" s="910">
        <v>0.11147312764521111</v>
      </c>
      <c r="P103" s="910">
        <v>0.11147312764521111</v>
      </c>
      <c r="Q103" s="910">
        <v>0.11147312764521111</v>
      </c>
      <c r="R103" s="910">
        <v>0.11147312764521111</v>
      </c>
      <c r="S103" s="910">
        <v>0.11147312764521111</v>
      </c>
      <c r="T103" s="910">
        <v>0.11147312764521111</v>
      </c>
      <c r="U103" s="910">
        <v>0.11147312764521111</v>
      </c>
      <c r="V103" s="910">
        <v>0.11147312764521111</v>
      </c>
      <c r="W103" s="910">
        <v>0.11147312764521111</v>
      </c>
      <c r="X103" s="910">
        <v>0.11147312764521111</v>
      </c>
      <c r="Y103" s="910">
        <v>0.11147312764521111</v>
      </c>
      <c r="Z103" s="910">
        <v>0.11147312764521111</v>
      </c>
      <c r="AA103" s="910">
        <v>0.11147312764521111</v>
      </c>
      <c r="AB103" s="910">
        <v>0.11147312764521111</v>
      </c>
      <c r="AC103" s="910">
        <v>0.11147312764521111</v>
      </c>
      <c r="AD103" s="910">
        <v>0.11147312764521111</v>
      </c>
      <c r="AE103" s="910">
        <v>0.11147312764521111</v>
      </c>
      <c r="AF103" s="910">
        <v>0.11147312764521111</v>
      </c>
      <c r="AG103" s="910">
        <v>0.11147312764521111</v>
      </c>
      <c r="AH103" s="910">
        <v>0.11147312764521111</v>
      </c>
      <c r="AI103" s="910">
        <v>0.11147312764521111</v>
      </c>
      <c r="AJ103" s="910">
        <v>0.11147312764521111</v>
      </c>
      <c r="AK103" s="910">
        <v>0.11147312764521111</v>
      </c>
      <c r="AL103" s="910">
        <v>0.11147312764521111</v>
      </c>
      <c r="AM103" s="910">
        <v>0.11147312764521111</v>
      </c>
      <c r="AN103" s="910">
        <v>0.11147312764521111</v>
      </c>
      <c r="AO103" s="910">
        <v>0.11147312764521111</v>
      </c>
      <c r="AP103" s="910">
        <v>0.11147312764521111</v>
      </c>
      <c r="AQ103" s="910">
        <v>0.11147312764521111</v>
      </c>
      <c r="AR103" s="910">
        <v>0.11147312764521111</v>
      </c>
      <c r="AS103" s="910">
        <v>0.11147312764521111</v>
      </c>
      <c r="AT103" s="910">
        <v>0.11147312764521111</v>
      </c>
      <c r="AU103" s="910">
        <v>0.11147312764521111</v>
      </c>
      <c r="AV103" s="910">
        <v>0.11147312764521111</v>
      </c>
      <c r="AW103" s="910">
        <v>0.11147312764521111</v>
      </c>
      <c r="AX103" s="910">
        <v>0.11147312764521111</v>
      </c>
      <c r="AY103" s="910">
        <v>0.11147312764521111</v>
      </c>
      <c r="AZ103" s="910">
        <v>0.11147312764521111</v>
      </c>
      <c r="BA103" s="910">
        <v>0.11147312764521111</v>
      </c>
      <c r="BB103" s="910">
        <v>0.11147312764521111</v>
      </c>
      <c r="BC103" s="910">
        <v>0.11147312764521111</v>
      </c>
      <c r="BD103" s="910">
        <v>0.11147312764521111</v>
      </c>
      <c r="BE103" s="910">
        <v>0.11147312764521111</v>
      </c>
      <c r="BF103" s="910">
        <v>0.11147312764521111</v>
      </c>
      <c r="BG103" s="910">
        <v>0.11147312764521111</v>
      </c>
      <c r="BH103" s="910">
        <v>0.11147312764521111</v>
      </c>
      <c r="BI103" s="910">
        <v>0.11147312764521111</v>
      </c>
      <c r="BJ103" s="910">
        <v>0.11147312764521111</v>
      </c>
      <c r="BK103" s="910">
        <v>0.11147312764521111</v>
      </c>
      <c r="BL103" s="910">
        <v>0.11147312764521111</v>
      </c>
      <c r="BM103" s="910">
        <v>0.11147312764521111</v>
      </c>
      <c r="BN103" s="910">
        <v>0.11147312764521111</v>
      </c>
      <c r="BO103" s="910">
        <v>0.11147312764521111</v>
      </c>
      <c r="BP103" s="910">
        <v>0.11147312764521111</v>
      </c>
      <c r="BQ103" s="910">
        <v>0.11147312764521111</v>
      </c>
      <c r="BR103" s="910">
        <v>0.11147312764521111</v>
      </c>
      <c r="BS103" s="910">
        <v>0.11147312764521111</v>
      </c>
      <c r="BT103" s="910">
        <v>0.11147312764521111</v>
      </c>
      <c r="BU103" s="910">
        <v>0.11147312764521111</v>
      </c>
      <c r="BV103" s="910">
        <v>0.11147312764521111</v>
      </c>
      <c r="BW103" s="910">
        <v>0.11147312764521111</v>
      </c>
      <c r="BX103" s="910">
        <v>0.11147312764521111</v>
      </c>
      <c r="BY103" s="910">
        <v>0.11147312764521111</v>
      </c>
      <c r="BZ103" s="910">
        <v>0.11147312764521111</v>
      </c>
      <c r="CA103" s="910">
        <v>0.11147312764521111</v>
      </c>
      <c r="CB103" s="910">
        <v>0.11147312764521111</v>
      </c>
      <c r="CC103" s="910">
        <v>0.11147312764521111</v>
      </c>
      <c r="CD103" s="910">
        <v>0.11147312764521111</v>
      </c>
      <c r="CE103" s="910">
        <v>0.11147312764521111</v>
      </c>
      <c r="CF103" s="911">
        <v>0.11147312764521111</v>
      </c>
    </row>
    <row r="104" spans="1:84">
      <c r="A104" s="876"/>
      <c r="B104" s="884" t="s">
        <v>845</v>
      </c>
      <c r="C104" s="909" t="s">
        <v>847</v>
      </c>
      <c r="D104" s="910">
        <v>0.59225000000000005</v>
      </c>
      <c r="E104" s="910">
        <v>0.59225000000000005</v>
      </c>
      <c r="F104" s="910">
        <v>0.59225000000000005</v>
      </c>
      <c r="G104" s="910">
        <v>0.59225000000000005</v>
      </c>
      <c r="H104" s="910">
        <v>0.59225000000000005</v>
      </c>
      <c r="I104" s="910">
        <v>0.59225000000000005</v>
      </c>
      <c r="J104" s="910">
        <v>0.59225000000000005</v>
      </c>
      <c r="K104" s="910">
        <v>0.59225000000000005</v>
      </c>
      <c r="L104" s="910">
        <v>0.59225000000000005</v>
      </c>
      <c r="M104" s="910">
        <v>0.59225000000000005</v>
      </c>
      <c r="N104" s="910">
        <v>0.59225000000000005</v>
      </c>
      <c r="O104" s="910">
        <v>0.59225000000000005</v>
      </c>
      <c r="P104" s="910">
        <v>0.59225000000000005</v>
      </c>
      <c r="Q104" s="910">
        <v>0.59225000000000005</v>
      </c>
      <c r="R104" s="910">
        <v>0.59225000000000005</v>
      </c>
      <c r="S104" s="910">
        <v>0.59225000000000005</v>
      </c>
      <c r="T104" s="910">
        <v>0.59225000000000005</v>
      </c>
      <c r="U104" s="910">
        <v>0.59225000000000005</v>
      </c>
      <c r="V104" s="910">
        <v>0.59225000000000005</v>
      </c>
      <c r="W104" s="910">
        <v>0.59225000000000005</v>
      </c>
      <c r="X104" s="910">
        <v>0.59225000000000005</v>
      </c>
      <c r="Y104" s="910">
        <v>0.59225000000000005</v>
      </c>
      <c r="Z104" s="910">
        <v>0.59225000000000005</v>
      </c>
      <c r="AA104" s="910">
        <v>0.59225000000000005</v>
      </c>
      <c r="AB104" s="910">
        <v>0.59225000000000005</v>
      </c>
      <c r="AC104" s="910">
        <v>0.59225000000000005</v>
      </c>
      <c r="AD104" s="910">
        <v>0.59225000000000005</v>
      </c>
      <c r="AE104" s="910">
        <v>0.59225000000000005</v>
      </c>
      <c r="AF104" s="910">
        <v>0.59225000000000005</v>
      </c>
      <c r="AG104" s="910">
        <v>0.59225000000000005</v>
      </c>
      <c r="AH104" s="910">
        <v>0.59225000000000005</v>
      </c>
      <c r="AI104" s="910">
        <v>0.59225000000000005</v>
      </c>
      <c r="AJ104" s="910">
        <v>0.59225000000000005</v>
      </c>
      <c r="AK104" s="910">
        <v>0.59225000000000005</v>
      </c>
      <c r="AL104" s="910">
        <v>0.59225000000000005</v>
      </c>
      <c r="AM104" s="910">
        <v>0.59225000000000005</v>
      </c>
      <c r="AN104" s="910">
        <v>0.59225000000000005</v>
      </c>
      <c r="AO104" s="910">
        <v>0.59225000000000005</v>
      </c>
      <c r="AP104" s="910">
        <v>0.59225000000000005</v>
      </c>
      <c r="AQ104" s="910">
        <v>0.59225000000000005</v>
      </c>
      <c r="AR104" s="910">
        <v>0.59225000000000005</v>
      </c>
      <c r="AS104" s="910">
        <v>0.59225000000000005</v>
      </c>
      <c r="AT104" s="910">
        <v>0.59225000000000005</v>
      </c>
      <c r="AU104" s="910">
        <v>0.59225000000000005</v>
      </c>
      <c r="AV104" s="910">
        <v>0.59225000000000005</v>
      </c>
      <c r="AW104" s="910">
        <v>0.59225000000000005</v>
      </c>
      <c r="AX104" s="910">
        <v>0.59225000000000005</v>
      </c>
      <c r="AY104" s="910">
        <v>0.59225000000000005</v>
      </c>
      <c r="AZ104" s="910">
        <v>0.59225000000000005</v>
      </c>
      <c r="BA104" s="910">
        <v>0.59225000000000005</v>
      </c>
      <c r="BB104" s="910">
        <v>0.59225000000000005</v>
      </c>
      <c r="BC104" s="910">
        <v>0.59225000000000005</v>
      </c>
      <c r="BD104" s="910">
        <v>0.59225000000000005</v>
      </c>
      <c r="BE104" s="910">
        <v>0.59225000000000005</v>
      </c>
      <c r="BF104" s="910">
        <v>0.59225000000000005</v>
      </c>
      <c r="BG104" s="910">
        <v>0.59225000000000005</v>
      </c>
      <c r="BH104" s="910">
        <v>0.59225000000000005</v>
      </c>
      <c r="BI104" s="910">
        <v>0.59225000000000005</v>
      </c>
      <c r="BJ104" s="910">
        <v>0.59225000000000005</v>
      </c>
      <c r="BK104" s="910">
        <v>0.59225000000000005</v>
      </c>
      <c r="BL104" s="910">
        <v>0.59225000000000005</v>
      </c>
      <c r="BM104" s="910">
        <v>0.59225000000000005</v>
      </c>
      <c r="BN104" s="910">
        <v>0.59225000000000005</v>
      </c>
      <c r="BO104" s="910">
        <v>0.59225000000000005</v>
      </c>
      <c r="BP104" s="910">
        <v>0.59225000000000005</v>
      </c>
      <c r="BQ104" s="910">
        <v>0.59225000000000005</v>
      </c>
      <c r="BR104" s="910">
        <v>0.59225000000000005</v>
      </c>
      <c r="BS104" s="910">
        <v>0.59225000000000005</v>
      </c>
      <c r="BT104" s="910">
        <v>0.59225000000000005</v>
      </c>
      <c r="BU104" s="910">
        <v>0.59225000000000005</v>
      </c>
      <c r="BV104" s="910">
        <v>0.59225000000000005</v>
      </c>
      <c r="BW104" s="910">
        <v>0.59225000000000005</v>
      </c>
      <c r="BX104" s="910">
        <v>0.59225000000000005</v>
      </c>
      <c r="BY104" s="910">
        <v>0.59225000000000005</v>
      </c>
      <c r="BZ104" s="910">
        <v>0.59225000000000005</v>
      </c>
      <c r="CA104" s="910">
        <v>0.59225000000000005</v>
      </c>
      <c r="CB104" s="910">
        <v>0.59225000000000005</v>
      </c>
      <c r="CC104" s="910">
        <v>0.59225000000000005</v>
      </c>
      <c r="CD104" s="910">
        <v>0.59225000000000005</v>
      </c>
      <c r="CE104" s="910">
        <v>0.59225000000000005</v>
      </c>
      <c r="CF104" s="911">
        <v>0.59225000000000005</v>
      </c>
    </row>
    <row r="105" spans="1:84">
      <c r="A105" s="876"/>
      <c r="B105" s="884" t="s">
        <v>848</v>
      </c>
      <c r="C105" s="909"/>
      <c r="D105" s="910">
        <v>3.4541911024419884E-2</v>
      </c>
      <c r="E105" s="910">
        <v>3.4541911024419884E-2</v>
      </c>
      <c r="F105" s="910">
        <v>3.4541911024419884E-2</v>
      </c>
      <c r="G105" s="910">
        <v>3.4541911024419884E-2</v>
      </c>
      <c r="H105" s="910">
        <v>3.4541911024419884E-2</v>
      </c>
      <c r="I105" s="910">
        <v>3.4541911024419884E-2</v>
      </c>
      <c r="J105" s="910">
        <v>3.4541911024419884E-2</v>
      </c>
      <c r="K105" s="910">
        <v>3.4541911024419884E-2</v>
      </c>
      <c r="L105" s="910">
        <v>3.4541911024419884E-2</v>
      </c>
      <c r="M105" s="910">
        <v>3.4541911024419884E-2</v>
      </c>
      <c r="N105" s="910">
        <v>3.4541911024419884E-2</v>
      </c>
      <c r="O105" s="910">
        <v>3.4541911024419884E-2</v>
      </c>
      <c r="P105" s="910">
        <v>3.4541911024419884E-2</v>
      </c>
      <c r="Q105" s="910">
        <v>3.4541911024419884E-2</v>
      </c>
      <c r="R105" s="910">
        <v>3.4541911024419884E-2</v>
      </c>
      <c r="S105" s="910">
        <v>3.4541911024419884E-2</v>
      </c>
      <c r="T105" s="910">
        <v>3.4541911024419884E-2</v>
      </c>
      <c r="U105" s="910">
        <v>3.4541911024419884E-2</v>
      </c>
      <c r="V105" s="910">
        <v>3.4541911024419884E-2</v>
      </c>
      <c r="W105" s="910">
        <v>3.4541911024419884E-2</v>
      </c>
      <c r="X105" s="910">
        <v>3.4541911024419884E-2</v>
      </c>
      <c r="Y105" s="910">
        <v>3.4541911024419884E-2</v>
      </c>
      <c r="Z105" s="910">
        <v>3.4541911024419884E-2</v>
      </c>
      <c r="AA105" s="910">
        <v>3.4541911024419884E-2</v>
      </c>
      <c r="AB105" s="910">
        <v>3.4541911024419884E-2</v>
      </c>
      <c r="AC105" s="910">
        <v>3.4541911024419884E-2</v>
      </c>
      <c r="AD105" s="910">
        <v>3.4541911024419884E-2</v>
      </c>
      <c r="AE105" s="910">
        <v>3.4541911024419884E-2</v>
      </c>
      <c r="AF105" s="910">
        <v>3.4541911024419884E-2</v>
      </c>
      <c r="AG105" s="910">
        <v>3.4541911024419884E-2</v>
      </c>
      <c r="AH105" s="910">
        <v>3.4541911024419884E-2</v>
      </c>
      <c r="AI105" s="910">
        <v>3.4541911024419884E-2</v>
      </c>
      <c r="AJ105" s="910">
        <v>3.4541911024419884E-2</v>
      </c>
      <c r="AK105" s="910">
        <v>3.4541911024419884E-2</v>
      </c>
      <c r="AL105" s="910">
        <v>3.4541911024419884E-2</v>
      </c>
      <c r="AM105" s="910">
        <v>3.4541911024419884E-2</v>
      </c>
      <c r="AN105" s="910">
        <v>3.4541911024419884E-2</v>
      </c>
      <c r="AO105" s="910">
        <v>3.4541911024419884E-2</v>
      </c>
      <c r="AP105" s="910">
        <v>3.4541911024419884E-2</v>
      </c>
      <c r="AQ105" s="910">
        <v>3.4541911024419884E-2</v>
      </c>
      <c r="AR105" s="910">
        <v>3.4541911024419884E-2</v>
      </c>
      <c r="AS105" s="910">
        <v>3.4541911024419884E-2</v>
      </c>
      <c r="AT105" s="910">
        <v>3.4541911024419884E-2</v>
      </c>
      <c r="AU105" s="910">
        <v>3.4541911024419884E-2</v>
      </c>
      <c r="AV105" s="910">
        <v>3.4541911024419884E-2</v>
      </c>
      <c r="AW105" s="910">
        <v>3.4541911024419884E-2</v>
      </c>
      <c r="AX105" s="910">
        <v>3.4541911024419884E-2</v>
      </c>
      <c r="AY105" s="910">
        <v>3.4541911024419884E-2</v>
      </c>
      <c r="AZ105" s="910">
        <v>3.4541911024419884E-2</v>
      </c>
      <c r="BA105" s="910">
        <v>3.4541911024419884E-2</v>
      </c>
      <c r="BB105" s="910">
        <v>3.4541911024419884E-2</v>
      </c>
      <c r="BC105" s="910">
        <v>3.4541911024419884E-2</v>
      </c>
      <c r="BD105" s="910">
        <v>3.4541911024419884E-2</v>
      </c>
      <c r="BE105" s="910">
        <v>3.4541911024419884E-2</v>
      </c>
      <c r="BF105" s="910">
        <v>3.4541911024419884E-2</v>
      </c>
      <c r="BG105" s="910">
        <v>3.4541911024419884E-2</v>
      </c>
      <c r="BH105" s="910">
        <v>3.4541911024419884E-2</v>
      </c>
      <c r="BI105" s="910">
        <v>3.4541911024419884E-2</v>
      </c>
      <c r="BJ105" s="910">
        <v>3.4541911024419884E-2</v>
      </c>
      <c r="BK105" s="910">
        <v>3.4541911024419884E-2</v>
      </c>
      <c r="BL105" s="910">
        <v>3.4541911024419884E-2</v>
      </c>
      <c r="BM105" s="910">
        <v>3.4541911024419884E-2</v>
      </c>
      <c r="BN105" s="910">
        <v>3.4541911024419884E-2</v>
      </c>
      <c r="BO105" s="910">
        <v>3.4541911024419884E-2</v>
      </c>
      <c r="BP105" s="910">
        <v>3.4541911024419884E-2</v>
      </c>
      <c r="BQ105" s="910">
        <v>3.4541911024419884E-2</v>
      </c>
      <c r="BR105" s="910">
        <v>3.4541911024419884E-2</v>
      </c>
      <c r="BS105" s="910">
        <v>3.4541911024419884E-2</v>
      </c>
      <c r="BT105" s="910">
        <v>3.4541911024419884E-2</v>
      </c>
      <c r="BU105" s="910">
        <v>3.4541911024419884E-2</v>
      </c>
      <c r="BV105" s="910">
        <v>3.4541911024419884E-2</v>
      </c>
      <c r="BW105" s="910">
        <v>3.4541911024419884E-2</v>
      </c>
      <c r="BX105" s="910">
        <v>3.4541911024419884E-2</v>
      </c>
      <c r="BY105" s="910">
        <v>3.4541911024419884E-2</v>
      </c>
      <c r="BZ105" s="910">
        <v>3.4541911024419884E-2</v>
      </c>
      <c r="CA105" s="910">
        <v>3.4541911024419884E-2</v>
      </c>
      <c r="CB105" s="910">
        <v>3.4541911024419884E-2</v>
      </c>
      <c r="CC105" s="910">
        <v>3.4541911024419884E-2</v>
      </c>
      <c r="CD105" s="910">
        <v>3.4541911024419884E-2</v>
      </c>
      <c r="CE105" s="910">
        <v>3.4541911024419884E-2</v>
      </c>
      <c r="CF105" s="911">
        <v>3.4541911024419884E-2</v>
      </c>
    </row>
    <row r="106" spans="1:84" ht="13.8" thickBot="1">
      <c r="A106" s="923"/>
      <c r="B106" s="912" t="s">
        <v>846</v>
      </c>
      <c r="C106" s="913" t="s">
        <v>847</v>
      </c>
      <c r="D106" s="914">
        <v>1.7421060217210187</v>
      </c>
      <c r="E106" s="915">
        <v>1.7421060217210187</v>
      </c>
      <c r="F106" s="915">
        <v>1.7421060217210187</v>
      </c>
      <c r="G106" s="915">
        <v>1.7421060217210187</v>
      </c>
      <c r="H106" s="915">
        <v>1.7421060217210187</v>
      </c>
      <c r="I106" s="915">
        <v>1.7421060217210187</v>
      </c>
      <c r="J106" s="915">
        <v>1.7421060217210187</v>
      </c>
      <c r="K106" s="915">
        <v>1.7421060217210187</v>
      </c>
      <c r="L106" s="915">
        <v>1.7421060217210187</v>
      </c>
      <c r="M106" s="915">
        <v>1.7421060217210187</v>
      </c>
      <c r="N106" s="915">
        <v>1.7421060217210187</v>
      </c>
      <c r="O106" s="915">
        <v>1.7421060217210187</v>
      </c>
      <c r="P106" s="915">
        <v>1.7421060217210187</v>
      </c>
      <c r="Q106" s="915">
        <v>1.7421060217210187</v>
      </c>
      <c r="R106" s="915">
        <v>1.7421060217210187</v>
      </c>
      <c r="S106" s="915">
        <v>1.7421060217210187</v>
      </c>
      <c r="T106" s="915">
        <v>1.7421060217210187</v>
      </c>
      <c r="U106" s="915">
        <v>1.7421060217210187</v>
      </c>
      <c r="V106" s="915">
        <v>1.7421060217210187</v>
      </c>
      <c r="W106" s="915">
        <v>1.7421060217210187</v>
      </c>
      <c r="X106" s="915">
        <v>1.7421060217210187</v>
      </c>
      <c r="Y106" s="915">
        <v>1.7421060217210187</v>
      </c>
      <c r="Z106" s="915">
        <v>1.7421060217210187</v>
      </c>
      <c r="AA106" s="915">
        <v>1.7421060217210187</v>
      </c>
      <c r="AB106" s="915">
        <v>1.7421060217210187</v>
      </c>
      <c r="AC106" s="915">
        <v>1.7421060217210187</v>
      </c>
      <c r="AD106" s="915">
        <v>1.7421060217210187</v>
      </c>
      <c r="AE106" s="915">
        <v>1.7421060217210187</v>
      </c>
      <c r="AF106" s="915">
        <v>1.7421060217210187</v>
      </c>
      <c r="AG106" s="915">
        <v>1.7421060217210187</v>
      </c>
      <c r="AH106" s="915">
        <v>1.7421060217210187</v>
      </c>
      <c r="AI106" s="915">
        <v>1.7421060217210187</v>
      </c>
      <c r="AJ106" s="915">
        <v>1.7421060217210187</v>
      </c>
      <c r="AK106" s="915">
        <v>1.7421060217210187</v>
      </c>
      <c r="AL106" s="915">
        <v>1.7421060217210187</v>
      </c>
      <c r="AM106" s="915">
        <v>1.7421060217210187</v>
      </c>
      <c r="AN106" s="915">
        <v>1.7421060217210187</v>
      </c>
      <c r="AO106" s="915">
        <v>1.7421060217210187</v>
      </c>
      <c r="AP106" s="915">
        <v>1.7421060217210187</v>
      </c>
      <c r="AQ106" s="915">
        <v>1.7421060217210187</v>
      </c>
      <c r="AR106" s="915">
        <v>1.7421060217210187</v>
      </c>
      <c r="AS106" s="915">
        <v>1.7421060217210187</v>
      </c>
      <c r="AT106" s="915">
        <v>1.7421060217210187</v>
      </c>
      <c r="AU106" s="915">
        <v>1.7421060217210187</v>
      </c>
      <c r="AV106" s="915">
        <v>1.7421060217210187</v>
      </c>
      <c r="AW106" s="915">
        <v>1.7421060217210187</v>
      </c>
      <c r="AX106" s="915">
        <v>1.7421060217210187</v>
      </c>
      <c r="AY106" s="915">
        <v>1.7421060217210187</v>
      </c>
      <c r="AZ106" s="915">
        <v>1.7421060217210187</v>
      </c>
      <c r="BA106" s="915">
        <v>1.7421060217210187</v>
      </c>
      <c r="BB106" s="915">
        <v>1.7421060217210187</v>
      </c>
      <c r="BC106" s="915">
        <v>1.7421060217210187</v>
      </c>
      <c r="BD106" s="915">
        <v>1.7421060217210187</v>
      </c>
      <c r="BE106" s="915">
        <v>1.7421060217210187</v>
      </c>
      <c r="BF106" s="915">
        <v>1.7421060217210187</v>
      </c>
      <c r="BG106" s="915">
        <v>1.7421060217210187</v>
      </c>
      <c r="BH106" s="915">
        <v>1.7421060217210187</v>
      </c>
      <c r="BI106" s="915">
        <v>1.7421060217210187</v>
      </c>
      <c r="BJ106" s="915">
        <v>1.7421060217210187</v>
      </c>
      <c r="BK106" s="915">
        <v>1.7421060217210187</v>
      </c>
      <c r="BL106" s="915">
        <v>1.7421060217210187</v>
      </c>
      <c r="BM106" s="915">
        <v>1.7421060217210187</v>
      </c>
      <c r="BN106" s="915">
        <v>1.7421060217210187</v>
      </c>
      <c r="BO106" s="915">
        <v>1.7421060217210187</v>
      </c>
      <c r="BP106" s="915">
        <v>1.7421060217210187</v>
      </c>
      <c r="BQ106" s="915">
        <v>1.7421060217210187</v>
      </c>
      <c r="BR106" s="915">
        <v>1.7421060217210187</v>
      </c>
      <c r="BS106" s="915">
        <v>1.7421060217210187</v>
      </c>
      <c r="BT106" s="915">
        <v>1.7421060217210187</v>
      </c>
      <c r="BU106" s="915">
        <v>1.7421060217210187</v>
      </c>
      <c r="BV106" s="915">
        <v>1.7421060217210187</v>
      </c>
      <c r="BW106" s="915">
        <v>1.7421060217210187</v>
      </c>
      <c r="BX106" s="915">
        <v>1.7421060217210187</v>
      </c>
      <c r="BY106" s="915">
        <v>1.7421060217210187</v>
      </c>
      <c r="BZ106" s="915">
        <v>1.7421060217210187</v>
      </c>
      <c r="CA106" s="915">
        <v>1.7421060217210187</v>
      </c>
      <c r="CB106" s="915">
        <v>1.7421060217210187</v>
      </c>
      <c r="CC106" s="915">
        <v>1.7421060217210187</v>
      </c>
      <c r="CD106" s="915">
        <v>1.7421060217210187</v>
      </c>
      <c r="CE106" s="915">
        <v>1.7421060217210187</v>
      </c>
      <c r="CF106" s="916">
        <v>1.7421060217210187</v>
      </c>
    </row>
    <row r="107" spans="1:84">
      <c r="A107" s="923"/>
      <c r="B107" s="924" t="s">
        <v>856</v>
      </c>
      <c r="C107" s="876"/>
      <c r="D107" s="876"/>
      <c r="E107" s="876"/>
      <c r="F107" s="876"/>
      <c r="G107" s="876"/>
      <c r="H107" s="876"/>
      <c r="I107" s="876"/>
      <c r="J107" s="876"/>
      <c r="K107" s="876"/>
      <c r="L107" s="876"/>
      <c r="M107" s="876"/>
      <c r="N107" s="876"/>
      <c r="O107" s="876"/>
      <c r="P107" s="876"/>
      <c r="Q107" s="876"/>
      <c r="R107" s="876"/>
      <c r="S107" s="876"/>
      <c r="T107" s="876"/>
      <c r="U107" s="876"/>
      <c r="V107" s="876"/>
      <c r="W107" s="876"/>
      <c r="X107" s="876"/>
      <c r="Y107" s="876"/>
      <c r="Z107" s="876"/>
      <c r="AA107" s="876"/>
      <c r="AB107" s="876"/>
      <c r="AC107" s="876"/>
      <c r="AD107" s="876"/>
      <c r="AE107" s="876"/>
      <c r="AF107" s="876"/>
      <c r="AG107" s="876"/>
      <c r="AH107" s="876"/>
      <c r="AI107" s="876"/>
      <c r="AJ107" s="876"/>
      <c r="AK107" s="876"/>
      <c r="AL107" s="876"/>
      <c r="AM107" s="876"/>
      <c r="AN107" s="876"/>
      <c r="AO107" s="876"/>
      <c r="AP107" s="876"/>
      <c r="AQ107" s="876"/>
      <c r="AR107" s="876"/>
      <c r="AS107" s="876"/>
      <c r="AT107" s="876"/>
      <c r="AU107" s="876"/>
      <c r="AV107" s="876"/>
      <c r="AW107" s="876"/>
      <c r="AX107" s="876"/>
      <c r="AY107" s="876"/>
      <c r="AZ107" s="876"/>
      <c r="BA107" s="876"/>
      <c r="BB107" s="876"/>
      <c r="BC107" s="876"/>
      <c r="BD107" s="876"/>
      <c r="BE107" s="876"/>
      <c r="BF107" s="876"/>
      <c r="BG107" s="876"/>
      <c r="BH107" s="876"/>
      <c r="BI107" s="876"/>
      <c r="BJ107" s="876"/>
      <c r="BK107" s="876"/>
      <c r="BL107" s="876"/>
      <c r="BM107" s="876"/>
      <c r="BN107" s="876"/>
      <c r="BO107" s="876"/>
      <c r="BP107" s="876"/>
      <c r="BQ107" s="876"/>
      <c r="BR107" s="876"/>
      <c r="BS107" s="876"/>
      <c r="BT107" s="876"/>
      <c r="BU107" s="876"/>
      <c r="BV107" s="876"/>
      <c r="BW107" s="876"/>
      <c r="BX107" s="876"/>
      <c r="BY107" s="876"/>
      <c r="BZ107" s="876"/>
      <c r="CA107" s="876"/>
      <c r="CB107" s="876"/>
      <c r="CC107" s="876"/>
      <c r="CD107" s="876"/>
      <c r="CE107" s="876"/>
      <c r="CF107" s="876"/>
    </row>
    <row r="108" spans="1:84">
      <c r="A108" s="923"/>
      <c r="B108" s="876"/>
      <c r="C108" s="876"/>
      <c r="D108" s="876"/>
      <c r="E108" s="876"/>
      <c r="F108" s="876"/>
      <c r="G108" s="876"/>
      <c r="H108" s="876"/>
      <c r="I108" s="876"/>
      <c r="J108" s="876"/>
      <c r="K108" s="876"/>
      <c r="L108" s="876"/>
      <c r="M108" s="876"/>
      <c r="N108" s="876"/>
      <c r="O108" s="876"/>
      <c r="P108" s="876"/>
      <c r="Q108" s="876"/>
      <c r="R108" s="876"/>
      <c r="S108" s="876"/>
      <c r="T108" s="876"/>
      <c r="U108" s="876"/>
      <c r="V108" s="876"/>
      <c r="W108" s="876"/>
      <c r="X108" s="876"/>
      <c r="Y108" s="876"/>
      <c r="Z108" s="876"/>
      <c r="AA108" s="876"/>
      <c r="AB108" s="876"/>
      <c r="AC108" s="876"/>
      <c r="AD108" s="876"/>
      <c r="AE108" s="876"/>
      <c r="AF108" s="876"/>
      <c r="AG108" s="876"/>
      <c r="AH108" s="876"/>
      <c r="AI108" s="876"/>
      <c r="AJ108" s="876"/>
      <c r="AK108" s="876"/>
      <c r="AL108" s="876"/>
      <c r="AM108" s="876"/>
      <c r="AN108" s="876"/>
      <c r="AO108" s="876"/>
      <c r="AP108" s="876"/>
      <c r="AQ108" s="876"/>
      <c r="AR108" s="876"/>
      <c r="AS108" s="876"/>
      <c r="AT108" s="876"/>
      <c r="AU108" s="876"/>
      <c r="AV108" s="876"/>
      <c r="AW108" s="876"/>
      <c r="AX108" s="876"/>
      <c r="AY108" s="876"/>
      <c r="AZ108" s="876"/>
      <c r="BA108" s="876"/>
      <c r="BB108" s="876"/>
      <c r="BC108" s="876"/>
      <c r="BD108" s="876"/>
      <c r="BE108" s="876"/>
      <c r="BF108" s="876"/>
      <c r="BG108" s="876"/>
      <c r="BH108" s="876"/>
      <c r="BI108" s="876"/>
      <c r="BJ108" s="876"/>
      <c r="BK108" s="876"/>
      <c r="BL108" s="876"/>
      <c r="BM108" s="876"/>
      <c r="BN108" s="876"/>
      <c r="BO108" s="876"/>
      <c r="BP108" s="876"/>
      <c r="BQ108" s="876"/>
      <c r="BR108" s="876"/>
      <c r="BS108" s="876"/>
      <c r="BT108" s="876"/>
      <c r="BU108" s="876"/>
      <c r="BV108" s="876"/>
      <c r="BW108" s="876"/>
      <c r="BX108" s="876"/>
      <c r="BY108" s="876"/>
      <c r="BZ108" s="876"/>
      <c r="CA108" s="876"/>
      <c r="CB108" s="876"/>
      <c r="CC108" s="876"/>
      <c r="CD108" s="876"/>
      <c r="CE108" s="876"/>
      <c r="CF108" s="876"/>
    </row>
    <row r="109" spans="1:84" ht="13.8" thickBot="1">
      <c r="A109" s="923"/>
      <c r="B109" s="877" t="s">
        <v>857</v>
      </c>
      <c r="C109" s="876"/>
      <c r="D109" s="876"/>
      <c r="E109" s="876"/>
      <c r="F109" s="876"/>
      <c r="G109" s="876"/>
      <c r="H109" s="876"/>
      <c r="I109" s="907">
        <f>$I$140</f>
        <v>0</v>
      </c>
      <c r="J109" s="876" t="s">
        <v>841</v>
      </c>
      <c r="K109" s="876"/>
      <c r="L109" s="876"/>
      <c r="M109" s="876"/>
      <c r="N109" s="876"/>
      <c r="O109" s="876"/>
      <c r="P109" s="876"/>
      <c r="Q109" s="876"/>
      <c r="R109" s="876"/>
      <c r="S109" s="876"/>
      <c r="T109" s="876"/>
      <c r="U109" s="876"/>
      <c r="V109" s="876"/>
      <c r="W109" s="876"/>
      <c r="X109" s="876"/>
      <c r="Y109" s="876"/>
      <c r="Z109" s="876"/>
      <c r="AA109" s="876"/>
      <c r="AB109" s="876"/>
      <c r="AC109" s="876"/>
      <c r="AD109" s="876"/>
      <c r="AE109" s="876"/>
      <c r="AF109" s="876"/>
      <c r="AG109" s="876"/>
      <c r="AH109" s="876"/>
      <c r="AI109" s="876"/>
      <c r="AJ109" s="876"/>
      <c r="AK109" s="876"/>
      <c r="AL109" s="876"/>
      <c r="AM109" s="876"/>
      <c r="AN109" s="876"/>
      <c r="AO109" s="876"/>
      <c r="AP109" s="876"/>
      <c r="AQ109" s="876"/>
      <c r="AR109" s="876"/>
      <c r="AS109" s="876"/>
      <c r="AT109" s="876"/>
      <c r="AU109" s="876"/>
      <c r="AV109" s="876"/>
      <c r="AW109" s="876"/>
      <c r="AX109" s="876"/>
      <c r="AY109" s="876"/>
      <c r="AZ109" s="876"/>
      <c r="BA109" s="876"/>
      <c r="BB109" s="876"/>
      <c r="BC109" s="876"/>
      <c r="BD109" s="876"/>
      <c r="BE109" s="876"/>
      <c r="BF109" s="876"/>
      <c r="BG109" s="876"/>
      <c r="BH109" s="876"/>
      <c r="BI109" s="876"/>
      <c r="BJ109" s="876"/>
      <c r="BK109" s="876"/>
      <c r="BL109" s="876"/>
      <c r="BM109" s="876"/>
      <c r="BN109" s="876"/>
      <c r="BO109" s="876"/>
      <c r="BP109" s="876"/>
      <c r="BQ109" s="876"/>
      <c r="BR109" s="876"/>
      <c r="BS109" s="876"/>
      <c r="BT109" s="876"/>
      <c r="BU109" s="876"/>
      <c r="BV109" s="876"/>
      <c r="BW109" s="876"/>
      <c r="BX109" s="876"/>
      <c r="BY109" s="876"/>
      <c r="BZ109" s="876"/>
      <c r="CA109" s="876"/>
      <c r="CB109" s="876"/>
      <c r="CC109" s="876"/>
      <c r="CD109" s="876"/>
      <c r="CE109" s="876"/>
      <c r="CF109" s="876"/>
    </row>
    <row r="110" spans="1:84">
      <c r="A110" s="923"/>
      <c r="B110" s="880" t="s">
        <v>842</v>
      </c>
      <c r="C110" s="881"/>
      <c r="D110" s="882">
        <v>2010</v>
      </c>
      <c r="E110" s="882">
        <v>2011</v>
      </c>
      <c r="F110" s="882">
        <v>2012</v>
      </c>
      <c r="G110" s="882">
        <v>2013</v>
      </c>
      <c r="H110" s="882">
        <v>2014</v>
      </c>
      <c r="I110" s="882">
        <v>2015</v>
      </c>
      <c r="J110" s="882">
        <v>2016</v>
      </c>
      <c r="K110" s="882">
        <v>2017</v>
      </c>
      <c r="L110" s="882">
        <v>2018</v>
      </c>
      <c r="M110" s="882">
        <v>2019</v>
      </c>
      <c r="N110" s="882">
        <v>2020</v>
      </c>
      <c r="O110" s="882">
        <v>2021</v>
      </c>
      <c r="P110" s="882">
        <v>2022</v>
      </c>
      <c r="Q110" s="882">
        <v>2023</v>
      </c>
      <c r="R110" s="882">
        <v>2024</v>
      </c>
      <c r="S110" s="882">
        <v>2025</v>
      </c>
      <c r="T110" s="882">
        <v>2026</v>
      </c>
      <c r="U110" s="882">
        <v>2027</v>
      </c>
      <c r="V110" s="882">
        <v>2028</v>
      </c>
      <c r="W110" s="882">
        <v>2029</v>
      </c>
      <c r="X110" s="882">
        <v>2030</v>
      </c>
      <c r="Y110" s="882">
        <v>2031</v>
      </c>
      <c r="Z110" s="882">
        <v>2032</v>
      </c>
      <c r="AA110" s="882">
        <v>2033</v>
      </c>
      <c r="AB110" s="882">
        <v>2034</v>
      </c>
      <c r="AC110" s="882">
        <v>2035</v>
      </c>
      <c r="AD110" s="882">
        <v>2036</v>
      </c>
      <c r="AE110" s="882">
        <v>2037</v>
      </c>
      <c r="AF110" s="882">
        <v>2038</v>
      </c>
      <c r="AG110" s="882">
        <v>2039</v>
      </c>
      <c r="AH110" s="882">
        <v>2040</v>
      </c>
      <c r="AI110" s="882">
        <v>2041</v>
      </c>
      <c r="AJ110" s="882">
        <v>2042</v>
      </c>
      <c r="AK110" s="882">
        <v>2043</v>
      </c>
      <c r="AL110" s="882">
        <v>2044</v>
      </c>
      <c r="AM110" s="882">
        <v>2045</v>
      </c>
      <c r="AN110" s="882">
        <v>2046</v>
      </c>
      <c r="AO110" s="882">
        <v>2047</v>
      </c>
      <c r="AP110" s="882">
        <v>2048</v>
      </c>
      <c r="AQ110" s="882">
        <v>2049</v>
      </c>
      <c r="AR110" s="882">
        <v>2050</v>
      </c>
      <c r="AS110" s="882">
        <v>2051</v>
      </c>
      <c r="AT110" s="882">
        <v>2052</v>
      </c>
      <c r="AU110" s="882">
        <v>2053</v>
      </c>
      <c r="AV110" s="882">
        <v>2054</v>
      </c>
      <c r="AW110" s="882">
        <v>2055</v>
      </c>
      <c r="AX110" s="882">
        <v>2056</v>
      </c>
      <c r="AY110" s="882">
        <v>2057</v>
      </c>
      <c r="AZ110" s="882">
        <v>2058</v>
      </c>
      <c r="BA110" s="882">
        <v>2059</v>
      </c>
      <c r="BB110" s="882">
        <v>2060</v>
      </c>
      <c r="BC110" s="882">
        <v>2061</v>
      </c>
      <c r="BD110" s="882">
        <v>2062</v>
      </c>
      <c r="BE110" s="882">
        <v>2063</v>
      </c>
      <c r="BF110" s="882">
        <v>2064</v>
      </c>
      <c r="BG110" s="882">
        <v>2065</v>
      </c>
      <c r="BH110" s="882">
        <v>2066</v>
      </c>
      <c r="BI110" s="882">
        <v>2067</v>
      </c>
      <c r="BJ110" s="882">
        <v>2068</v>
      </c>
      <c r="BK110" s="882">
        <v>2069</v>
      </c>
      <c r="BL110" s="882">
        <v>2070</v>
      </c>
      <c r="BM110" s="882">
        <v>2071</v>
      </c>
      <c r="BN110" s="882">
        <v>2072</v>
      </c>
      <c r="BO110" s="882">
        <v>2073</v>
      </c>
      <c r="BP110" s="882">
        <v>2074</v>
      </c>
      <c r="BQ110" s="882">
        <v>2075</v>
      </c>
      <c r="BR110" s="882">
        <v>2076</v>
      </c>
      <c r="BS110" s="882">
        <v>2077</v>
      </c>
      <c r="BT110" s="882">
        <v>2078</v>
      </c>
      <c r="BU110" s="882">
        <v>2079</v>
      </c>
      <c r="BV110" s="882">
        <v>2080</v>
      </c>
      <c r="BW110" s="882">
        <v>2081</v>
      </c>
      <c r="BX110" s="882">
        <v>2082</v>
      </c>
      <c r="BY110" s="882">
        <v>2083</v>
      </c>
      <c r="BZ110" s="882">
        <v>2084</v>
      </c>
      <c r="CA110" s="882">
        <v>2085</v>
      </c>
      <c r="CB110" s="882">
        <v>2086</v>
      </c>
      <c r="CC110" s="882">
        <v>2087</v>
      </c>
      <c r="CD110" s="882">
        <v>2088</v>
      </c>
      <c r="CE110" s="882">
        <v>2089</v>
      </c>
      <c r="CF110" s="883">
        <v>2090</v>
      </c>
    </row>
    <row r="111" spans="1:84">
      <c r="A111" s="923"/>
      <c r="B111" s="884" t="str">
        <f>CONCATENATE("Drivmiddel (", $D$122,"-priser)")</f>
        <v>Drivmiddel (-priser)</v>
      </c>
      <c r="C111" s="885" t="s">
        <v>843</v>
      </c>
      <c r="D111" s="886" t="e">
        <f t="shared" ref="D111" si="1134">D5/#REF!*#REF!</f>
        <v>#REF!</v>
      </c>
      <c r="E111" s="886" t="e">
        <f t="shared" ref="E111" si="1135">E5/#REF!*#REF!</f>
        <v>#REF!</v>
      </c>
      <c r="F111" s="886" t="e">
        <f t="shared" ref="F111" si="1136">F5/#REF!*#REF!</f>
        <v>#REF!</v>
      </c>
      <c r="G111" s="886" t="e">
        <f t="shared" ref="G111" si="1137">G5/#REF!*#REF!</f>
        <v>#REF!</v>
      </c>
      <c r="H111" s="886" t="e">
        <f t="shared" ref="H111" si="1138">H5/#REF!*#REF!</f>
        <v>#REF!</v>
      </c>
      <c r="I111" s="886" t="e">
        <f t="shared" ref="I111" si="1139">I5/#REF!*#REF!</f>
        <v>#REF!</v>
      </c>
      <c r="J111" s="886" t="e">
        <f t="shared" ref="J111" si="1140">J5/#REF!*#REF!</f>
        <v>#REF!</v>
      </c>
      <c r="K111" s="886" t="e">
        <f t="shared" ref="K111" si="1141">K5/#REF!*#REF!</f>
        <v>#REF!</v>
      </c>
      <c r="L111" s="886" t="e">
        <f t="shared" ref="L111" si="1142">L5/#REF!*#REF!</f>
        <v>#REF!</v>
      </c>
      <c r="M111" s="886" t="e">
        <f t="shared" ref="M111" si="1143">M5/#REF!*#REF!</f>
        <v>#REF!</v>
      </c>
      <c r="N111" s="886" t="e">
        <f t="shared" ref="N111" si="1144">N5/#REF!*#REF!</f>
        <v>#REF!</v>
      </c>
      <c r="O111" s="886" t="e">
        <f t="shared" ref="O111" si="1145">O5/#REF!*#REF!</f>
        <v>#REF!</v>
      </c>
      <c r="P111" s="886" t="e">
        <f t="shared" ref="P111" si="1146">P5/#REF!*#REF!</f>
        <v>#REF!</v>
      </c>
      <c r="Q111" s="886" t="e">
        <f t="shared" ref="Q111" si="1147">Q5/#REF!*#REF!</f>
        <v>#REF!</v>
      </c>
      <c r="R111" s="886" t="e">
        <f t="shared" ref="R111" si="1148">R5/#REF!*#REF!</f>
        <v>#REF!</v>
      </c>
      <c r="S111" s="886" t="e">
        <f t="shared" ref="S111" si="1149">S5/#REF!*#REF!</f>
        <v>#REF!</v>
      </c>
      <c r="T111" s="886" t="e">
        <f t="shared" ref="T111" si="1150">T5/#REF!*#REF!</f>
        <v>#REF!</v>
      </c>
      <c r="U111" s="886" t="e">
        <f t="shared" ref="U111" si="1151">U5/#REF!*#REF!</f>
        <v>#REF!</v>
      </c>
      <c r="V111" s="886" t="e">
        <f t="shared" ref="V111" si="1152">V5/#REF!*#REF!</f>
        <v>#REF!</v>
      </c>
      <c r="W111" s="886" t="e">
        <f t="shared" ref="W111" si="1153">W5/#REF!*#REF!</f>
        <v>#REF!</v>
      </c>
      <c r="X111" s="886" t="e">
        <f t="shared" ref="X111" si="1154">X5/#REF!*#REF!</f>
        <v>#REF!</v>
      </c>
      <c r="Y111" s="886" t="e">
        <f t="shared" ref="Y111" si="1155">Y5/#REF!*#REF!</f>
        <v>#REF!</v>
      </c>
      <c r="Z111" s="886" t="e">
        <f t="shared" ref="Z111" si="1156">Z5/#REF!*#REF!</f>
        <v>#REF!</v>
      </c>
      <c r="AA111" s="886" t="e">
        <f t="shared" ref="AA111" si="1157">AA5/#REF!*#REF!</f>
        <v>#REF!</v>
      </c>
      <c r="AB111" s="886" t="e">
        <f t="shared" ref="AB111" si="1158">AB5/#REF!*#REF!</f>
        <v>#REF!</v>
      </c>
      <c r="AC111" s="886" t="e">
        <f t="shared" ref="AC111" si="1159">AC5/#REF!*#REF!</f>
        <v>#REF!</v>
      </c>
      <c r="AD111" s="886" t="e">
        <f t="shared" ref="AD111" si="1160">AD5/#REF!*#REF!</f>
        <v>#REF!</v>
      </c>
      <c r="AE111" s="886" t="e">
        <f t="shared" ref="AE111" si="1161">AE5/#REF!*#REF!</f>
        <v>#REF!</v>
      </c>
      <c r="AF111" s="886" t="e">
        <f t="shared" ref="AF111" si="1162">AF5/#REF!*#REF!</f>
        <v>#REF!</v>
      </c>
      <c r="AG111" s="886" t="e">
        <f t="shared" ref="AG111" si="1163">AG5/#REF!*#REF!</f>
        <v>#REF!</v>
      </c>
      <c r="AH111" s="886" t="e">
        <f t="shared" ref="AH111" si="1164">AH5/#REF!*#REF!</f>
        <v>#REF!</v>
      </c>
      <c r="AI111" s="886" t="e">
        <f t="shared" ref="AI111" si="1165">AI5/#REF!*#REF!</f>
        <v>#REF!</v>
      </c>
      <c r="AJ111" s="886" t="e">
        <f t="shared" ref="AJ111" si="1166">AJ5/#REF!*#REF!</f>
        <v>#REF!</v>
      </c>
      <c r="AK111" s="886" t="e">
        <f t="shared" ref="AK111" si="1167">AK5/#REF!*#REF!</f>
        <v>#REF!</v>
      </c>
      <c r="AL111" s="886" t="e">
        <f t="shared" ref="AL111" si="1168">AL5/#REF!*#REF!</f>
        <v>#REF!</v>
      </c>
      <c r="AM111" s="886" t="e">
        <f t="shared" ref="AM111" si="1169">AM5/#REF!*#REF!</f>
        <v>#REF!</v>
      </c>
      <c r="AN111" s="886" t="e">
        <f t="shared" ref="AN111" si="1170">AN5/#REF!*#REF!</f>
        <v>#REF!</v>
      </c>
      <c r="AO111" s="886" t="e">
        <f t="shared" ref="AO111" si="1171">AO5/#REF!*#REF!</f>
        <v>#REF!</v>
      </c>
      <c r="AP111" s="886" t="e">
        <f t="shared" ref="AP111" si="1172">AP5/#REF!*#REF!</f>
        <v>#REF!</v>
      </c>
      <c r="AQ111" s="886" t="e">
        <f t="shared" ref="AQ111" si="1173">AQ5/#REF!*#REF!</f>
        <v>#REF!</v>
      </c>
      <c r="AR111" s="886" t="e">
        <f t="shared" ref="AR111" si="1174">AR5/#REF!*#REF!</f>
        <v>#REF!</v>
      </c>
      <c r="AS111" s="886" t="e">
        <f t="shared" ref="AS111" si="1175">AS5/#REF!*#REF!</f>
        <v>#REF!</v>
      </c>
      <c r="AT111" s="886" t="e">
        <f t="shared" ref="AT111" si="1176">AT5/#REF!*#REF!</f>
        <v>#REF!</v>
      </c>
      <c r="AU111" s="886" t="e">
        <f t="shared" ref="AU111" si="1177">AU5/#REF!*#REF!</f>
        <v>#REF!</v>
      </c>
      <c r="AV111" s="886" t="e">
        <f t="shared" ref="AV111" si="1178">AV5/#REF!*#REF!</f>
        <v>#REF!</v>
      </c>
      <c r="AW111" s="886" t="e">
        <f t="shared" ref="AW111" si="1179">AW5/#REF!*#REF!</f>
        <v>#REF!</v>
      </c>
      <c r="AX111" s="886" t="e">
        <f t="shared" ref="AX111" si="1180">AX5/#REF!*#REF!</f>
        <v>#REF!</v>
      </c>
      <c r="AY111" s="886" t="e">
        <f t="shared" ref="AY111" si="1181">AY5/#REF!*#REF!</f>
        <v>#REF!</v>
      </c>
      <c r="AZ111" s="886" t="e">
        <f t="shared" ref="AZ111" si="1182">AZ5/#REF!*#REF!</f>
        <v>#REF!</v>
      </c>
      <c r="BA111" s="886" t="e">
        <f t="shared" ref="BA111" si="1183">BA5/#REF!*#REF!</f>
        <v>#REF!</v>
      </c>
      <c r="BB111" s="886" t="e">
        <f t="shared" ref="BB111" si="1184">BB5/#REF!*#REF!</f>
        <v>#REF!</v>
      </c>
      <c r="BC111" s="886" t="e">
        <f t="shared" ref="BC111" si="1185">BC5/#REF!*#REF!</f>
        <v>#REF!</v>
      </c>
      <c r="BD111" s="886" t="e">
        <f t="shared" ref="BD111" si="1186">BD5/#REF!*#REF!</f>
        <v>#REF!</v>
      </c>
      <c r="BE111" s="886" t="e">
        <f t="shared" ref="BE111" si="1187">BE5/#REF!*#REF!</f>
        <v>#REF!</v>
      </c>
      <c r="BF111" s="886" t="e">
        <f t="shared" ref="BF111" si="1188">BF5/#REF!*#REF!</f>
        <v>#REF!</v>
      </c>
      <c r="BG111" s="886" t="e">
        <f t="shared" ref="BG111" si="1189">BG5/#REF!*#REF!</f>
        <v>#REF!</v>
      </c>
      <c r="BH111" s="886" t="e">
        <f t="shared" ref="BH111" si="1190">BH5/#REF!*#REF!</f>
        <v>#REF!</v>
      </c>
      <c r="BI111" s="886" t="e">
        <f t="shared" ref="BI111" si="1191">BI5/#REF!*#REF!</f>
        <v>#REF!</v>
      </c>
      <c r="BJ111" s="886" t="e">
        <f t="shared" ref="BJ111" si="1192">BJ5/#REF!*#REF!</f>
        <v>#REF!</v>
      </c>
      <c r="BK111" s="886" t="e">
        <f t="shared" ref="BK111" si="1193">BK5/#REF!*#REF!</f>
        <v>#REF!</v>
      </c>
      <c r="BL111" s="886" t="e">
        <f t="shared" ref="BL111" si="1194">BL5/#REF!*#REF!</f>
        <v>#REF!</v>
      </c>
      <c r="BM111" s="886" t="e">
        <f t="shared" ref="BM111" si="1195">BM5/#REF!*#REF!</f>
        <v>#REF!</v>
      </c>
      <c r="BN111" s="886" t="e">
        <f t="shared" ref="BN111" si="1196">BN5/#REF!*#REF!</f>
        <v>#REF!</v>
      </c>
      <c r="BO111" s="886" t="e">
        <f t="shared" ref="BO111" si="1197">BO5/#REF!*#REF!</f>
        <v>#REF!</v>
      </c>
      <c r="BP111" s="886" t="e">
        <f t="shared" ref="BP111" si="1198">BP5/#REF!*#REF!</f>
        <v>#REF!</v>
      </c>
      <c r="BQ111" s="886" t="e">
        <f t="shared" ref="BQ111" si="1199">BQ5/#REF!*#REF!</f>
        <v>#REF!</v>
      </c>
      <c r="BR111" s="886" t="e">
        <f t="shared" ref="BR111" si="1200">BR5/#REF!*#REF!</f>
        <v>#REF!</v>
      </c>
      <c r="BS111" s="886" t="e">
        <f t="shared" ref="BS111" si="1201">BS5/#REF!*#REF!</f>
        <v>#REF!</v>
      </c>
      <c r="BT111" s="886" t="e">
        <f t="shared" ref="BT111" si="1202">BT5/#REF!*#REF!</f>
        <v>#REF!</v>
      </c>
      <c r="BU111" s="886" t="e">
        <f t="shared" ref="BU111" si="1203">BU5/#REF!*#REF!</f>
        <v>#REF!</v>
      </c>
      <c r="BV111" s="886" t="e">
        <f t="shared" ref="BV111" si="1204">BV5/#REF!*#REF!</f>
        <v>#REF!</v>
      </c>
      <c r="BW111" s="886" t="e">
        <f t="shared" ref="BW111" si="1205">BW5/#REF!*#REF!</f>
        <v>#REF!</v>
      </c>
      <c r="BX111" s="886" t="e">
        <f t="shared" ref="BX111" si="1206">BX5/#REF!*#REF!</f>
        <v>#REF!</v>
      </c>
      <c r="BY111" s="886" t="e">
        <f t="shared" ref="BY111" si="1207">BY5/#REF!*#REF!</f>
        <v>#REF!</v>
      </c>
      <c r="BZ111" s="886" t="e">
        <f t="shared" ref="BZ111" si="1208">BZ5/#REF!*#REF!</f>
        <v>#REF!</v>
      </c>
      <c r="CA111" s="886" t="e">
        <f t="shared" ref="CA111" si="1209">CA5/#REF!*#REF!</f>
        <v>#REF!</v>
      </c>
      <c r="CB111" s="886" t="e">
        <f t="shared" ref="CB111" si="1210">CB5/#REF!*#REF!</f>
        <v>#REF!</v>
      </c>
      <c r="CC111" s="886" t="e">
        <f t="shared" ref="CC111" si="1211">CC5/#REF!*#REF!</f>
        <v>#REF!</v>
      </c>
      <c r="CD111" s="886" t="e">
        <f t="shared" ref="CD111" si="1212">CD5/#REF!*#REF!</f>
        <v>#REF!</v>
      </c>
      <c r="CE111" s="886" t="e">
        <f t="shared" ref="CE111" si="1213">CE5/#REF!*#REF!</f>
        <v>#REF!</v>
      </c>
      <c r="CF111" s="887" t="e">
        <f t="shared" ref="CF111" si="1214">CF5/#REF!*#REF!</f>
        <v>#REF!</v>
      </c>
    </row>
    <row r="112" spans="1:84">
      <c r="A112" s="923"/>
      <c r="B112" s="884" t="s">
        <v>150</v>
      </c>
      <c r="C112" s="885" t="s">
        <v>843</v>
      </c>
      <c r="D112" s="888">
        <v>0.13597146181504496</v>
      </c>
      <c r="E112" s="888">
        <v>0.13597146181504496</v>
      </c>
      <c r="F112" s="888">
        <v>0.13597146181504496</v>
      </c>
      <c r="G112" s="888">
        <v>0.13597146181504496</v>
      </c>
      <c r="H112" s="888">
        <v>0.13597146181504496</v>
      </c>
      <c r="I112" s="888">
        <v>0.13597146181504496</v>
      </c>
      <c r="J112" s="888">
        <v>0.13597146181504496</v>
      </c>
      <c r="K112" s="888">
        <v>0.13597146181504496</v>
      </c>
      <c r="L112" s="888">
        <v>0.13597146181504496</v>
      </c>
      <c r="M112" s="888">
        <v>0.13597146181504496</v>
      </c>
      <c r="N112" s="888">
        <v>0.13597146181504496</v>
      </c>
      <c r="O112" s="888">
        <v>0.13597146181504496</v>
      </c>
      <c r="P112" s="888">
        <v>0.13597146181504496</v>
      </c>
      <c r="Q112" s="888">
        <v>0.13597146181504496</v>
      </c>
      <c r="R112" s="888">
        <v>0.13597146181504496</v>
      </c>
      <c r="S112" s="888">
        <v>0.13597146181504496</v>
      </c>
      <c r="T112" s="888">
        <v>0.13597146181504496</v>
      </c>
      <c r="U112" s="888">
        <v>0.13597146181504496</v>
      </c>
      <c r="V112" s="888">
        <v>0.13597146181504496</v>
      </c>
      <c r="W112" s="888">
        <v>0.13597146181504496</v>
      </c>
      <c r="X112" s="888">
        <v>0.13597146181504496</v>
      </c>
      <c r="Y112" s="888">
        <v>0.13597146181504496</v>
      </c>
      <c r="Z112" s="888">
        <v>0.13597146181504496</v>
      </c>
      <c r="AA112" s="888">
        <v>0.13597146181504496</v>
      </c>
      <c r="AB112" s="888">
        <v>0.13597146181504496</v>
      </c>
      <c r="AC112" s="888">
        <v>0.13597146181504496</v>
      </c>
      <c r="AD112" s="888">
        <v>0.13597146181504496</v>
      </c>
      <c r="AE112" s="888">
        <v>0.13597146181504496</v>
      </c>
      <c r="AF112" s="888">
        <v>0.13597146181504496</v>
      </c>
      <c r="AG112" s="888">
        <v>0.13597146181504496</v>
      </c>
      <c r="AH112" s="888">
        <v>0.13597146181504496</v>
      </c>
      <c r="AI112" s="888">
        <v>0.13597146181504496</v>
      </c>
      <c r="AJ112" s="888">
        <v>0.13597146181504496</v>
      </c>
      <c r="AK112" s="888">
        <v>0.13597146181504496</v>
      </c>
      <c r="AL112" s="888">
        <v>0.13597146181504496</v>
      </c>
      <c r="AM112" s="888">
        <v>0.13597146181504496</v>
      </c>
      <c r="AN112" s="888">
        <v>0.13597146181504496</v>
      </c>
      <c r="AO112" s="888">
        <v>0.13597146181504496</v>
      </c>
      <c r="AP112" s="888">
        <v>0.13597146181504496</v>
      </c>
      <c r="AQ112" s="888">
        <v>0.13597146181504496</v>
      </c>
      <c r="AR112" s="888">
        <v>0.13597146181504496</v>
      </c>
      <c r="AS112" s="888">
        <v>0.13597146181504496</v>
      </c>
      <c r="AT112" s="888">
        <v>0.13597146181504496</v>
      </c>
      <c r="AU112" s="888">
        <v>0.13597146181504496</v>
      </c>
      <c r="AV112" s="888">
        <v>0.13597146181504496</v>
      </c>
      <c r="AW112" s="888">
        <v>0.13597146181504496</v>
      </c>
      <c r="AX112" s="888">
        <v>0.13597146181504496</v>
      </c>
      <c r="AY112" s="888">
        <v>0.13597146181504496</v>
      </c>
      <c r="AZ112" s="888">
        <v>0.13597146181504496</v>
      </c>
      <c r="BA112" s="888">
        <v>0.13597146181504496</v>
      </c>
      <c r="BB112" s="888">
        <v>0.13597146181504496</v>
      </c>
      <c r="BC112" s="888">
        <v>0.13597146181504496</v>
      </c>
      <c r="BD112" s="888">
        <v>0.13597146181504496</v>
      </c>
      <c r="BE112" s="888">
        <v>0.13597146181504496</v>
      </c>
      <c r="BF112" s="888">
        <v>0.13597146181504496</v>
      </c>
      <c r="BG112" s="888">
        <v>0.13597146181504496</v>
      </c>
      <c r="BH112" s="888">
        <v>0.13597146181504496</v>
      </c>
      <c r="BI112" s="888">
        <v>0.13597146181504496</v>
      </c>
      <c r="BJ112" s="888">
        <v>0.13597146181504496</v>
      </c>
      <c r="BK112" s="888">
        <v>0.13597146181504496</v>
      </c>
      <c r="BL112" s="888">
        <v>0.13597146181504496</v>
      </c>
      <c r="BM112" s="888">
        <v>0.13597146181504496</v>
      </c>
      <c r="BN112" s="888">
        <v>0.13597146181504496</v>
      </c>
      <c r="BO112" s="888">
        <v>0.13597146181504496</v>
      </c>
      <c r="BP112" s="888">
        <v>0.13597146181504496</v>
      </c>
      <c r="BQ112" s="888">
        <v>0.13597146181504496</v>
      </c>
      <c r="BR112" s="888">
        <v>0.13597146181504496</v>
      </c>
      <c r="BS112" s="888">
        <v>0.13597146181504496</v>
      </c>
      <c r="BT112" s="888">
        <v>0.13597146181504496</v>
      </c>
      <c r="BU112" s="888">
        <v>0.13597146181504496</v>
      </c>
      <c r="BV112" s="888">
        <v>0.13597146181504496</v>
      </c>
      <c r="BW112" s="888">
        <v>0.13597146181504496</v>
      </c>
      <c r="BX112" s="888">
        <v>0.13597146181504496</v>
      </c>
      <c r="BY112" s="888">
        <v>0.13597146181504496</v>
      </c>
      <c r="BZ112" s="888">
        <v>0.13597146181504496</v>
      </c>
      <c r="CA112" s="888">
        <v>0.13597146181504496</v>
      </c>
      <c r="CB112" s="888">
        <v>0.13597146181504496</v>
      </c>
      <c r="CC112" s="888">
        <v>0.13597146181504496</v>
      </c>
      <c r="CD112" s="888">
        <v>0.13597146181504496</v>
      </c>
      <c r="CE112" s="888">
        <v>0.13597146181504496</v>
      </c>
      <c r="CF112" s="889">
        <v>0.13597146181504496</v>
      </c>
    </row>
    <row r="113" spans="1:84">
      <c r="A113" s="923"/>
      <c r="B113" s="884" t="s">
        <v>844</v>
      </c>
      <c r="C113" s="885" t="s">
        <v>843</v>
      </c>
      <c r="D113" s="888">
        <v>8.9178502116168887E-2</v>
      </c>
      <c r="E113" s="888">
        <v>8.9178502116168887E-2</v>
      </c>
      <c r="F113" s="888">
        <v>8.9178502116168887E-2</v>
      </c>
      <c r="G113" s="888">
        <v>8.9178502116168887E-2</v>
      </c>
      <c r="H113" s="888">
        <v>8.9178502116168887E-2</v>
      </c>
      <c r="I113" s="888">
        <v>8.9178502116168887E-2</v>
      </c>
      <c r="J113" s="888">
        <v>8.9178502116168887E-2</v>
      </c>
      <c r="K113" s="888">
        <v>8.9178502116168887E-2</v>
      </c>
      <c r="L113" s="888">
        <v>8.9178502116168887E-2</v>
      </c>
      <c r="M113" s="888">
        <v>8.9178502116168887E-2</v>
      </c>
      <c r="N113" s="888">
        <v>8.9178502116168887E-2</v>
      </c>
      <c r="O113" s="888">
        <v>8.9178502116168887E-2</v>
      </c>
      <c r="P113" s="888">
        <v>8.9178502116168887E-2</v>
      </c>
      <c r="Q113" s="888">
        <v>8.9178502116168887E-2</v>
      </c>
      <c r="R113" s="888">
        <v>8.9178502116168887E-2</v>
      </c>
      <c r="S113" s="888">
        <v>8.9178502116168887E-2</v>
      </c>
      <c r="T113" s="888">
        <v>8.9178502116168887E-2</v>
      </c>
      <c r="U113" s="888">
        <v>8.9178502116168887E-2</v>
      </c>
      <c r="V113" s="888">
        <v>8.9178502116168887E-2</v>
      </c>
      <c r="W113" s="888">
        <v>8.9178502116168887E-2</v>
      </c>
      <c r="X113" s="888">
        <v>8.9178502116168887E-2</v>
      </c>
      <c r="Y113" s="888">
        <v>8.9178502116168887E-2</v>
      </c>
      <c r="Z113" s="888">
        <v>8.9178502116168887E-2</v>
      </c>
      <c r="AA113" s="888">
        <v>8.9178502116168887E-2</v>
      </c>
      <c r="AB113" s="888">
        <v>8.9178502116168887E-2</v>
      </c>
      <c r="AC113" s="888">
        <v>8.9178502116168887E-2</v>
      </c>
      <c r="AD113" s="888">
        <v>8.9178502116168887E-2</v>
      </c>
      <c r="AE113" s="888">
        <v>8.9178502116168887E-2</v>
      </c>
      <c r="AF113" s="888">
        <v>8.9178502116168887E-2</v>
      </c>
      <c r="AG113" s="888">
        <v>8.9178502116168887E-2</v>
      </c>
      <c r="AH113" s="888">
        <v>8.9178502116168887E-2</v>
      </c>
      <c r="AI113" s="888">
        <v>8.9178502116168887E-2</v>
      </c>
      <c r="AJ113" s="888">
        <v>8.9178502116168887E-2</v>
      </c>
      <c r="AK113" s="888">
        <v>8.9178502116168887E-2</v>
      </c>
      <c r="AL113" s="888">
        <v>8.9178502116168887E-2</v>
      </c>
      <c r="AM113" s="888">
        <v>8.9178502116168887E-2</v>
      </c>
      <c r="AN113" s="888">
        <v>8.9178502116168887E-2</v>
      </c>
      <c r="AO113" s="888">
        <v>8.9178502116168887E-2</v>
      </c>
      <c r="AP113" s="888">
        <v>8.9178502116168887E-2</v>
      </c>
      <c r="AQ113" s="888">
        <v>8.9178502116168887E-2</v>
      </c>
      <c r="AR113" s="888">
        <v>8.9178502116168887E-2</v>
      </c>
      <c r="AS113" s="888">
        <v>8.9178502116168887E-2</v>
      </c>
      <c r="AT113" s="888">
        <v>8.9178502116168887E-2</v>
      </c>
      <c r="AU113" s="888">
        <v>8.9178502116168887E-2</v>
      </c>
      <c r="AV113" s="888">
        <v>8.9178502116168887E-2</v>
      </c>
      <c r="AW113" s="888">
        <v>8.9178502116168887E-2</v>
      </c>
      <c r="AX113" s="888">
        <v>8.9178502116168887E-2</v>
      </c>
      <c r="AY113" s="888">
        <v>8.9178502116168887E-2</v>
      </c>
      <c r="AZ113" s="888">
        <v>8.9178502116168887E-2</v>
      </c>
      <c r="BA113" s="888">
        <v>8.9178502116168887E-2</v>
      </c>
      <c r="BB113" s="888">
        <v>8.9178502116168887E-2</v>
      </c>
      <c r="BC113" s="888">
        <v>8.9178502116168887E-2</v>
      </c>
      <c r="BD113" s="888">
        <v>8.9178502116168887E-2</v>
      </c>
      <c r="BE113" s="888">
        <v>8.9178502116168887E-2</v>
      </c>
      <c r="BF113" s="888">
        <v>8.9178502116168887E-2</v>
      </c>
      <c r="BG113" s="888">
        <v>8.9178502116168887E-2</v>
      </c>
      <c r="BH113" s="888">
        <v>8.9178502116168887E-2</v>
      </c>
      <c r="BI113" s="888">
        <v>8.9178502116168887E-2</v>
      </c>
      <c r="BJ113" s="888">
        <v>8.9178502116168887E-2</v>
      </c>
      <c r="BK113" s="888">
        <v>8.9178502116168887E-2</v>
      </c>
      <c r="BL113" s="888">
        <v>8.9178502116168887E-2</v>
      </c>
      <c r="BM113" s="888">
        <v>8.9178502116168887E-2</v>
      </c>
      <c r="BN113" s="888">
        <v>8.9178502116168887E-2</v>
      </c>
      <c r="BO113" s="888">
        <v>8.9178502116168887E-2</v>
      </c>
      <c r="BP113" s="888">
        <v>8.9178502116168887E-2</v>
      </c>
      <c r="BQ113" s="888">
        <v>8.9178502116168887E-2</v>
      </c>
      <c r="BR113" s="888">
        <v>8.9178502116168887E-2</v>
      </c>
      <c r="BS113" s="888">
        <v>8.9178502116168887E-2</v>
      </c>
      <c r="BT113" s="888">
        <v>8.9178502116168887E-2</v>
      </c>
      <c r="BU113" s="888">
        <v>8.9178502116168887E-2</v>
      </c>
      <c r="BV113" s="888">
        <v>8.9178502116168887E-2</v>
      </c>
      <c r="BW113" s="888">
        <v>8.9178502116168887E-2</v>
      </c>
      <c r="BX113" s="888">
        <v>8.9178502116168887E-2</v>
      </c>
      <c r="BY113" s="888">
        <v>8.9178502116168887E-2</v>
      </c>
      <c r="BZ113" s="888">
        <v>8.9178502116168887E-2</v>
      </c>
      <c r="CA113" s="888">
        <v>8.9178502116168887E-2</v>
      </c>
      <c r="CB113" s="888">
        <v>8.9178502116168887E-2</v>
      </c>
      <c r="CC113" s="888">
        <v>8.9178502116168887E-2</v>
      </c>
      <c r="CD113" s="888">
        <v>8.9178502116168887E-2</v>
      </c>
      <c r="CE113" s="888">
        <v>8.9178502116168887E-2</v>
      </c>
      <c r="CF113" s="889">
        <v>8.9178502116168887E-2</v>
      </c>
    </row>
    <row r="114" spans="1:84">
      <c r="A114" s="923"/>
      <c r="B114" s="884" t="s">
        <v>845</v>
      </c>
      <c r="C114" s="885" t="s">
        <v>843</v>
      </c>
      <c r="D114" s="888">
        <v>0.18708804523307052</v>
      </c>
      <c r="E114" s="888">
        <v>0.18708804523307052</v>
      </c>
      <c r="F114" s="888">
        <v>0.18708804523307052</v>
      </c>
      <c r="G114" s="888">
        <v>0.18708804523307052</v>
      </c>
      <c r="H114" s="888">
        <v>0.18708804523307052</v>
      </c>
      <c r="I114" s="888">
        <v>0.18708804523307052</v>
      </c>
      <c r="J114" s="888">
        <v>0.18708804523307052</v>
      </c>
      <c r="K114" s="888">
        <v>0.18708804523307052</v>
      </c>
      <c r="L114" s="888">
        <v>0.18708804523307052</v>
      </c>
      <c r="M114" s="888">
        <v>0.18708804523307052</v>
      </c>
      <c r="N114" s="888">
        <v>0.18708804523307052</v>
      </c>
      <c r="O114" s="888">
        <v>0.18708804523307052</v>
      </c>
      <c r="P114" s="888">
        <v>0.18708804523307052</v>
      </c>
      <c r="Q114" s="888">
        <v>0.18708804523307052</v>
      </c>
      <c r="R114" s="888">
        <v>0.18708804523307052</v>
      </c>
      <c r="S114" s="888">
        <v>0.18708804523307052</v>
      </c>
      <c r="T114" s="888">
        <v>0.18708804523307052</v>
      </c>
      <c r="U114" s="888">
        <v>0.18708804523307052</v>
      </c>
      <c r="V114" s="888">
        <v>0.18708804523307052</v>
      </c>
      <c r="W114" s="888">
        <v>0.18708804523307052</v>
      </c>
      <c r="X114" s="888">
        <v>0.18708804523307052</v>
      </c>
      <c r="Y114" s="888">
        <v>0.18708804523307052</v>
      </c>
      <c r="Z114" s="888">
        <v>0.18708804523307052</v>
      </c>
      <c r="AA114" s="888">
        <v>0.18708804523307052</v>
      </c>
      <c r="AB114" s="888">
        <v>0.18708804523307052</v>
      </c>
      <c r="AC114" s="888">
        <v>0.18708804523307052</v>
      </c>
      <c r="AD114" s="888">
        <v>0.18708804523307052</v>
      </c>
      <c r="AE114" s="888">
        <v>0.18708804523307052</v>
      </c>
      <c r="AF114" s="888">
        <v>0.18708804523307052</v>
      </c>
      <c r="AG114" s="888">
        <v>0.18708804523307052</v>
      </c>
      <c r="AH114" s="888">
        <v>0.18708804523307052</v>
      </c>
      <c r="AI114" s="888">
        <v>0.18708804523307052</v>
      </c>
      <c r="AJ114" s="888">
        <v>0.18708804523307052</v>
      </c>
      <c r="AK114" s="888">
        <v>0.18708804523307052</v>
      </c>
      <c r="AL114" s="888">
        <v>0.18708804523307052</v>
      </c>
      <c r="AM114" s="888">
        <v>0.18708804523307052</v>
      </c>
      <c r="AN114" s="888">
        <v>0.18708804523307052</v>
      </c>
      <c r="AO114" s="888">
        <v>0.18708804523307052</v>
      </c>
      <c r="AP114" s="888">
        <v>0.18708804523307052</v>
      </c>
      <c r="AQ114" s="888">
        <v>0.18708804523307052</v>
      </c>
      <c r="AR114" s="888">
        <v>0.18708804523307052</v>
      </c>
      <c r="AS114" s="888">
        <v>0.18708804523307052</v>
      </c>
      <c r="AT114" s="888">
        <v>0.18708804523307052</v>
      </c>
      <c r="AU114" s="888">
        <v>0.18708804523307052</v>
      </c>
      <c r="AV114" s="888">
        <v>0.18708804523307052</v>
      </c>
      <c r="AW114" s="888">
        <v>0.18708804523307052</v>
      </c>
      <c r="AX114" s="888">
        <v>0.18708804523307052</v>
      </c>
      <c r="AY114" s="888">
        <v>0.18708804523307052</v>
      </c>
      <c r="AZ114" s="888">
        <v>0.18708804523307052</v>
      </c>
      <c r="BA114" s="888">
        <v>0.18708804523307052</v>
      </c>
      <c r="BB114" s="888">
        <v>0.18708804523307052</v>
      </c>
      <c r="BC114" s="888">
        <v>0.18708804523307052</v>
      </c>
      <c r="BD114" s="888">
        <v>0.18708804523307052</v>
      </c>
      <c r="BE114" s="888">
        <v>0.18708804523307052</v>
      </c>
      <c r="BF114" s="888">
        <v>0.18708804523307052</v>
      </c>
      <c r="BG114" s="888">
        <v>0.18708804523307052</v>
      </c>
      <c r="BH114" s="888">
        <v>0.18708804523307052</v>
      </c>
      <c r="BI114" s="888">
        <v>0.18708804523307052</v>
      </c>
      <c r="BJ114" s="888">
        <v>0.18708804523307052</v>
      </c>
      <c r="BK114" s="888">
        <v>0.18708804523307052</v>
      </c>
      <c r="BL114" s="888">
        <v>0.18708804523307052</v>
      </c>
      <c r="BM114" s="888">
        <v>0.18708804523307052</v>
      </c>
      <c r="BN114" s="888">
        <v>0.18708804523307052</v>
      </c>
      <c r="BO114" s="888">
        <v>0.18708804523307052</v>
      </c>
      <c r="BP114" s="888">
        <v>0.18708804523307052</v>
      </c>
      <c r="BQ114" s="888">
        <v>0.18708804523307052</v>
      </c>
      <c r="BR114" s="888">
        <v>0.18708804523307052</v>
      </c>
      <c r="BS114" s="888">
        <v>0.18708804523307052</v>
      </c>
      <c r="BT114" s="888">
        <v>0.18708804523307052</v>
      </c>
      <c r="BU114" s="888">
        <v>0.18708804523307052</v>
      </c>
      <c r="BV114" s="888">
        <v>0.18708804523307052</v>
      </c>
      <c r="BW114" s="888">
        <v>0.18708804523307052</v>
      </c>
      <c r="BX114" s="888">
        <v>0.18708804523307052</v>
      </c>
      <c r="BY114" s="888">
        <v>0.18708804523307052</v>
      </c>
      <c r="BZ114" s="888">
        <v>0.18708804523307052</v>
      </c>
      <c r="CA114" s="888">
        <v>0.18708804523307052</v>
      </c>
      <c r="CB114" s="888">
        <v>0.18708804523307052</v>
      </c>
      <c r="CC114" s="888">
        <v>0.18708804523307052</v>
      </c>
      <c r="CD114" s="888">
        <v>0.18708804523307052</v>
      </c>
      <c r="CE114" s="888">
        <v>0.18708804523307052</v>
      </c>
      <c r="CF114" s="889">
        <v>0.18708804523307052</v>
      </c>
    </row>
    <row r="115" spans="1:84">
      <c r="A115" s="923"/>
      <c r="B115" s="890" t="s">
        <v>846</v>
      </c>
      <c r="C115" s="891" t="s">
        <v>843</v>
      </c>
      <c r="D115" s="892">
        <v>0.46829725152086032</v>
      </c>
      <c r="E115" s="893">
        <v>0.46829725152086032</v>
      </c>
      <c r="F115" s="893">
        <v>0.46829725152086032</v>
      </c>
      <c r="G115" s="893">
        <v>0.46829725152086032</v>
      </c>
      <c r="H115" s="893">
        <v>0.46829725152086032</v>
      </c>
      <c r="I115" s="893">
        <v>0.46829725152086032</v>
      </c>
      <c r="J115" s="893">
        <v>0.46829725152086032</v>
      </c>
      <c r="K115" s="893">
        <v>0.46829725152086032</v>
      </c>
      <c r="L115" s="893">
        <v>0.46829725152086032</v>
      </c>
      <c r="M115" s="893">
        <v>0.46829725152086032</v>
      </c>
      <c r="N115" s="893">
        <v>0.46829725152086032</v>
      </c>
      <c r="O115" s="893">
        <v>0.46829725152086032</v>
      </c>
      <c r="P115" s="893">
        <v>0.46829725152086032</v>
      </c>
      <c r="Q115" s="893">
        <v>0.46829725152086032</v>
      </c>
      <c r="R115" s="893">
        <v>0.46829725152086032</v>
      </c>
      <c r="S115" s="893">
        <v>0.46829725152086032</v>
      </c>
      <c r="T115" s="893">
        <v>0.46829725152086032</v>
      </c>
      <c r="U115" s="893">
        <v>0.46829725152086032</v>
      </c>
      <c r="V115" s="893">
        <v>0.46829725152086032</v>
      </c>
      <c r="W115" s="893">
        <v>0.46829725152086032</v>
      </c>
      <c r="X115" s="893">
        <v>0.46829725152086032</v>
      </c>
      <c r="Y115" s="893">
        <v>0.46829725152086032</v>
      </c>
      <c r="Z115" s="893">
        <v>0.46829725152086032</v>
      </c>
      <c r="AA115" s="893">
        <v>0.46829725152086032</v>
      </c>
      <c r="AB115" s="893">
        <v>0.46829725152086032</v>
      </c>
      <c r="AC115" s="893">
        <v>0.46829725152086032</v>
      </c>
      <c r="AD115" s="893">
        <v>0.46829725152086032</v>
      </c>
      <c r="AE115" s="893">
        <v>0.46829725152086032</v>
      </c>
      <c r="AF115" s="893">
        <v>0.46829725152086032</v>
      </c>
      <c r="AG115" s="893">
        <v>0.46829725152086032</v>
      </c>
      <c r="AH115" s="893">
        <v>0.46829725152086032</v>
      </c>
      <c r="AI115" s="893">
        <v>0.46829725152086032</v>
      </c>
      <c r="AJ115" s="893">
        <v>0.46829725152086032</v>
      </c>
      <c r="AK115" s="893">
        <v>0.46829725152086032</v>
      </c>
      <c r="AL115" s="893">
        <v>0.46829725152086032</v>
      </c>
      <c r="AM115" s="893">
        <v>0.46829725152086032</v>
      </c>
      <c r="AN115" s="893">
        <v>0.46829725152086032</v>
      </c>
      <c r="AO115" s="893">
        <v>0.46829725152086032</v>
      </c>
      <c r="AP115" s="893">
        <v>0.46829725152086032</v>
      </c>
      <c r="AQ115" s="893">
        <v>0.46829725152086032</v>
      </c>
      <c r="AR115" s="893">
        <v>0.46829725152086032</v>
      </c>
      <c r="AS115" s="893">
        <v>0.46829725152086032</v>
      </c>
      <c r="AT115" s="893">
        <v>0.46829725152086032</v>
      </c>
      <c r="AU115" s="893">
        <v>0.46829725152086032</v>
      </c>
      <c r="AV115" s="893">
        <v>0.46829725152086032</v>
      </c>
      <c r="AW115" s="893">
        <v>0.46829725152086032</v>
      </c>
      <c r="AX115" s="893">
        <v>0.46829725152086032</v>
      </c>
      <c r="AY115" s="893">
        <v>0.46829725152086032</v>
      </c>
      <c r="AZ115" s="893">
        <v>0.46829725152086032</v>
      </c>
      <c r="BA115" s="893">
        <v>0.46829725152086032</v>
      </c>
      <c r="BB115" s="893">
        <v>0.46829725152086032</v>
      </c>
      <c r="BC115" s="893">
        <v>0.46829725152086032</v>
      </c>
      <c r="BD115" s="893">
        <v>0.46829725152086032</v>
      </c>
      <c r="BE115" s="893">
        <v>0.46829725152086032</v>
      </c>
      <c r="BF115" s="893">
        <v>0.46829725152086032</v>
      </c>
      <c r="BG115" s="893">
        <v>0.46829725152086032</v>
      </c>
      <c r="BH115" s="893">
        <v>0.46829725152086032</v>
      </c>
      <c r="BI115" s="893">
        <v>0.46829725152086032</v>
      </c>
      <c r="BJ115" s="893">
        <v>0.46829725152086032</v>
      </c>
      <c r="BK115" s="893">
        <v>0.46829725152086032</v>
      </c>
      <c r="BL115" s="893">
        <v>0.46829725152086032</v>
      </c>
      <c r="BM115" s="893">
        <v>0.46829725152086032</v>
      </c>
      <c r="BN115" s="893">
        <v>0.46829725152086032</v>
      </c>
      <c r="BO115" s="893">
        <v>0.46829725152086032</v>
      </c>
      <c r="BP115" s="893">
        <v>0.46829725152086032</v>
      </c>
      <c r="BQ115" s="893">
        <v>0.46829725152086032</v>
      </c>
      <c r="BR115" s="893">
        <v>0.46829725152086032</v>
      </c>
      <c r="BS115" s="893">
        <v>0.46829725152086032</v>
      </c>
      <c r="BT115" s="893">
        <v>0.46829725152086032</v>
      </c>
      <c r="BU115" s="893">
        <v>0.46829725152086032</v>
      </c>
      <c r="BV115" s="893">
        <v>0.46829725152086032</v>
      </c>
      <c r="BW115" s="893">
        <v>0.46829725152086032</v>
      </c>
      <c r="BX115" s="893">
        <v>0.46829725152086032</v>
      </c>
      <c r="BY115" s="893">
        <v>0.46829725152086032</v>
      </c>
      <c r="BZ115" s="893">
        <v>0.46829725152086032</v>
      </c>
      <c r="CA115" s="893">
        <v>0.46829725152086032</v>
      </c>
      <c r="CB115" s="893">
        <v>0.46829725152086032</v>
      </c>
      <c r="CC115" s="893">
        <v>0.46829725152086032</v>
      </c>
      <c r="CD115" s="893">
        <v>0.46829725152086032</v>
      </c>
      <c r="CE115" s="893">
        <v>0.46829725152086032</v>
      </c>
      <c r="CF115" s="894">
        <v>0.46829725152086032</v>
      </c>
    </row>
    <row r="116" spans="1:84">
      <c r="A116" s="923"/>
      <c r="B116" s="884" t="str">
        <f>CONCATENATE("Drivmiddel (", $D$122,"-priser)")</f>
        <v>Drivmiddel (-priser)</v>
      </c>
      <c r="C116" s="885" t="s">
        <v>847</v>
      </c>
      <c r="D116" s="886" t="e">
        <f t="shared" ref="D116" si="1215">D8/#REF!*#REF!</f>
        <v>#REF!</v>
      </c>
      <c r="E116" s="886" t="e">
        <f t="shared" ref="E116" si="1216">E8/#REF!*#REF!</f>
        <v>#REF!</v>
      </c>
      <c r="F116" s="886" t="e">
        <f t="shared" ref="F116" si="1217">F8/#REF!*#REF!</f>
        <v>#REF!</v>
      </c>
      <c r="G116" s="886" t="e">
        <f t="shared" ref="G116" si="1218">G8/#REF!*#REF!</f>
        <v>#REF!</v>
      </c>
      <c r="H116" s="886" t="e">
        <f t="shared" ref="H116" si="1219">H8/#REF!*#REF!</f>
        <v>#REF!</v>
      </c>
      <c r="I116" s="886" t="e">
        <f t="shared" ref="I116" si="1220">I8/#REF!*#REF!</f>
        <v>#REF!</v>
      </c>
      <c r="J116" s="886" t="e">
        <f t="shared" ref="J116" si="1221">J8/#REF!*#REF!</f>
        <v>#REF!</v>
      </c>
      <c r="K116" s="886" t="e">
        <f t="shared" ref="K116" si="1222">K8/#REF!*#REF!</f>
        <v>#REF!</v>
      </c>
      <c r="L116" s="886" t="e">
        <f t="shared" ref="L116" si="1223">L8/#REF!*#REF!</f>
        <v>#REF!</v>
      </c>
      <c r="M116" s="886" t="e">
        <f t="shared" ref="M116" si="1224">M8/#REF!*#REF!</f>
        <v>#REF!</v>
      </c>
      <c r="N116" s="886" t="e">
        <f t="shared" ref="N116" si="1225">N8/#REF!*#REF!</f>
        <v>#REF!</v>
      </c>
      <c r="O116" s="886" t="e">
        <f t="shared" ref="O116" si="1226">O8/#REF!*#REF!</f>
        <v>#REF!</v>
      </c>
      <c r="P116" s="886" t="e">
        <f t="shared" ref="P116" si="1227">P8/#REF!*#REF!</f>
        <v>#REF!</v>
      </c>
      <c r="Q116" s="886" t="e">
        <f t="shared" ref="Q116" si="1228">Q8/#REF!*#REF!</f>
        <v>#REF!</v>
      </c>
      <c r="R116" s="886" t="e">
        <f t="shared" ref="R116" si="1229">R8/#REF!*#REF!</f>
        <v>#REF!</v>
      </c>
      <c r="S116" s="886" t="e">
        <f t="shared" ref="S116" si="1230">S8/#REF!*#REF!</f>
        <v>#REF!</v>
      </c>
      <c r="T116" s="886" t="e">
        <f t="shared" ref="T116" si="1231">T8/#REF!*#REF!</f>
        <v>#REF!</v>
      </c>
      <c r="U116" s="886" t="e">
        <f t="shared" ref="U116" si="1232">U8/#REF!*#REF!</f>
        <v>#REF!</v>
      </c>
      <c r="V116" s="886" t="e">
        <f t="shared" ref="V116" si="1233">V8/#REF!*#REF!</f>
        <v>#REF!</v>
      </c>
      <c r="W116" s="886" t="e">
        <f t="shared" ref="W116" si="1234">W8/#REF!*#REF!</f>
        <v>#REF!</v>
      </c>
      <c r="X116" s="886" t="e">
        <f t="shared" ref="X116" si="1235">X8/#REF!*#REF!</f>
        <v>#REF!</v>
      </c>
      <c r="Y116" s="886" t="e">
        <f t="shared" ref="Y116" si="1236">Y8/#REF!*#REF!</f>
        <v>#REF!</v>
      </c>
      <c r="Z116" s="886" t="e">
        <f t="shared" ref="Z116" si="1237">Z8/#REF!*#REF!</f>
        <v>#REF!</v>
      </c>
      <c r="AA116" s="886" t="e">
        <f t="shared" ref="AA116" si="1238">AA8/#REF!*#REF!</f>
        <v>#REF!</v>
      </c>
      <c r="AB116" s="886" t="e">
        <f t="shared" ref="AB116" si="1239">AB8/#REF!*#REF!</f>
        <v>#REF!</v>
      </c>
      <c r="AC116" s="886" t="e">
        <f t="shared" ref="AC116" si="1240">AC8/#REF!*#REF!</f>
        <v>#REF!</v>
      </c>
      <c r="AD116" s="886" t="e">
        <f t="shared" ref="AD116" si="1241">AD8/#REF!*#REF!</f>
        <v>#REF!</v>
      </c>
      <c r="AE116" s="886" t="e">
        <f t="shared" ref="AE116" si="1242">AE8/#REF!*#REF!</f>
        <v>#REF!</v>
      </c>
      <c r="AF116" s="886" t="e">
        <f t="shared" ref="AF116" si="1243">AF8/#REF!*#REF!</f>
        <v>#REF!</v>
      </c>
      <c r="AG116" s="886" t="e">
        <f t="shared" ref="AG116" si="1244">AG8/#REF!*#REF!</f>
        <v>#REF!</v>
      </c>
      <c r="AH116" s="886" t="e">
        <f t="shared" ref="AH116" si="1245">AH8/#REF!*#REF!</f>
        <v>#REF!</v>
      </c>
      <c r="AI116" s="886" t="e">
        <f t="shared" ref="AI116" si="1246">AI8/#REF!*#REF!</f>
        <v>#REF!</v>
      </c>
      <c r="AJ116" s="886" t="e">
        <f t="shared" ref="AJ116" si="1247">AJ8/#REF!*#REF!</f>
        <v>#REF!</v>
      </c>
      <c r="AK116" s="886" t="e">
        <f t="shared" ref="AK116" si="1248">AK8/#REF!*#REF!</f>
        <v>#REF!</v>
      </c>
      <c r="AL116" s="886" t="e">
        <f t="shared" ref="AL116" si="1249">AL8/#REF!*#REF!</f>
        <v>#REF!</v>
      </c>
      <c r="AM116" s="886" t="e">
        <f t="shared" ref="AM116" si="1250">AM8/#REF!*#REF!</f>
        <v>#REF!</v>
      </c>
      <c r="AN116" s="886" t="e">
        <f t="shared" ref="AN116" si="1251">AN8/#REF!*#REF!</f>
        <v>#REF!</v>
      </c>
      <c r="AO116" s="886" t="e">
        <f t="shared" ref="AO116" si="1252">AO8/#REF!*#REF!</f>
        <v>#REF!</v>
      </c>
      <c r="AP116" s="886" t="e">
        <f t="shared" ref="AP116" si="1253">AP8/#REF!*#REF!</f>
        <v>#REF!</v>
      </c>
      <c r="AQ116" s="886" t="e">
        <f t="shared" ref="AQ116" si="1254">AQ8/#REF!*#REF!</f>
        <v>#REF!</v>
      </c>
      <c r="AR116" s="886" t="e">
        <f t="shared" ref="AR116" si="1255">AR8/#REF!*#REF!</f>
        <v>#REF!</v>
      </c>
      <c r="AS116" s="886" t="e">
        <f t="shared" ref="AS116" si="1256">AS8/#REF!*#REF!</f>
        <v>#REF!</v>
      </c>
      <c r="AT116" s="886" t="e">
        <f t="shared" ref="AT116" si="1257">AT8/#REF!*#REF!</f>
        <v>#REF!</v>
      </c>
      <c r="AU116" s="886" t="e">
        <f t="shared" ref="AU116" si="1258">AU8/#REF!*#REF!</f>
        <v>#REF!</v>
      </c>
      <c r="AV116" s="886" t="e">
        <f t="shared" ref="AV116" si="1259">AV8/#REF!*#REF!</f>
        <v>#REF!</v>
      </c>
      <c r="AW116" s="886" t="e">
        <f t="shared" ref="AW116" si="1260">AW8/#REF!*#REF!</f>
        <v>#REF!</v>
      </c>
      <c r="AX116" s="886" t="e">
        <f t="shared" ref="AX116" si="1261">AX8/#REF!*#REF!</f>
        <v>#REF!</v>
      </c>
      <c r="AY116" s="886" t="e">
        <f t="shared" ref="AY116" si="1262">AY8/#REF!*#REF!</f>
        <v>#REF!</v>
      </c>
      <c r="AZ116" s="886" t="e">
        <f t="shared" ref="AZ116" si="1263">AZ8/#REF!*#REF!</f>
        <v>#REF!</v>
      </c>
      <c r="BA116" s="886" t="e">
        <f t="shared" ref="BA116" si="1264">BA8/#REF!*#REF!</f>
        <v>#REF!</v>
      </c>
      <c r="BB116" s="886" t="e">
        <f t="shared" ref="BB116" si="1265">BB8/#REF!*#REF!</f>
        <v>#REF!</v>
      </c>
      <c r="BC116" s="886" t="e">
        <f t="shared" ref="BC116" si="1266">BC8/#REF!*#REF!</f>
        <v>#REF!</v>
      </c>
      <c r="BD116" s="886" t="e">
        <f t="shared" ref="BD116" si="1267">BD8/#REF!*#REF!</f>
        <v>#REF!</v>
      </c>
      <c r="BE116" s="886" t="e">
        <f t="shared" ref="BE116" si="1268">BE8/#REF!*#REF!</f>
        <v>#REF!</v>
      </c>
      <c r="BF116" s="886" t="e">
        <f t="shared" ref="BF116" si="1269">BF8/#REF!*#REF!</f>
        <v>#REF!</v>
      </c>
      <c r="BG116" s="886" t="e">
        <f t="shared" ref="BG116" si="1270">BG8/#REF!*#REF!</f>
        <v>#REF!</v>
      </c>
      <c r="BH116" s="886" t="e">
        <f t="shared" ref="BH116" si="1271">BH8/#REF!*#REF!</f>
        <v>#REF!</v>
      </c>
      <c r="BI116" s="886" t="e">
        <f t="shared" ref="BI116" si="1272">BI8/#REF!*#REF!</f>
        <v>#REF!</v>
      </c>
      <c r="BJ116" s="886" t="e">
        <f t="shared" ref="BJ116" si="1273">BJ8/#REF!*#REF!</f>
        <v>#REF!</v>
      </c>
      <c r="BK116" s="886" t="e">
        <f t="shared" ref="BK116" si="1274">BK8/#REF!*#REF!</f>
        <v>#REF!</v>
      </c>
      <c r="BL116" s="886" t="e">
        <f t="shared" ref="BL116" si="1275">BL8/#REF!*#REF!</f>
        <v>#REF!</v>
      </c>
      <c r="BM116" s="886" t="e">
        <f t="shared" ref="BM116" si="1276">BM8/#REF!*#REF!</f>
        <v>#REF!</v>
      </c>
      <c r="BN116" s="886" t="e">
        <f t="shared" ref="BN116" si="1277">BN8/#REF!*#REF!</f>
        <v>#REF!</v>
      </c>
      <c r="BO116" s="886" t="e">
        <f t="shared" ref="BO116" si="1278">BO8/#REF!*#REF!</f>
        <v>#REF!</v>
      </c>
      <c r="BP116" s="886" t="e">
        <f t="shared" ref="BP116" si="1279">BP8/#REF!*#REF!</f>
        <v>#REF!</v>
      </c>
      <c r="BQ116" s="886" t="e">
        <f t="shared" ref="BQ116" si="1280">BQ8/#REF!*#REF!</f>
        <v>#REF!</v>
      </c>
      <c r="BR116" s="886" t="e">
        <f t="shared" ref="BR116" si="1281">BR8/#REF!*#REF!</f>
        <v>#REF!</v>
      </c>
      <c r="BS116" s="886" t="e">
        <f t="shared" ref="BS116" si="1282">BS8/#REF!*#REF!</f>
        <v>#REF!</v>
      </c>
      <c r="BT116" s="886" t="e">
        <f t="shared" ref="BT116" si="1283">BT8/#REF!*#REF!</f>
        <v>#REF!</v>
      </c>
      <c r="BU116" s="886" t="e">
        <f t="shared" ref="BU116" si="1284">BU8/#REF!*#REF!</f>
        <v>#REF!</v>
      </c>
      <c r="BV116" s="886" t="e">
        <f t="shared" ref="BV116" si="1285">BV8/#REF!*#REF!</f>
        <v>#REF!</v>
      </c>
      <c r="BW116" s="886" t="e">
        <f t="shared" ref="BW116" si="1286">BW8/#REF!*#REF!</f>
        <v>#REF!</v>
      </c>
      <c r="BX116" s="886" t="e">
        <f t="shared" ref="BX116" si="1287">BX8/#REF!*#REF!</f>
        <v>#REF!</v>
      </c>
      <c r="BY116" s="886" t="e">
        <f t="shared" ref="BY116" si="1288">BY8/#REF!*#REF!</f>
        <v>#REF!</v>
      </c>
      <c r="BZ116" s="886" t="e">
        <f t="shared" ref="BZ116" si="1289">BZ8/#REF!*#REF!</f>
        <v>#REF!</v>
      </c>
      <c r="CA116" s="886" t="e">
        <f t="shared" ref="CA116" si="1290">CA8/#REF!*#REF!</f>
        <v>#REF!</v>
      </c>
      <c r="CB116" s="886" t="e">
        <f t="shared" ref="CB116" si="1291">CB8/#REF!*#REF!</f>
        <v>#REF!</v>
      </c>
      <c r="CC116" s="886" t="e">
        <f t="shared" ref="CC116" si="1292">CC8/#REF!*#REF!</f>
        <v>#REF!</v>
      </c>
      <c r="CD116" s="886" t="e">
        <f t="shared" ref="CD116" si="1293">CD8/#REF!*#REF!</f>
        <v>#REF!</v>
      </c>
      <c r="CE116" s="886" t="e">
        <f t="shared" ref="CE116" si="1294">CE8/#REF!*#REF!</f>
        <v>#REF!</v>
      </c>
      <c r="CF116" s="887" t="e">
        <f t="shared" ref="CF116" si="1295">CF8/#REF!*#REF!</f>
        <v>#REF!</v>
      </c>
    </row>
    <row r="117" spans="1:84">
      <c r="A117" s="923"/>
      <c r="B117" s="908" t="s">
        <v>150</v>
      </c>
      <c r="C117" s="909" t="s">
        <v>847</v>
      </c>
      <c r="D117" s="910">
        <v>0.1699643272688062</v>
      </c>
      <c r="E117" s="910">
        <v>0.1699643272688062</v>
      </c>
      <c r="F117" s="910">
        <v>0.1699643272688062</v>
      </c>
      <c r="G117" s="910">
        <v>0.1699643272688062</v>
      </c>
      <c r="H117" s="910">
        <v>0.1699643272688062</v>
      </c>
      <c r="I117" s="910">
        <v>0.1699643272688062</v>
      </c>
      <c r="J117" s="910">
        <v>0.1699643272688062</v>
      </c>
      <c r="K117" s="910">
        <v>0.1699643272688062</v>
      </c>
      <c r="L117" s="910">
        <v>0.1699643272688062</v>
      </c>
      <c r="M117" s="910">
        <v>0.1699643272688062</v>
      </c>
      <c r="N117" s="910">
        <v>0.1699643272688062</v>
      </c>
      <c r="O117" s="910">
        <v>0.1699643272688062</v>
      </c>
      <c r="P117" s="910">
        <v>0.1699643272688062</v>
      </c>
      <c r="Q117" s="910">
        <v>0.1699643272688062</v>
      </c>
      <c r="R117" s="910">
        <v>0.1699643272688062</v>
      </c>
      <c r="S117" s="910">
        <v>0.1699643272688062</v>
      </c>
      <c r="T117" s="910">
        <v>0.1699643272688062</v>
      </c>
      <c r="U117" s="910">
        <v>0.1699643272688062</v>
      </c>
      <c r="V117" s="910">
        <v>0.1699643272688062</v>
      </c>
      <c r="W117" s="910">
        <v>0.1699643272688062</v>
      </c>
      <c r="X117" s="910">
        <v>0.1699643272688062</v>
      </c>
      <c r="Y117" s="910">
        <v>0.1699643272688062</v>
      </c>
      <c r="Z117" s="910">
        <v>0.1699643272688062</v>
      </c>
      <c r="AA117" s="910">
        <v>0.1699643272688062</v>
      </c>
      <c r="AB117" s="910">
        <v>0.1699643272688062</v>
      </c>
      <c r="AC117" s="910">
        <v>0.1699643272688062</v>
      </c>
      <c r="AD117" s="910">
        <v>0.1699643272688062</v>
      </c>
      <c r="AE117" s="910">
        <v>0.1699643272688062</v>
      </c>
      <c r="AF117" s="910">
        <v>0.1699643272688062</v>
      </c>
      <c r="AG117" s="910">
        <v>0.1699643272688062</v>
      </c>
      <c r="AH117" s="910">
        <v>0.1699643272688062</v>
      </c>
      <c r="AI117" s="910">
        <v>0.1699643272688062</v>
      </c>
      <c r="AJ117" s="910">
        <v>0.1699643272688062</v>
      </c>
      <c r="AK117" s="910">
        <v>0.1699643272688062</v>
      </c>
      <c r="AL117" s="910">
        <v>0.1699643272688062</v>
      </c>
      <c r="AM117" s="910">
        <v>0.1699643272688062</v>
      </c>
      <c r="AN117" s="910">
        <v>0.1699643272688062</v>
      </c>
      <c r="AO117" s="910">
        <v>0.1699643272688062</v>
      </c>
      <c r="AP117" s="910">
        <v>0.1699643272688062</v>
      </c>
      <c r="AQ117" s="910">
        <v>0.1699643272688062</v>
      </c>
      <c r="AR117" s="910">
        <v>0.1699643272688062</v>
      </c>
      <c r="AS117" s="910">
        <v>0.1699643272688062</v>
      </c>
      <c r="AT117" s="910">
        <v>0.1699643272688062</v>
      </c>
      <c r="AU117" s="910">
        <v>0.1699643272688062</v>
      </c>
      <c r="AV117" s="910">
        <v>0.1699643272688062</v>
      </c>
      <c r="AW117" s="910">
        <v>0.1699643272688062</v>
      </c>
      <c r="AX117" s="910">
        <v>0.1699643272688062</v>
      </c>
      <c r="AY117" s="910">
        <v>0.1699643272688062</v>
      </c>
      <c r="AZ117" s="910">
        <v>0.1699643272688062</v>
      </c>
      <c r="BA117" s="910">
        <v>0.1699643272688062</v>
      </c>
      <c r="BB117" s="910">
        <v>0.1699643272688062</v>
      </c>
      <c r="BC117" s="910">
        <v>0.1699643272688062</v>
      </c>
      <c r="BD117" s="910">
        <v>0.1699643272688062</v>
      </c>
      <c r="BE117" s="910">
        <v>0.1699643272688062</v>
      </c>
      <c r="BF117" s="910">
        <v>0.1699643272688062</v>
      </c>
      <c r="BG117" s="910">
        <v>0.1699643272688062</v>
      </c>
      <c r="BH117" s="910">
        <v>0.1699643272688062</v>
      </c>
      <c r="BI117" s="910">
        <v>0.1699643272688062</v>
      </c>
      <c r="BJ117" s="910">
        <v>0.1699643272688062</v>
      </c>
      <c r="BK117" s="910">
        <v>0.1699643272688062</v>
      </c>
      <c r="BL117" s="910">
        <v>0.1699643272688062</v>
      </c>
      <c r="BM117" s="910">
        <v>0.1699643272688062</v>
      </c>
      <c r="BN117" s="910">
        <v>0.1699643272688062</v>
      </c>
      <c r="BO117" s="910">
        <v>0.1699643272688062</v>
      </c>
      <c r="BP117" s="910">
        <v>0.1699643272688062</v>
      </c>
      <c r="BQ117" s="910">
        <v>0.1699643272688062</v>
      </c>
      <c r="BR117" s="910">
        <v>0.1699643272688062</v>
      </c>
      <c r="BS117" s="910">
        <v>0.1699643272688062</v>
      </c>
      <c r="BT117" s="910">
        <v>0.1699643272688062</v>
      </c>
      <c r="BU117" s="910">
        <v>0.1699643272688062</v>
      </c>
      <c r="BV117" s="910">
        <v>0.1699643272688062</v>
      </c>
      <c r="BW117" s="910">
        <v>0.1699643272688062</v>
      </c>
      <c r="BX117" s="910">
        <v>0.1699643272688062</v>
      </c>
      <c r="BY117" s="910">
        <v>0.1699643272688062</v>
      </c>
      <c r="BZ117" s="910">
        <v>0.1699643272688062</v>
      </c>
      <c r="CA117" s="910">
        <v>0.1699643272688062</v>
      </c>
      <c r="CB117" s="910">
        <v>0.1699643272688062</v>
      </c>
      <c r="CC117" s="910">
        <v>0.1699643272688062</v>
      </c>
      <c r="CD117" s="910">
        <v>0.1699643272688062</v>
      </c>
      <c r="CE117" s="910">
        <v>0.1699643272688062</v>
      </c>
      <c r="CF117" s="911">
        <v>0.1699643272688062</v>
      </c>
    </row>
    <row r="118" spans="1:84">
      <c r="A118" s="923"/>
      <c r="B118" s="908" t="s">
        <v>844</v>
      </c>
      <c r="C118" s="909" t="s">
        <v>847</v>
      </c>
      <c r="D118" s="910">
        <v>0.11147312764521111</v>
      </c>
      <c r="E118" s="910">
        <v>0.11147312764521111</v>
      </c>
      <c r="F118" s="910">
        <v>0.11147312764521111</v>
      </c>
      <c r="G118" s="910">
        <v>0.11147312764521111</v>
      </c>
      <c r="H118" s="910">
        <v>0.11147312764521111</v>
      </c>
      <c r="I118" s="910">
        <v>0.11147312764521111</v>
      </c>
      <c r="J118" s="910">
        <v>0.11147312764521111</v>
      </c>
      <c r="K118" s="910">
        <v>0.11147312764521111</v>
      </c>
      <c r="L118" s="910">
        <v>0.11147312764521111</v>
      </c>
      <c r="M118" s="910">
        <v>0.11147312764521111</v>
      </c>
      <c r="N118" s="910">
        <v>0.11147312764521111</v>
      </c>
      <c r="O118" s="910">
        <v>0.11147312764521111</v>
      </c>
      <c r="P118" s="910">
        <v>0.11147312764521111</v>
      </c>
      <c r="Q118" s="910">
        <v>0.11147312764521111</v>
      </c>
      <c r="R118" s="910">
        <v>0.11147312764521111</v>
      </c>
      <c r="S118" s="910">
        <v>0.11147312764521111</v>
      </c>
      <c r="T118" s="910">
        <v>0.11147312764521111</v>
      </c>
      <c r="U118" s="910">
        <v>0.11147312764521111</v>
      </c>
      <c r="V118" s="910">
        <v>0.11147312764521111</v>
      </c>
      <c r="W118" s="910">
        <v>0.11147312764521111</v>
      </c>
      <c r="X118" s="910">
        <v>0.11147312764521111</v>
      </c>
      <c r="Y118" s="910">
        <v>0.11147312764521111</v>
      </c>
      <c r="Z118" s="910">
        <v>0.11147312764521111</v>
      </c>
      <c r="AA118" s="910">
        <v>0.11147312764521111</v>
      </c>
      <c r="AB118" s="910">
        <v>0.11147312764521111</v>
      </c>
      <c r="AC118" s="910">
        <v>0.11147312764521111</v>
      </c>
      <c r="AD118" s="910">
        <v>0.11147312764521111</v>
      </c>
      <c r="AE118" s="910">
        <v>0.11147312764521111</v>
      </c>
      <c r="AF118" s="910">
        <v>0.11147312764521111</v>
      </c>
      <c r="AG118" s="910">
        <v>0.11147312764521111</v>
      </c>
      <c r="AH118" s="910">
        <v>0.11147312764521111</v>
      </c>
      <c r="AI118" s="910">
        <v>0.11147312764521111</v>
      </c>
      <c r="AJ118" s="910">
        <v>0.11147312764521111</v>
      </c>
      <c r="AK118" s="910">
        <v>0.11147312764521111</v>
      </c>
      <c r="AL118" s="910">
        <v>0.11147312764521111</v>
      </c>
      <c r="AM118" s="910">
        <v>0.11147312764521111</v>
      </c>
      <c r="AN118" s="910">
        <v>0.11147312764521111</v>
      </c>
      <c r="AO118" s="910">
        <v>0.11147312764521111</v>
      </c>
      <c r="AP118" s="910">
        <v>0.11147312764521111</v>
      </c>
      <c r="AQ118" s="910">
        <v>0.11147312764521111</v>
      </c>
      <c r="AR118" s="910">
        <v>0.11147312764521111</v>
      </c>
      <c r="AS118" s="910">
        <v>0.11147312764521111</v>
      </c>
      <c r="AT118" s="910">
        <v>0.11147312764521111</v>
      </c>
      <c r="AU118" s="910">
        <v>0.11147312764521111</v>
      </c>
      <c r="AV118" s="910">
        <v>0.11147312764521111</v>
      </c>
      <c r="AW118" s="910">
        <v>0.11147312764521111</v>
      </c>
      <c r="AX118" s="910">
        <v>0.11147312764521111</v>
      </c>
      <c r="AY118" s="910">
        <v>0.11147312764521111</v>
      </c>
      <c r="AZ118" s="910">
        <v>0.11147312764521111</v>
      </c>
      <c r="BA118" s="910">
        <v>0.11147312764521111</v>
      </c>
      <c r="BB118" s="910">
        <v>0.11147312764521111</v>
      </c>
      <c r="BC118" s="910">
        <v>0.11147312764521111</v>
      </c>
      <c r="BD118" s="910">
        <v>0.11147312764521111</v>
      </c>
      <c r="BE118" s="910">
        <v>0.11147312764521111</v>
      </c>
      <c r="BF118" s="910">
        <v>0.11147312764521111</v>
      </c>
      <c r="BG118" s="910">
        <v>0.11147312764521111</v>
      </c>
      <c r="BH118" s="910">
        <v>0.11147312764521111</v>
      </c>
      <c r="BI118" s="910">
        <v>0.11147312764521111</v>
      </c>
      <c r="BJ118" s="910">
        <v>0.11147312764521111</v>
      </c>
      <c r="BK118" s="910">
        <v>0.11147312764521111</v>
      </c>
      <c r="BL118" s="910">
        <v>0.11147312764521111</v>
      </c>
      <c r="BM118" s="910">
        <v>0.11147312764521111</v>
      </c>
      <c r="BN118" s="910">
        <v>0.11147312764521111</v>
      </c>
      <c r="BO118" s="910">
        <v>0.11147312764521111</v>
      </c>
      <c r="BP118" s="910">
        <v>0.11147312764521111</v>
      </c>
      <c r="BQ118" s="910">
        <v>0.11147312764521111</v>
      </c>
      <c r="BR118" s="910">
        <v>0.11147312764521111</v>
      </c>
      <c r="BS118" s="910">
        <v>0.11147312764521111</v>
      </c>
      <c r="BT118" s="910">
        <v>0.11147312764521111</v>
      </c>
      <c r="BU118" s="910">
        <v>0.11147312764521111</v>
      </c>
      <c r="BV118" s="910">
        <v>0.11147312764521111</v>
      </c>
      <c r="BW118" s="910">
        <v>0.11147312764521111</v>
      </c>
      <c r="BX118" s="910">
        <v>0.11147312764521111</v>
      </c>
      <c r="BY118" s="910">
        <v>0.11147312764521111</v>
      </c>
      <c r="BZ118" s="910">
        <v>0.11147312764521111</v>
      </c>
      <c r="CA118" s="910">
        <v>0.11147312764521111</v>
      </c>
      <c r="CB118" s="910">
        <v>0.11147312764521111</v>
      </c>
      <c r="CC118" s="910">
        <v>0.11147312764521111</v>
      </c>
      <c r="CD118" s="910">
        <v>0.11147312764521111</v>
      </c>
      <c r="CE118" s="910">
        <v>0.11147312764521111</v>
      </c>
      <c r="CF118" s="911">
        <v>0.11147312764521111</v>
      </c>
    </row>
    <row r="119" spans="1:84">
      <c r="A119" s="923"/>
      <c r="B119" s="908" t="s">
        <v>845</v>
      </c>
      <c r="C119" s="909" t="s">
        <v>847</v>
      </c>
      <c r="D119" s="910">
        <v>0.25541268716410304</v>
      </c>
      <c r="E119" s="910">
        <v>0.25541268716410304</v>
      </c>
      <c r="F119" s="910">
        <v>0.25541268716410304</v>
      </c>
      <c r="G119" s="910">
        <v>0.25541268716410304</v>
      </c>
      <c r="H119" s="910">
        <v>0.25541268716410304</v>
      </c>
      <c r="I119" s="910">
        <v>0.25541268716410304</v>
      </c>
      <c r="J119" s="910">
        <v>0.25541268716410304</v>
      </c>
      <c r="K119" s="910">
        <v>0.25541268716410304</v>
      </c>
      <c r="L119" s="910">
        <v>0.25541268716410304</v>
      </c>
      <c r="M119" s="910">
        <v>0.25541268716410304</v>
      </c>
      <c r="N119" s="910">
        <v>0.25541268716410304</v>
      </c>
      <c r="O119" s="910">
        <v>0.25541268716410304</v>
      </c>
      <c r="P119" s="910">
        <v>0.25541268716410304</v>
      </c>
      <c r="Q119" s="910">
        <v>0.25541268716410304</v>
      </c>
      <c r="R119" s="910">
        <v>0.25541268716410304</v>
      </c>
      <c r="S119" s="910">
        <v>0.25541268716410304</v>
      </c>
      <c r="T119" s="910">
        <v>0.25541268716410304</v>
      </c>
      <c r="U119" s="910">
        <v>0.25541268716410304</v>
      </c>
      <c r="V119" s="910">
        <v>0.25541268716410304</v>
      </c>
      <c r="W119" s="910">
        <v>0.25541268716410304</v>
      </c>
      <c r="X119" s="910">
        <v>0.25541268716410304</v>
      </c>
      <c r="Y119" s="910">
        <v>0.25541268716410304</v>
      </c>
      <c r="Z119" s="910">
        <v>0.25541268716410304</v>
      </c>
      <c r="AA119" s="910">
        <v>0.25541268716410304</v>
      </c>
      <c r="AB119" s="910">
        <v>0.25541268716410304</v>
      </c>
      <c r="AC119" s="910">
        <v>0.25541268716410304</v>
      </c>
      <c r="AD119" s="910">
        <v>0.25541268716410304</v>
      </c>
      <c r="AE119" s="910">
        <v>0.25541268716410304</v>
      </c>
      <c r="AF119" s="910">
        <v>0.25541268716410304</v>
      </c>
      <c r="AG119" s="910">
        <v>0.25541268716410304</v>
      </c>
      <c r="AH119" s="910">
        <v>0.25541268716410304</v>
      </c>
      <c r="AI119" s="910">
        <v>0.25541268716410304</v>
      </c>
      <c r="AJ119" s="910">
        <v>0.25541268716410304</v>
      </c>
      <c r="AK119" s="910">
        <v>0.25541268716410304</v>
      </c>
      <c r="AL119" s="910">
        <v>0.25541268716410304</v>
      </c>
      <c r="AM119" s="910">
        <v>0.25541268716410304</v>
      </c>
      <c r="AN119" s="910">
        <v>0.25541268716410304</v>
      </c>
      <c r="AO119" s="910">
        <v>0.25541268716410304</v>
      </c>
      <c r="AP119" s="910">
        <v>0.25541268716410304</v>
      </c>
      <c r="AQ119" s="910">
        <v>0.25541268716410304</v>
      </c>
      <c r="AR119" s="910">
        <v>0.25541268716410304</v>
      </c>
      <c r="AS119" s="910">
        <v>0.25541268716410304</v>
      </c>
      <c r="AT119" s="910">
        <v>0.25541268716410304</v>
      </c>
      <c r="AU119" s="910">
        <v>0.25541268716410304</v>
      </c>
      <c r="AV119" s="910">
        <v>0.25541268716410304</v>
      </c>
      <c r="AW119" s="910">
        <v>0.25541268716410304</v>
      </c>
      <c r="AX119" s="910">
        <v>0.25541268716410304</v>
      </c>
      <c r="AY119" s="910">
        <v>0.25541268716410304</v>
      </c>
      <c r="AZ119" s="910">
        <v>0.25541268716410304</v>
      </c>
      <c r="BA119" s="910">
        <v>0.25541268716410304</v>
      </c>
      <c r="BB119" s="910">
        <v>0.25541268716410304</v>
      </c>
      <c r="BC119" s="910">
        <v>0.25541268716410304</v>
      </c>
      <c r="BD119" s="910">
        <v>0.25541268716410304</v>
      </c>
      <c r="BE119" s="910">
        <v>0.25541268716410304</v>
      </c>
      <c r="BF119" s="910">
        <v>0.25541268716410304</v>
      </c>
      <c r="BG119" s="910">
        <v>0.25541268716410304</v>
      </c>
      <c r="BH119" s="910">
        <v>0.25541268716410304</v>
      </c>
      <c r="BI119" s="910">
        <v>0.25541268716410304</v>
      </c>
      <c r="BJ119" s="910">
        <v>0.25541268716410304</v>
      </c>
      <c r="BK119" s="910">
        <v>0.25541268716410304</v>
      </c>
      <c r="BL119" s="910">
        <v>0.25541268716410304</v>
      </c>
      <c r="BM119" s="910">
        <v>0.25541268716410304</v>
      </c>
      <c r="BN119" s="910">
        <v>0.25541268716410304</v>
      </c>
      <c r="BO119" s="910">
        <v>0.25541268716410304</v>
      </c>
      <c r="BP119" s="910">
        <v>0.25541268716410304</v>
      </c>
      <c r="BQ119" s="910">
        <v>0.25541268716410304</v>
      </c>
      <c r="BR119" s="910">
        <v>0.25541268716410304</v>
      </c>
      <c r="BS119" s="910">
        <v>0.25541268716410304</v>
      </c>
      <c r="BT119" s="910">
        <v>0.25541268716410304</v>
      </c>
      <c r="BU119" s="910">
        <v>0.25541268716410304</v>
      </c>
      <c r="BV119" s="910">
        <v>0.25541268716410304</v>
      </c>
      <c r="BW119" s="910">
        <v>0.25541268716410304</v>
      </c>
      <c r="BX119" s="910">
        <v>0.25541268716410304</v>
      </c>
      <c r="BY119" s="910">
        <v>0.25541268716410304</v>
      </c>
      <c r="BZ119" s="910">
        <v>0.25541268716410304</v>
      </c>
      <c r="CA119" s="910">
        <v>0.25541268716410304</v>
      </c>
      <c r="CB119" s="910">
        <v>0.25541268716410304</v>
      </c>
      <c r="CC119" s="910">
        <v>0.25541268716410304</v>
      </c>
      <c r="CD119" s="910">
        <v>0.25541268716410304</v>
      </c>
      <c r="CE119" s="910">
        <v>0.25541268716410304</v>
      </c>
      <c r="CF119" s="911">
        <v>0.25541268716410304</v>
      </c>
    </row>
    <row r="120" spans="1:84" ht="13.8" thickBot="1">
      <c r="A120" s="923"/>
      <c r="B120" s="912" t="s">
        <v>846</v>
      </c>
      <c r="C120" s="913" t="s">
        <v>847</v>
      </c>
      <c r="D120" s="914">
        <v>0.7168560808389699</v>
      </c>
      <c r="E120" s="915">
        <v>0.7168560808389699</v>
      </c>
      <c r="F120" s="915">
        <v>0.7168560808389699</v>
      </c>
      <c r="G120" s="915">
        <v>0.7168560808389699</v>
      </c>
      <c r="H120" s="915">
        <v>0.7168560808389699</v>
      </c>
      <c r="I120" s="915">
        <v>0.7168560808389699</v>
      </c>
      <c r="J120" s="915">
        <v>0.7168560808389699</v>
      </c>
      <c r="K120" s="915">
        <v>0.7168560808389699</v>
      </c>
      <c r="L120" s="915">
        <v>0.7168560808389699</v>
      </c>
      <c r="M120" s="915">
        <v>0.7168560808389699</v>
      </c>
      <c r="N120" s="915">
        <v>0.7168560808389699</v>
      </c>
      <c r="O120" s="915">
        <v>0.7168560808389699</v>
      </c>
      <c r="P120" s="915">
        <v>0.7168560808389699</v>
      </c>
      <c r="Q120" s="915">
        <v>0.7168560808389699</v>
      </c>
      <c r="R120" s="915">
        <v>0.7168560808389699</v>
      </c>
      <c r="S120" s="915">
        <v>0.7168560808389699</v>
      </c>
      <c r="T120" s="915">
        <v>0.7168560808389699</v>
      </c>
      <c r="U120" s="915">
        <v>0.7168560808389699</v>
      </c>
      <c r="V120" s="915">
        <v>0.7168560808389699</v>
      </c>
      <c r="W120" s="915">
        <v>0.7168560808389699</v>
      </c>
      <c r="X120" s="915">
        <v>0.7168560808389699</v>
      </c>
      <c r="Y120" s="915">
        <v>0.7168560808389699</v>
      </c>
      <c r="Z120" s="915">
        <v>0.7168560808389699</v>
      </c>
      <c r="AA120" s="915">
        <v>0.7168560808389699</v>
      </c>
      <c r="AB120" s="915">
        <v>0.7168560808389699</v>
      </c>
      <c r="AC120" s="915">
        <v>0.7168560808389699</v>
      </c>
      <c r="AD120" s="915">
        <v>0.7168560808389699</v>
      </c>
      <c r="AE120" s="915">
        <v>0.7168560808389699</v>
      </c>
      <c r="AF120" s="915">
        <v>0.7168560808389699</v>
      </c>
      <c r="AG120" s="915">
        <v>0.7168560808389699</v>
      </c>
      <c r="AH120" s="915">
        <v>0.7168560808389699</v>
      </c>
      <c r="AI120" s="915">
        <v>0.7168560808389699</v>
      </c>
      <c r="AJ120" s="915">
        <v>0.7168560808389699</v>
      </c>
      <c r="AK120" s="915">
        <v>0.7168560808389699</v>
      </c>
      <c r="AL120" s="915">
        <v>0.7168560808389699</v>
      </c>
      <c r="AM120" s="915">
        <v>0.7168560808389699</v>
      </c>
      <c r="AN120" s="915">
        <v>0.7168560808389699</v>
      </c>
      <c r="AO120" s="915">
        <v>0.7168560808389699</v>
      </c>
      <c r="AP120" s="915">
        <v>0.7168560808389699</v>
      </c>
      <c r="AQ120" s="915">
        <v>0.7168560808389699</v>
      </c>
      <c r="AR120" s="915">
        <v>0.7168560808389699</v>
      </c>
      <c r="AS120" s="915">
        <v>0.7168560808389699</v>
      </c>
      <c r="AT120" s="915">
        <v>0.7168560808389699</v>
      </c>
      <c r="AU120" s="915">
        <v>0.7168560808389699</v>
      </c>
      <c r="AV120" s="915">
        <v>0.7168560808389699</v>
      </c>
      <c r="AW120" s="915">
        <v>0.7168560808389699</v>
      </c>
      <c r="AX120" s="915">
        <v>0.7168560808389699</v>
      </c>
      <c r="AY120" s="915">
        <v>0.7168560808389699</v>
      </c>
      <c r="AZ120" s="915">
        <v>0.7168560808389699</v>
      </c>
      <c r="BA120" s="915">
        <v>0.7168560808389699</v>
      </c>
      <c r="BB120" s="915">
        <v>0.7168560808389699</v>
      </c>
      <c r="BC120" s="915">
        <v>0.7168560808389699</v>
      </c>
      <c r="BD120" s="915">
        <v>0.7168560808389699</v>
      </c>
      <c r="BE120" s="915">
        <v>0.7168560808389699</v>
      </c>
      <c r="BF120" s="915">
        <v>0.7168560808389699</v>
      </c>
      <c r="BG120" s="915">
        <v>0.7168560808389699</v>
      </c>
      <c r="BH120" s="915">
        <v>0.7168560808389699</v>
      </c>
      <c r="BI120" s="915">
        <v>0.7168560808389699</v>
      </c>
      <c r="BJ120" s="915">
        <v>0.7168560808389699</v>
      </c>
      <c r="BK120" s="915">
        <v>0.7168560808389699</v>
      </c>
      <c r="BL120" s="915">
        <v>0.7168560808389699</v>
      </c>
      <c r="BM120" s="915">
        <v>0.7168560808389699</v>
      </c>
      <c r="BN120" s="915">
        <v>0.7168560808389699</v>
      </c>
      <c r="BO120" s="915">
        <v>0.7168560808389699</v>
      </c>
      <c r="BP120" s="915">
        <v>0.7168560808389699</v>
      </c>
      <c r="BQ120" s="915">
        <v>0.7168560808389699</v>
      </c>
      <c r="BR120" s="915">
        <v>0.7168560808389699</v>
      </c>
      <c r="BS120" s="915">
        <v>0.7168560808389699</v>
      </c>
      <c r="BT120" s="915">
        <v>0.7168560808389699</v>
      </c>
      <c r="BU120" s="915">
        <v>0.7168560808389699</v>
      </c>
      <c r="BV120" s="915">
        <v>0.7168560808389699</v>
      </c>
      <c r="BW120" s="915">
        <v>0.7168560808389699</v>
      </c>
      <c r="BX120" s="915">
        <v>0.7168560808389699</v>
      </c>
      <c r="BY120" s="915">
        <v>0.7168560808389699</v>
      </c>
      <c r="BZ120" s="915">
        <v>0.7168560808389699</v>
      </c>
      <c r="CA120" s="915">
        <v>0.7168560808389699</v>
      </c>
      <c r="CB120" s="915">
        <v>0.7168560808389699</v>
      </c>
      <c r="CC120" s="915">
        <v>0.7168560808389699</v>
      </c>
      <c r="CD120" s="915">
        <v>0.7168560808389699</v>
      </c>
      <c r="CE120" s="915">
        <v>0.7168560808389699</v>
      </c>
      <c r="CF120" s="916">
        <v>0.7168560808389699</v>
      </c>
    </row>
    <row r="121" spans="1:84">
      <c r="A121" s="923"/>
      <c r="B121" s="924" t="s">
        <v>856</v>
      </c>
      <c r="C121" s="876"/>
      <c r="D121" s="876"/>
      <c r="E121" s="876"/>
      <c r="F121" s="876"/>
      <c r="G121" s="876"/>
      <c r="H121" s="876"/>
      <c r="I121" s="876"/>
      <c r="J121" s="876"/>
      <c r="K121" s="876"/>
      <c r="L121" s="876"/>
      <c r="M121" s="876"/>
      <c r="N121" s="876"/>
      <c r="O121" s="876"/>
      <c r="P121" s="876"/>
      <c r="Q121" s="876"/>
      <c r="R121" s="876"/>
      <c r="S121" s="876"/>
      <c r="T121" s="876"/>
      <c r="U121" s="876"/>
      <c r="V121" s="876"/>
      <c r="W121" s="876"/>
      <c r="X121" s="876"/>
      <c r="Y121" s="876"/>
      <c r="Z121" s="876"/>
      <c r="AA121" s="876"/>
      <c r="AB121" s="876"/>
      <c r="AC121" s="876"/>
      <c r="AD121" s="876"/>
      <c r="AE121" s="876"/>
      <c r="AF121" s="876"/>
      <c r="AG121" s="876"/>
      <c r="AH121" s="876"/>
      <c r="AI121" s="876"/>
      <c r="AJ121" s="876"/>
      <c r="AK121" s="876"/>
      <c r="AL121" s="876"/>
      <c r="AM121" s="876"/>
      <c r="AN121" s="876"/>
      <c r="AO121" s="876"/>
      <c r="AP121" s="876"/>
      <c r="AQ121" s="876"/>
      <c r="AR121" s="876"/>
      <c r="AS121" s="876"/>
      <c r="AT121" s="876"/>
      <c r="AU121" s="876"/>
      <c r="AV121" s="876"/>
      <c r="AW121" s="876"/>
      <c r="AX121" s="876"/>
      <c r="AY121" s="876"/>
      <c r="AZ121" s="876"/>
      <c r="BA121" s="876"/>
      <c r="BB121" s="876"/>
      <c r="BC121" s="876"/>
      <c r="BD121" s="876"/>
      <c r="BE121" s="876"/>
      <c r="BF121" s="876"/>
      <c r="BG121" s="876"/>
      <c r="BH121" s="876"/>
      <c r="BI121" s="876"/>
      <c r="BJ121" s="876"/>
      <c r="BK121" s="876"/>
      <c r="BL121" s="876"/>
      <c r="BM121" s="876"/>
      <c r="BN121" s="876"/>
      <c r="BO121" s="876"/>
      <c r="BP121" s="876"/>
      <c r="BQ121" s="876"/>
      <c r="BR121" s="876"/>
      <c r="BS121" s="876"/>
      <c r="BT121" s="876"/>
      <c r="BU121" s="876"/>
      <c r="BV121" s="876"/>
      <c r="BW121" s="876"/>
      <c r="BX121" s="876"/>
      <c r="BY121" s="876"/>
      <c r="BZ121" s="876"/>
      <c r="CA121" s="876"/>
      <c r="CB121" s="876"/>
      <c r="CC121" s="876"/>
      <c r="CD121" s="876"/>
      <c r="CE121" s="876"/>
      <c r="CF121" s="876"/>
    </row>
    <row r="122" spans="1:84">
      <c r="A122" s="876"/>
      <c r="B122" s="876"/>
      <c r="C122" s="876"/>
      <c r="D122" s="876"/>
      <c r="E122" s="876"/>
      <c r="F122" s="876"/>
      <c r="G122" s="876"/>
      <c r="H122" s="876"/>
      <c r="I122" s="876"/>
      <c r="J122" s="876"/>
      <c r="K122" s="876"/>
      <c r="L122" s="876"/>
      <c r="M122" s="876"/>
      <c r="N122" s="876"/>
      <c r="O122" s="876"/>
      <c r="P122" s="876"/>
      <c r="Q122" s="876"/>
      <c r="R122" s="876"/>
      <c r="S122" s="876"/>
      <c r="T122" s="876"/>
      <c r="U122" s="876"/>
      <c r="V122" s="876"/>
      <c r="W122" s="876"/>
      <c r="X122" s="876"/>
      <c r="Y122" s="876"/>
      <c r="Z122" s="876"/>
      <c r="AA122" s="876"/>
      <c r="AB122" s="876"/>
      <c r="AC122" s="876"/>
      <c r="AD122" s="876"/>
      <c r="AE122" s="876"/>
      <c r="AF122" s="876"/>
      <c r="AG122" s="876"/>
      <c r="AH122" s="876"/>
      <c r="AI122" s="876"/>
      <c r="AJ122" s="876"/>
      <c r="AK122" s="876"/>
      <c r="AL122" s="876"/>
      <c r="AM122" s="876"/>
      <c r="AN122" s="876"/>
      <c r="AO122" s="876"/>
      <c r="AP122" s="876"/>
      <c r="AQ122" s="876"/>
      <c r="AR122" s="876"/>
      <c r="AS122" s="876"/>
      <c r="AT122" s="876"/>
      <c r="AU122" s="876"/>
      <c r="AV122" s="876"/>
      <c r="AW122" s="876"/>
      <c r="AX122" s="876"/>
      <c r="AY122" s="876"/>
      <c r="AZ122" s="876"/>
      <c r="BA122" s="876"/>
      <c r="BB122" s="876"/>
      <c r="BC122" s="876"/>
      <c r="BD122" s="876"/>
      <c r="BE122" s="876"/>
      <c r="BF122" s="876"/>
      <c r="BG122" s="876"/>
      <c r="BH122" s="876"/>
      <c r="BI122" s="876"/>
      <c r="BJ122" s="876"/>
      <c r="BK122" s="876"/>
      <c r="BL122" s="876"/>
      <c r="BM122" s="876"/>
      <c r="BN122" s="876"/>
      <c r="BO122" s="876"/>
      <c r="BP122" s="876"/>
      <c r="BQ122" s="876"/>
      <c r="BR122" s="876"/>
      <c r="BS122" s="876"/>
      <c r="BT122" s="876"/>
      <c r="BU122" s="876"/>
      <c r="BV122" s="876"/>
      <c r="BW122" s="876"/>
      <c r="BX122" s="876"/>
      <c r="BY122" s="876"/>
      <c r="BZ122" s="876"/>
      <c r="CA122" s="876"/>
      <c r="CB122" s="876"/>
      <c r="CC122" s="876"/>
      <c r="CD122" s="876"/>
      <c r="CE122" s="876"/>
      <c r="CF122" s="876"/>
    </row>
    <row r="123" spans="1:84">
      <c r="A123" s="876"/>
      <c r="B123" s="876"/>
      <c r="C123" s="876"/>
      <c r="D123" s="876"/>
      <c r="E123" s="876"/>
      <c r="F123" s="876"/>
      <c r="G123" s="876"/>
      <c r="H123" s="876"/>
      <c r="I123" s="876"/>
      <c r="J123" s="876"/>
      <c r="K123" s="876"/>
      <c r="L123" s="876"/>
      <c r="M123" s="876"/>
      <c r="N123" s="876"/>
      <c r="O123" s="876"/>
      <c r="P123" s="876"/>
      <c r="Q123" s="876"/>
      <c r="R123" s="876"/>
      <c r="S123" s="876"/>
      <c r="T123" s="876"/>
      <c r="U123" s="876"/>
      <c r="V123" s="876"/>
      <c r="W123" s="876"/>
      <c r="X123" s="876"/>
      <c r="Y123" s="876"/>
      <c r="Z123" s="876"/>
      <c r="AA123" s="876"/>
      <c r="AB123" s="876"/>
      <c r="AC123" s="876"/>
      <c r="AD123" s="876"/>
      <c r="AE123" s="876"/>
      <c r="AF123" s="876"/>
      <c r="AG123" s="876"/>
      <c r="AH123" s="876"/>
      <c r="AI123" s="876"/>
      <c r="AJ123" s="876"/>
      <c r="AK123" s="876"/>
      <c r="AL123" s="876"/>
      <c r="AM123" s="876"/>
      <c r="AN123" s="876"/>
      <c r="AO123" s="876"/>
      <c r="AP123" s="876"/>
      <c r="AQ123" s="876"/>
      <c r="AR123" s="876"/>
      <c r="AS123" s="876"/>
      <c r="AT123" s="876"/>
      <c r="AU123" s="876"/>
      <c r="AV123" s="876"/>
      <c r="AW123" s="876"/>
      <c r="AX123" s="876"/>
      <c r="AY123" s="876"/>
      <c r="AZ123" s="876"/>
      <c r="BA123" s="876"/>
      <c r="BB123" s="876"/>
      <c r="BC123" s="876"/>
      <c r="BD123" s="876"/>
      <c r="BE123" s="876"/>
      <c r="BF123" s="876"/>
      <c r="BG123" s="876"/>
      <c r="BH123" s="876"/>
      <c r="BI123" s="876"/>
      <c r="BJ123" s="876"/>
      <c r="BK123" s="876"/>
      <c r="BL123" s="876"/>
      <c r="BM123" s="876"/>
      <c r="BN123" s="876"/>
      <c r="BO123" s="876"/>
      <c r="BP123" s="876"/>
      <c r="BQ123" s="876"/>
      <c r="BR123" s="876"/>
      <c r="BS123" s="876"/>
      <c r="BT123" s="876"/>
      <c r="BU123" s="876"/>
      <c r="BV123" s="876"/>
      <c r="BW123" s="876"/>
      <c r="BX123" s="876"/>
      <c r="BY123" s="876"/>
      <c r="BZ123" s="876"/>
      <c r="CA123" s="876"/>
      <c r="CB123" s="876"/>
      <c r="CC123" s="876"/>
      <c r="CD123" s="876"/>
      <c r="CE123" s="876"/>
      <c r="CF123" s="876"/>
    </row>
  </sheetData>
  <mergeCells count="1">
    <mergeCell ref="B12:J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V78"/>
  <sheetViews>
    <sheetView zoomScale="80" zoomScaleNormal="80" workbookViewId="0">
      <selection activeCell="I41" sqref="I41"/>
    </sheetView>
  </sheetViews>
  <sheetFormatPr defaultColWidth="8.88671875" defaultRowHeight="13.2"/>
  <cols>
    <col min="1" max="1" width="8.88671875" style="485"/>
    <col min="2" max="4" width="12.88671875" style="485" bestFit="1" customWidth="1"/>
    <col min="5" max="5" width="57.44140625" style="485" customWidth="1"/>
    <col min="6" max="6" width="9.33203125" style="485" bestFit="1" customWidth="1"/>
    <col min="7" max="16384" width="8.88671875" style="485"/>
  </cols>
  <sheetData>
    <row r="5" spans="3:22">
      <c r="D5" s="588"/>
      <c r="G5" s="589" t="s">
        <v>0</v>
      </c>
      <c r="J5" s="590"/>
    </row>
    <row r="6" spans="3:22" ht="27.6">
      <c r="C6" s="591" t="s">
        <v>1</v>
      </c>
      <c r="D6" s="591" t="s">
        <v>2</v>
      </c>
      <c r="E6" s="591" t="s">
        <v>3</v>
      </c>
      <c r="F6" s="591" t="s">
        <v>28</v>
      </c>
      <c r="G6" s="591" t="s">
        <v>218</v>
      </c>
      <c r="H6" s="591" t="s">
        <v>87</v>
      </c>
      <c r="I6" s="591" t="s">
        <v>230</v>
      </c>
      <c r="J6" s="591" t="s">
        <v>9</v>
      </c>
      <c r="K6" s="591" t="s">
        <v>10</v>
      </c>
      <c r="L6" s="592" t="s">
        <v>6</v>
      </c>
      <c r="M6" s="593" t="s">
        <v>7</v>
      </c>
      <c r="N6" s="593" t="s">
        <v>1547</v>
      </c>
      <c r="O6" s="593" t="s">
        <v>659</v>
      </c>
      <c r="P6" s="593" t="s">
        <v>527</v>
      </c>
      <c r="Q6" s="593" t="s">
        <v>571</v>
      </c>
      <c r="R6" s="495" t="s">
        <v>523</v>
      </c>
    </row>
    <row r="7" spans="3:22" ht="40.799999999999997">
      <c r="C7" s="594" t="s">
        <v>11</v>
      </c>
      <c r="D7" s="594"/>
      <c r="E7" s="594"/>
      <c r="F7" s="594"/>
      <c r="G7" s="594" t="s">
        <v>217</v>
      </c>
      <c r="H7" s="594" t="s">
        <v>13</v>
      </c>
      <c r="I7" s="594" t="s">
        <v>222</v>
      </c>
      <c r="J7" s="594" t="s">
        <v>219</v>
      </c>
      <c r="K7" s="594" t="s">
        <v>14</v>
      </c>
      <c r="L7" s="594" t="s">
        <v>83</v>
      </c>
      <c r="M7" s="594" t="s">
        <v>12</v>
      </c>
      <c r="N7" s="594"/>
      <c r="O7" s="594" t="s">
        <v>90</v>
      </c>
      <c r="P7" s="594"/>
      <c r="Q7" s="594"/>
      <c r="R7" s="594"/>
    </row>
    <row r="8" spans="3:22">
      <c r="C8" s="485" t="str">
        <f>LEFT(E8,4)&amp;RIGHT(D8,5)&amp;"N"</f>
        <v>TPMTGSBL2N</v>
      </c>
      <c r="D8" s="596" t="s">
        <v>226</v>
      </c>
      <c r="E8" s="491" t="s">
        <v>660</v>
      </c>
      <c r="F8" s="595">
        <v>2015</v>
      </c>
      <c r="G8" s="595" t="s">
        <v>490</v>
      </c>
      <c r="H8" s="595">
        <v>2012</v>
      </c>
      <c r="I8" s="595">
        <v>2019</v>
      </c>
      <c r="J8" s="597">
        <v>1</v>
      </c>
      <c r="K8" s="595">
        <v>15</v>
      </c>
      <c r="L8" s="598">
        <v>8.0000000000000007E-5</v>
      </c>
      <c r="M8" s="599">
        <f>U16</f>
        <v>51.851851851851841</v>
      </c>
      <c r="O8" s="595">
        <v>5</v>
      </c>
    </row>
    <row r="9" spans="3:22">
      <c r="C9" s="600"/>
      <c r="D9" s="601"/>
      <c r="E9" s="491" t="s">
        <v>661</v>
      </c>
      <c r="F9" s="600"/>
      <c r="G9" s="600"/>
      <c r="H9" s="600"/>
      <c r="I9" s="600"/>
      <c r="J9" s="603">
        <f>J8</f>
        <v>1</v>
      </c>
      <c r="K9" s="600"/>
      <c r="L9" s="604"/>
      <c r="M9" s="605"/>
      <c r="O9" s="600">
        <v>5</v>
      </c>
    </row>
    <row r="10" spans="3:22">
      <c r="C10" s="600"/>
      <c r="D10" s="601"/>
      <c r="E10" s="491" t="s">
        <v>662</v>
      </c>
      <c r="J10" s="606">
        <f>J8</f>
        <v>1</v>
      </c>
      <c r="L10" s="604"/>
      <c r="M10" s="605"/>
      <c r="O10" s="485">
        <v>5</v>
      </c>
    </row>
    <row r="11" spans="3:22">
      <c r="C11" s="485" t="str">
        <f>LEFT(E11,4)&amp;RIGHT(D11,5)&amp;"N"</f>
        <v>TPMTGSBL3N</v>
      </c>
      <c r="D11" s="600" t="s">
        <v>227</v>
      </c>
      <c r="E11" s="491" t="s">
        <v>660</v>
      </c>
      <c r="F11" s="485">
        <v>2020</v>
      </c>
      <c r="G11" s="485" t="s">
        <v>490</v>
      </c>
      <c r="H11" s="485">
        <v>2020</v>
      </c>
      <c r="I11" s="485">
        <v>2034</v>
      </c>
      <c r="J11" s="606">
        <v>1.01</v>
      </c>
      <c r="K11" s="485">
        <v>15</v>
      </c>
      <c r="L11" s="604">
        <f>L8</f>
        <v>8.0000000000000007E-5</v>
      </c>
      <c r="M11" s="605">
        <f>M8</f>
        <v>51.851851851851841</v>
      </c>
      <c r="O11" s="485">
        <v>5</v>
      </c>
    </row>
    <row r="12" spans="3:22">
      <c r="C12" s="600"/>
      <c r="D12" s="600"/>
      <c r="E12" s="491" t="s">
        <v>661</v>
      </c>
      <c r="J12" s="606">
        <f>J11</f>
        <v>1.01</v>
      </c>
      <c r="L12" s="604"/>
      <c r="M12" s="605"/>
      <c r="O12" s="485">
        <v>5</v>
      </c>
    </row>
    <row r="13" spans="3:22">
      <c r="C13" s="600"/>
      <c r="D13" s="600"/>
      <c r="E13" s="491" t="s">
        <v>662</v>
      </c>
      <c r="J13" s="606">
        <f>J11</f>
        <v>1.01</v>
      </c>
      <c r="L13" s="604"/>
      <c r="M13" s="605"/>
      <c r="O13" s="485">
        <v>5</v>
      </c>
      <c r="U13" s="485" t="s">
        <v>574</v>
      </c>
    </row>
    <row r="14" spans="3:22">
      <c r="C14" s="485" t="str">
        <f>LEFT(E14,4)&amp;RIGHT(D14,5)&amp;"N"</f>
        <v>TPMTGSBL4N</v>
      </c>
      <c r="D14" s="600" t="s">
        <v>228</v>
      </c>
      <c r="E14" s="491" t="s">
        <v>660</v>
      </c>
      <c r="F14" s="600">
        <v>2035</v>
      </c>
      <c r="G14" s="600" t="s">
        <v>490</v>
      </c>
      <c r="H14" s="600">
        <v>2035</v>
      </c>
      <c r="I14" s="600"/>
      <c r="J14" s="603">
        <v>1.01</v>
      </c>
      <c r="K14" s="600">
        <v>15</v>
      </c>
      <c r="L14" s="604">
        <f>L8</f>
        <v>8.0000000000000007E-5</v>
      </c>
      <c r="M14" s="605">
        <f>M8</f>
        <v>51.851851851851841</v>
      </c>
      <c r="O14" s="485">
        <v>5</v>
      </c>
      <c r="U14" s="485">
        <v>7000</v>
      </c>
      <c r="V14" s="607" t="s">
        <v>582</v>
      </c>
    </row>
    <row r="15" spans="3:22">
      <c r="C15" s="600"/>
      <c r="D15" s="600"/>
      <c r="E15" s="491" t="s">
        <v>661</v>
      </c>
      <c r="F15" s="600"/>
      <c r="G15" s="600"/>
      <c r="H15" s="600"/>
      <c r="I15" s="600"/>
      <c r="J15" s="603">
        <f>J14</f>
        <v>1.01</v>
      </c>
      <c r="K15" s="600"/>
      <c r="L15" s="604"/>
      <c r="M15" s="605"/>
      <c r="O15" s="485">
        <v>5</v>
      </c>
      <c r="U15" s="608">
        <f>U14/0.135</f>
        <v>51851.851851851847</v>
      </c>
      <c r="V15" s="485" t="s">
        <v>573</v>
      </c>
    </row>
    <row r="16" spans="3:22">
      <c r="C16" s="590"/>
      <c r="D16" s="590"/>
      <c r="E16" s="491" t="s">
        <v>662</v>
      </c>
      <c r="F16" s="590"/>
      <c r="G16" s="590"/>
      <c r="H16" s="590"/>
      <c r="I16" s="590"/>
      <c r="J16" s="610">
        <f>J14</f>
        <v>1.01</v>
      </c>
      <c r="K16" s="590"/>
      <c r="L16" s="611"/>
      <c r="M16" s="612"/>
      <c r="O16" s="590">
        <v>5</v>
      </c>
      <c r="U16" s="608">
        <f>U15/10^6*10^3</f>
        <v>51.851851851851841</v>
      </c>
      <c r="V16" s="485" t="s">
        <v>12</v>
      </c>
    </row>
    <row r="17" spans="1:22">
      <c r="C17" s="485" t="str">
        <f>LEFT(E17,4)&amp;RIGHT(D17,5)&amp;"N"</f>
        <v>TPMPGSBL2N</v>
      </c>
      <c r="D17" s="601" t="s">
        <v>226</v>
      </c>
      <c r="E17" s="602" t="s">
        <v>676</v>
      </c>
      <c r="F17" s="485">
        <v>2015</v>
      </c>
      <c r="G17" s="485" t="s">
        <v>490</v>
      </c>
      <c r="H17" s="485">
        <v>2012</v>
      </c>
      <c r="I17" s="485">
        <v>2019</v>
      </c>
      <c r="J17" s="606">
        <v>1</v>
      </c>
      <c r="K17" s="485">
        <v>10</v>
      </c>
      <c r="L17" s="604">
        <v>6.0000000000000002E-5</v>
      </c>
      <c r="M17" s="605">
        <f>U21</f>
        <v>16.296296296296294</v>
      </c>
      <c r="O17" s="485">
        <v>5</v>
      </c>
      <c r="U17" s="608"/>
    </row>
    <row r="18" spans="1:22">
      <c r="E18" s="491" t="s">
        <v>663</v>
      </c>
      <c r="J18" s="606">
        <v>1</v>
      </c>
      <c r="O18" s="485">
        <v>5</v>
      </c>
    </row>
    <row r="19" spans="1:22">
      <c r="C19" s="600"/>
      <c r="D19" s="601"/>
      <c r="E19" s="491" t="s">
        <v>664</v>
      </c>
      <c r="J19" s="606">
        <f>J18</f>
        <v>1</v>
      </c>
      <c r="L19" s="604"/>
      <c r="M19" s="605"/>
      <c r="O19" s="485">
        <v>5</v>
      </c>
    </row>
    <row r="20" spans="1:22">
      <c r="C20" s="600"/>
      <c r="D20" s="601"/>
      <c r="E20" s="491" t="s">
        <v>665</v>
      </c>
      <c r="J20" s="606">
        <f>J18</f>
        <v>1</v>
      </c>
      <c r="L20" s="604"/>
      <c r="M20" s="605"/>
      <c r="O20" s="485">
        <v>5</v>
      </c>
      <c r="U20" s="608">
        <f>2200/0.135</f>
        <v>16296.296296296296</v>
      </c>
      <c r="V20" s="485" t="s">
        <v>573</v>
      </c>
    </row>
    <row r="21" spans="1:22">
      <c r="C21" s="485" t="str">
        <f>LEFT(E21,4)&amp;RIGHT(D21,5)&amp;"N"</f>
        <v>TPMPGSBL3N</v>
      </c>
      <c r="D21" s="600" t="s">
        <v>227</v>
      </c>
      <c r="E21" s="602" t="s">
        <v>676</v>
      </c>
      <c r="F21" s="485">
        <v>2020</v>
      </c>
      <c r="G21" s="485" t="s">
        <v>490</v>
      </c>
      <c r="H21" s="485">
        <v>2020</v>
      </c>
      <c r="I21" s="485">
        <v>2034</v>
      </c>
      <c r="J21" s="606">
        <v>1.01</v>
      </c>
      <c r="K21" s="485">
        <v>10</v>
      </c>
      <c r="L21" s="604">
        <f>L17</f>
        <v>6.0000000000000002E-5</v>
      </c>
      <c r="M21" s="605">
        <f>M17</f>
        <v>16.296296296296294</v>
      </c>
      <c r="O21" s="485">
        <v>5</v>
      </c>
      <c r="U21" s="608">
        <f>U20/10^3</f>
        <v>16.296296296296294</v>
      </c>
      <c r="V21" s="485" t="s">
        <v>12</v>
      </c>
    </row>
    <row r="22" spans="1:22">
      <c r="E22" s="491" t="s">
        <v>663</v>
      </c>
      <c r="J22" s="606">
        <f>J21</f>
        <v>1.01</v>
      </c>
      <c r="L22" s="604"/>
      <c r="M22" s="605"/>
      <c r="O22" s="485">
        <v>5</v>
      </c>
    </row>
    <row r="23" spans="1:22">
      <c r="C23" s="600"/>
      <c r="D23" s="600"/>
      <c r="E23" s="491" t="s">
        <v>664</v>
      </c>
      <c r="J23" s="606">
        <f>J21</f>
        <v>1.01</v>
      </c>
      <c r="L23" s="604"/>
      <c r="M23" s="605"/>
      <c r="O23" s="485">
        <v>5</v>
      </c>
    </row>
    <row r="24" spans="1:22">
      <c r="C24" s="600"/>
      <c r="D24" s="600"/>
      <c r="E24" s="491" t="s">
        <v>665</v>
      </c>
      <c r="J24" s="606">
        <f>J21</f>
        <v>1.01</v>
      </c>
      <c r="O24" s="485">
        <v>5</v>
      </c>
    </row>
    <row r="25" spans="1:22">
      <c r="C25" s="485" t="str">
        <f>LEFT(E25,4)&amp;RIGHT(D25,5)&amp;"N"</f>
        <v>TPMPGSBL4N</v>
      </c>
      <c r="D25" s="600" t="s">
        <v>228</v>
      </c>
      <c r="E25" s="602" t="s">
        <v>676</v>
      </c>
      <c r="F25" s="600">
        <v>2035</v>
      </c>
      <c r="G25" s="600" t="s">
        <v>490</v>
      </c>
      <c r="H25" s="600">
        <v>2035</v>
      </c>
      <c r="I25" s="600"/>
      <c r="J25" s="603">
        <v>1.01</v>
      </c>
      <c r="K25" s="600">
        <v>10</v>
      </c>
      <c r="L25" s="604">
        <f>L17</f>
        <v>6.0000000000000002E-5</v>
      </c>
      <c r="M25" s="605">
        <f>M17</f>
        <v>16.296296296296294</v>
      </c>
      <c r="O25" s="485">
        <v>5</v>
      </c>
    </row>
    <row r="26" spans="1:22">
      <c r="E26" s="491" t="s">
        <v>663</v>
      </c>
      <c r="J26" s="603">
        <v>1.01</v>
      </c>
      <c r="N26" s="600"/>
      <c r="O26" s="485">
        <v>5</v>
      </c>
      <c r="P26" s="600"/>
      <c r="Q26" s="600"/>
      <c r="R26" s="600"/>
      <c r="S26" s="600"/>
    </row>
    <row r="27" spans="1:22">
      <c r="C27" s="600"/>
      <c r="D27" s="600"/>
      <c r="E27" s="491" t="s">
        <v>664</v>
      </c>
      <c r="F27" s="613"/>
      <c r="G27" s="613"/>
      <c r="H27" s="613"/>
      <c r="I27" s="613"/>
      <c r="J27" s="603">
        <f>J25</f>
        <v>1.01</v>
      </c>
      <c r="K27" s="600"/>
      <c r="L27" s="604"/>
      <c r="M27" s="605"/>
      <c r="O27" s="485">
        <v>5</v>
      </c>
    </row>
    <row r="28" spans="1:22">
      <c r="C28" s="590"/>
      <c r="D28" s="614"/>
      <c r="E28" s="491" t="s">
        <v>665</v>
      </c>
      <c r="F28" s="614"/>
      <c r="G28" s="609"/>
      <c r="H28" s="614"/>
      <c r="I28" s="614"/>
      <c r="J28" s="610">
        <f>J25</f>
        <v>1.01</v>
      </c>
      <c r="K28" s="590"/>
      <c r="L28" s="611"/>
      <c r="M28" s="612"/>
      <c r="O28" s="590">
        <v>5</v>
      </c>
    </row>
    <row r="29" spans="1:22">
      <c r="A29" s="600"/>
      <c r="C29" s="485" t="str">
        <f>LEFT(E29,4)&amp;RIGHT(D29,5)&amp;"N"</f>
        <v>TPMTGSBL5N</v>
      </c>
      <c r="D29" s="613" t="s">
        <v>675</v>
      </c>
      <c r="E29" s="491" t="s">
        <v>660</v>
      </c>
      <c r="F29" s="615">
        <v>2035</v>
      </c>
      <c r="G29" s="602" t="s">
        <v>490</v>
      </c>
      <c r="H29" s="615">
        <v>2035</v>
      </c>
      <c r="I29" s="616"/>
      <c r="J29" s="603">
        <v>1.01</v>
      </c>
      <c r="K29" s="485">
        <v>15</v>
      </c>
      <c r="L29" s="604">
        <f>L8</f>
        <v>8.0000000000000007E-5</v>
      </c>
      <c r="M29" s="605">
        <f>M8</f>
        <v>51.851851851851841</v>
      </c>
      <c r="O29" s="485">
        <v>5</v>
      </c>
    </row>
    <row r="30" spans="1:22">
      <c r="A30" s="600"/>
      <c r="C30" s="600"/>
      <c r="D30" s="617"/>
      <c r="E30" s="491" t="s">
        <v>661</v>
      </c>
      <c r="F30" s="615"/>
      <c r="G30" s="602"/>
      <c r="H30" s="615"/>
      <c r="I30" s="616"/>
      <c r="J30" s="603">
        <f>J29</f>
        <v>1.01</v>
      </c>
      <c r="L30" s="604"/>
      <c r="M30" s="605"/>
      <c r="O30" s="485">
        <v>5</v>
      </c>
    </row>
    <row r="31" spans="1:22">
      <c r="A31" s="600"/>
      <c r="C31" s="600"/>
      <c r="D31" s="617"/>
      <c r="E31" s="491" t="s">
        <v>662</v>
      </c>
      <c r="F31" s="615"/>
      <c r="G31" s="602"/>
      <c r="H31" s="615"/>
      <c r="I31" s="616"/>
      <c r="J31" s="603">
        <f>J29</f>
        <v>1.01</v>
      </c>
      <c r="L31" s="604"/>
      <c r="M31" s="605"/>
      <c r="O31" s="485">
        <v>5</v>
      </c>
    </row>
    <row r="32" spans="1:22">
      <c r="A32" s="600"/>
      <c r="C32" s="485" t="str">
        <f>LEFT(E32,4)&amp;RIGHT(D32,5)&amp;"N"</f>
        <v>TPMPGSBL5N</v>
      </c>
      <c r="D32" s="613" t="s">
        <v>675</v>
      </c>
      <c r="E32" s="602" t="s">
        <v>676</v>
      </c>
      <c r="F32" s="615">
        <v>2035</v>
      </c>
      <c r="G32" s="602" t="s">
        <v>490</v>
      </c>
      <c r="H32" s="615">
        <v>2035</v>
      </c>
      <c r="I32" s="613"/>
      <c r="J32" s="603">
        <v>1.01</v>
      </c>
      <c r="K32" s="485">
        <v>10</v>
      </c>
      <c r="L32" s="604">
        <f>L17</f>
        <v>6.0000000000000002E-5</v>
      </c>
      <c r="M32" s="605">
        <f>M25</f>
        <v>16.296296296296294</v>
      </c>
      <c r="O32" s="485">
        <v>5</v>
      </c>
    </row>
    <row r="33" spans="3:20">
      <c r="E33" s="491" t="s">
        <v>663</v>
      </c>
      <c r="F33" s="616"/>
      <c r="G33" s="618"/>
      <c r="H33" s="616"/>
      <c r="I33" s="616"/>
      <c r="J33" s="603">
        <f>J32</f>
        <v>1.01</v>
      </c>
      <c r="M33" s="619"/>
      <c r="O33" s="485">
        <v>5</v>
      </c>
    </row>
    <row r="34" spans="3:20">
      <c r="C34" s="600"/>
      <c r="D34" s="617"/>
      <c r="E34" s="491" t="s">
        <v>664</v>
      </c>
      <c r="F34" s="620"/>
      <c r="G34" s="621"/>
      <c r="H34" s="621"/>
      <c r="I34" s="602"/>
      <c r="J34" s="603">
        <f>J33</f>
        <v>1.01</v>
      </c>
      <c r="M34" s="619"/>
      <c r="O34" s="485">
        <v>5</v>
      </c>
    </row>
    <row r="35" spans="3:20">
      <c r="D35" s="617"/>
      <c r="E35" s="491" t="s">
        <v>665</v>
      </c>
      <c r="J35" s="603">
        <f>J34</f>
        <v>1.01</v>
      </c>
      <c r="O35" s="485">
        <v>5</v>
      </c>
    </row>
    <row r="36" spans="3:20">
      <c r="C36" s="485" t="str">
        <f>LEFT(E36,4)&amp;RIGHT(D36,3)&amp;"N"</f>
        <v>TPMTBL2N</v>
      </c>
      <c r="D36" s="596" t="s">
        <v>226</v>
      </c>
      <c r="E36" s="491" t="s">
        <v>660</v>
      </c>
      <c r="F36" s="485">
        <v>2011</v>
      </c>
      <c r="G36" s="485" t="s">
        <v>490</v>
      </c>
      <c r="H36" s="485">
        <v>2011</v>
      </c>
      <c r="J36" s="485">
        <f t="shared" ref="J36:J41" si="0">J8*T36</f>
        <v>762.19512195122002</v>
      </c>
      <c r="K36" s="485">
        <v>15</v>
      </c>
      <c r="L36" s="1474">
        <f>L8</f>
        <v>8.0000000000000007E-5</v>
      </c>
      <c r="M36" s="1474">
        <f>M8</f>
        <v>51.851851851851841</v>
      </c>
      <c r="N36" s="485">
        <v>0.34287491692204403</v>
      </c>
      <c r="O36" s="485">
        <v>5</v>
      </c>
      <c r="P36" s="1467">
        <v>3012.7635319902602</v>
      </c>
      <c r="Q36" s="485">
        <v>1E-3</v>
      </c>
      <c r="R36" s="485">
        <v>1.0495495495495499</v>
      </c>
      <c r="T36" s="1473">
        <v>762.19512195122002</v>
      </c>
    </row>
    <row r="37" spans="3:20">
      <c r="D37" s="617"/>
      <c r="E37" s="491" t="s">
        <v>661</v>
      </c>
      <c r="J37" s="485">
        <f t="shared" si="0"/>
        <v>781.86082877247804</v>
      </c>
      <c r="N37" s="485">
        <v>0.270628851925027</v>
      </c>
      <c r="O37" s="485">
        <v>5</v>
      </c>
      <c r="T37" s="1473">
        <v>781.86082877247804</v>
      </c>
    </row>
    <row r="38" spans="3:20">
      <c r="D38" s="617"/>
      <c r="E38" s="491" t="s">
        <v>662</v>
      </c>
      <c r="J38" s="485">
        <f t="shared" si="0"/>
        <v>641.02564102564099</v>
      </c>
      <c r="N38" s="485">
        <v>0.38649623115292903</v>
      </c>
      <c r="O38" s="485">
        <v>5</v>
      </c>
      <c r="T38" s="1473">
        <v>641.02564102564099</v>
      </c>
    </row>
    <row r="39" spans="3:20">
      <c r="C39" s="485" t="str">
        <f>LEFT(E39,4)&amp;RIGHT(D39,3)&amp;"N"</f>
        <v>TPMTBL4N</v>
      </c>
      <c r="D39" s="596" t="str">
        <f>D14</f>
        <v>TRAGSBL4</v>
      </c>
      <c r="E39" s="491" t="s">
        <v>660</v>
      </c>
      <c r="F39" s="485">
        <v>2030</v>
      </c>
      <c r="G39" s="485" t="s">
        <v>490</v>
      </c>
      <c r="H39" s="485">
        <v>2030</v>
      </c>
      <c r="J39" s="485">
        <f t="shared" si="0"/>
        <v>769.81707317073221</v>
      </c>
      <c r="K39" s="485">
        <v>15</v>
      </c>
      <c r="L39" s="1474">
        <f>L11</f>
        <v>8.0000000000000007E-5</v>
      </c>
      <c r="M39" s="1474">
        <f>M11</f>
        <v>51.851851851851841</v>
      </c>
      <c r="N39" s="485">
        <v>0.34287491692204403</v>
      </c>
      <c r="O39" s="485">
        <v>5</v>
      </c>
      <c r="P39" s="1467">
        <v>3012.7635319902602</v>
      </c>
      <c r="Q39" s="485">
        <v>1E-3</v>
      </c>
      <c r="R39" s="485">
        <v>1.0495495495495499</v>
      </c>
      <c r="T39" s="1473">
        <v>762.19512195122002</v>
      </c>
    </row>
    <row r="40" spans="3:20">
      <c r="D40" s="617"/>
      <c r="E40" s="491" t="s">
        <v>661</v>
      </c>
      <c r="J40" s="485">
        <f t="shared" si="0"/>
        <v>789.67943706020287</v>
      </c>
      <c r="N40" s="485">
        <v>0.270628851925027</v>
      </c>
      <c r="O40" s="485">
        <v>5</v>
      </c>
      <c r="T40" s="1473">
        <v>781.86082877247804</v>
      </c>
    </row>
    <row r="41" spans="3:20">
      <c r="D41" s="1475" t="s">
        <v>674</v>
      </c>
      <c r="E41" s="491" t="s">
        <v>662</v>
      </c>
      <c r="J41" s="485">
        <f t="shared" si="0"/>
        <v>647.43589743589746</v>
      </c>
      <c r="N41" s="485">
        <v>0.38649623115292903</v>
      </c>
      <c r="O41" s="485">
        <v>5</v>
      </c>
      <c r="T41" s="1473">
        <v>641.02564102564099</v>
      </c>
    </row>
    <row r="42" spans="3:20">
      <c r="C42" s="485" t="str">
        <f>LEFT(E42,4)&amp;RIGHT(D42,3)&amp;"N"</f>
        <v>TPMTELCN</v>
      </c>
      <c r="D42" s="596" t="s">
        <v>80</v>
      </c>
      <c r="E42" s="491" t="s">
        <v>660</v>
      </c>
      <c r="F42" s="485">
        <v>2020</v>
      </c>
      <c r="G42" s="485" t="s">
        <v>490</v>
      </c>
      <c r="H42" s="485">
        <v>2035</v>
      </c>
      <c r="J42" s="485">
        <f>J39*2</f>
        <v>1539.6341463414644</v>
      </c>
      <c r="K42" s="485">
        <v>15</v>
      </c>
      <c r="L42" s="1474">
        <f>L14</f>
        <v>8.0000000000000007E-5</v>
      </c>
      <c r="M42" s="1474">
        <f>M14*1.2</f>
        <v>62.222222222222207</v>
      </c>
      <c r="N42" s="485">
        <v>0.34287491692204403</v>
      </c>
      <c r="O42" s="485">
        <v>5</v>
      </c>
      <c r="P42" s="1467">
        <v>3012.7635319902602</v>
      </c>
      <c r="Q42" s="485">
        <v>1E-3</v>
      </c>
      <c r="R42" s="485">
        <v>1.0495495495495499</v>
      </c>
      <c r="T42" s="1473">
        <v>762.19512195122002</v>
      </c>
    </row>
    <row r="43" spans="3:20">
      <c r="D43" s="617"/>
      <c r="E43" s="491" t="s">
        <v>661</v>
      </c>
      <c r="J43" s="485">
        <f>J40*2</f>
        <v>1579.3588741204057</v>
      </c>
      <c r="N43" s="485">
        <v>0.270628851925027</v>
      </c>
      <c r="O43" s="485">
        <v>5</v>
      </c>
      <c r="T43" s="1473">
        <v>781.86082877247804</v>
      </c>
    </row>
    <row r="44" spans="3:20">
      <c r="D44" s="617"/>
      <c r="E44" s="491" t="s">
        <v>662</v>
      </c>
      <c r="J44" s="485">
        <f>J41*2</f>
        <v>1294.8717948717949</v>
      </c>
      <c r="N44" s="485">
        <v>0.38649623115292903</v>
      </c>
      <c r="O44" s="485">
        <v>5</v>
      </c>
      <c r="T44" s="1473">
        <v>641.02564102564099</v>
      </c>
    </row>
    <row r="45" spans="3:20">
      <c r="C45" s="485" t="str">
        <f>LEFT(E45,4)&amp;RIGHT(D45,3)&amp;"N"</f>
        <v>TPMPBL2N</v>
      </c>
      <c r="D45" s="601" t="s">
        <v>226</v>
      </c>
      <c r="E45" s="602" t="s">
        <v>676</v>
      </c>
      <c r="F45" s="485">
        <v>2011</v>
      </c>
      <c r="G45" s="485" t="s">
        <v>490</v>
      </c>
      <c r="H45" s="485">
        <v>2011</v>
      </c>
      <c r="J45" s="485">
        <f t="shared" ref="J45:J52" si="1">J17*T45</f>
        <v>1265.8227848101301</v>
      </c>
      <c r="K45" s="485">
        <v>10</v>
      </c>
      <c r="N45" s="485">
        <v>0.203320224898835</v>
      </c>
      <c r="O45" s="485">
        <v>5</v>
      </c>
      <c r="P45" s="1467">
        <v>3012.7635319902602</v>
      </c>
      <c r="Q45" s="485">
        <v>1E-3</v>
      </c>
      <c r="R45" s="485">
        <v>1</v>
      </c>
      <c r="T45" s="1473">
        <v>1265.8227848101301</v>
      </c>
    </row>
    <row r="46" spans="3:20">
      <c r="D46" s="617"/>
      <c r="E46" s="491" t="s">
        <v>663</v>
      </c>
      <c r="J46" s="485">
        <f t="shared" si="1"/>
        <v>1265.8227848101301</v>
      </c>
      <c r="N46" s="485">
        <v>0.66759516249134199</v>
      </c>
      <c r="O46" s="485">
        <v>5</v>
      </c>
      <c r="T46" s="1473">
        <v>1265.8227848101301</v>
      </c>
    </row>
    <row r="47" spans="3:20">
      <c r="D47" s="617"/>
      <c r="E47" s="491" t="s">
        <v>664</v>
      </c>
      <c r="J47" s="485">
        <f t="shared" si="1"/>
        <v>1265.8227848101301</v>
      </c>
      <c r="N47" s="485">
        <v>8.7002382971308204E-2</v>
      </c>
      <c r="O47" s="485">
        <v>5</v>
      </c>
      <c r="T47" s="1473">
        <v>1265.8227848101301</v>
      </c>
    </row>
    <row r="48" spans="3:20">
      <c r="C48" s="600"/>
      <c r="D48" s="601"/>
      <c r="E48" s="491" t="s">
        <v>665</v>
      </c>
      <c r="H48" s="600"/>
      <c r="I48" s="622"/>
      <c r="J48" s="485">
        <f t="shared" si="1"/>
        <v>1265.8227848101301</v>
      </c>
      <c r="M48" s="619"/>
      <c r="N48" s="485">
        <v>4.2082229638514802E-2</v>
      </c>
      <c r="O48" s="485">
        <v>5</v>
      </c>
      <c r="T48" s="1030">
        <v>1265.8227848101301</v>
      </c>
    </row>
    <row r="49" spans="3:20">
      <c r="C49" s="485" t="str">
        <f>LEFT(E49,4)&amp;RIGHT(D49,3)&amp;"N"</f>
        <v>TPMPBL4N</v>
      </c>
      <c r="D49" s="601" t="str">
        <f>D25</f>
        <v>TRAGSBL4</v>
      </c>
      <c r="E49" s="602" t="s">
        <v>676</v>
      </c>
      <c r="F49" s="485">
        <v>2030</v>
      </c>
      <c r="G49" s="485" t="s">
        <v>490</v>
      </c>
      <c r="H49" s="485">
        <v>2030</v>
      </c>
      <c r="J49" s="485">
        <f t="shared" si="1"/>
        <v>1278.4810126582313</v>
      </c>
      <c r="K49" s="485">
        <v>10</v>
      </c>
      <c r="N49" s="485">
        <v>0.203320224898835</v>
      </c>
      <c r="O49" s="485">
        <v>5</v>
      </c>
      <c r="P49" s="1467">
        <v>3012.7635319902602</v>
      </c>
      <c r="Q49" s="485">
        <v>1E-3</v>
      </c>
      <c r="R49" s="485">
        <v>1</v>
      </c>
      <c r="T49" s="1473">
        <v>1265.8227848101301</v>
      </c>
    </row>
    <row r="50" spans="3:20">
      <c r="D50" s="617"/>
      <c r="E50" s="491" t="s">
        <v>663</v>
      </c>
      <c r="J50" s="485">
        <f t="shared" si="1"/>
        <v>1278.4810126582313</v>
      </c>
      <c r="N50" s="485">
        <v>0.66759516249134199</v>
      </c>
      <c r="O50" s="485">
        <v>5</v>
      </c>
      <c r="T50" s="1473">
        <v>1265.8227848101301</v>
      </c>
    </row>
    <row r="51" spans="3:20">
      <c r="D51" s="617"/>
      <c r="E51" s="491" t="s">
        <v>664</v>
      </c>
      <c r="J51" s="485">
        <f t="shared" si="1"/>
        <v>1278.4810126582313</v>
      </c>
      <c r="N51" s="485">
        <v>8.7002382971308204E-2</v>
      </c>
      <c r="O51" s="485">
        <v>5</v>
      </c>
      <c r="T51" s="1473">
        <v>1265.8227848101301</v>
      </c>
    </row>
    <row r="52" spans="3:20">
      <c r="C52" s="600"/>
      <c r="D52" s="601"/>
      <c r="E52" s="491" t="s">
        <v>665</v>
      </c>
      <c r="H52" s="600"/>
      <c r="I52" s="622"/>
      <c r="J52" s="485">
        <f t="shared" si="1"/>
        <v>1278.4810126582313</v>
      </c>
      <c r="M52" s="619"/>
      <c r="N52" s="485">
        <v>4.2082229638514802E-2</v>
      </c>
      <c r="O52" s="485">
        <v>5</v>
      </c>
      <c r="T52" s="1030">
        <v>1265.8227848101301</v>
      </c>
    </row>
    <row r="53" spans="3:20">
      <c r="C53" s="485" t="str">
        <f>LEFT(E53,4)&amp;RIGHT(D53,3)&amp;"N"</f>
        <v>TPMPELCN</v>
      </c>
      <c r="D53" s="601" t="s">
        <v>80</v>
      </c>
      <c r="E53" s="602" t="s">
        <v>676</v>
      </c>
      <c r="F53" s="485">
        <v>2020</v>
      </c>
      <c r="G53" s="485" t="s">
        <v>490</v>
      </c>
      <c r="H53" s="485">
        <v>2035</v>
      </c>
      <c r="J53" s="485">
        <f>J49*2</f>
        <v>2556.9620253164626</v>
      </c>
      <c r="K53" s="485">
        <v>10</v>
      </c>
      <c r="N53" s="485">
        <v>0.203320224898835</v>
      </c>
      <c r="O53" s="485">
        <v>5</v>
      </c>
      <c r="P53" s="1467">
        <v>3012.7635319902602</v>
      </c>
      <c r="Q53" s="485">
        <v>1E-3</v>
      </c>
      <c r="R53" s="485">
        <v>1</v>
      </c>
      <c r="T53" s="1473">
        <v>1265.8227848101301</v>
      </c>
    </row>
    <row r="54" spans="3:20">
      <c r="D54" s="617"/>
      <c r="E54" s="491" t="s">
        <v>663</v>
      </c>
      <c r="J54" s="485">
        <f t="shared" ref="J54:J56" si="2">J50*2</f>
        <v>2556.9620253164626</v>
      </c>
      <c r="N54" s="485">
        <v>0.66759516249134199</v>
      </c>
      <c r="O54" s="485">
        <v>5</v>
      </c>
      <c r="T54" s="1473">
        <v>1265.8227848101301</v>
      </c>
    </row>
    <row r="55" spans="3:20">
      <c r="D55" s="617"/>
      <c r="E55" s="491" t="s">
        <v>664</v>
      </c>
      <c r="J55" s="485">
        <f t="shared" si="2"/>
        <v>2556.9620253164626</v>
      </c>
      <c r="N55" s="485">
        <v>8.7002382971308204E-2</v>
      </c>
      <c r="O55" s="485">
        <v>5</v>
      </c>
      <c r="T55" s="1473">
        <v>1265.8227848101301</v>
      </c>
    </row>
    <row r="56" spans="3:20">
      <c r="C56" s="600"/>
      <c r="D56" s="601"/>
      <c r="E56" s="491" t="s">
        <v>665</v>
      </c>
      <c r="H56" s="600"/>
      <c r="I56" s="622"/>
      <c r="J56" s="485">
        <f t="shared" si="2"/>
        <v>2556.9620253164626</v>
      </c>
      <c r="M56" s="619"/>
      <c r="N56" s="485">
        <v>4.2082229638514802E-2</v>
      </c>
      <c r="O56" s="485">
        <v>5</v>
      </c>
      <c r="T56" s="1030">
        <v>1265.8227848101301</v>
      </c>
    </row>
    <row r="57" spans="3:20">
      <c r="C57" s="600"/>
      <c r="D57" s="601"/>
      <c r="E57" s="600"/>
      <c r="H57" s="600"/>
      <c r="I57" s="622"/>
      <c r="L57" s="619"/>
      <c r="M57" s="619"/>
    </row>
    <row r="59" spans="3:20">
      <c r="C59" s="623" t="s">
        <v>62</v>
      </c>
      <c r="D59" s="623"/>
      <c r="E59" s="624"/>
      <c r="F59" s="624"/>
      <c r="G59" s="624"/>
      <c r="H59" s="624"/>
      <c r="I59" s="624"/>
      <c r="J59" s="624"/>
    </row>
    <row r="60" spans="3:20" ht="27.6">
      <c r="C60" s="625" t="s">
        <v>63</v>
      </c>
      <c r="D60" s="625" t="s">
        <v>1</v>
      </c>
      <c r="E60" s="625" t="s">
        <v>64</v>
      </c>
      <c r="F60" s="625" t="s">
        <v>65</v>
      </c>
      <c r="G60" s="625" t="s">
        <v>66</v>
      </c>
      <c r="H60" s="625" t="s">
        <v>67</v>
      </c>
      <c r="I60" s="625" t="s">
        <v>68</v>
      </c>
      <c r="J60" s="625" t="s">
        <v>69</v>
      </c>
    </row>
    <row r="61" spans="3:20" ht="41.4" thickBot="1">
      <c r="C61" s="626" t="s">
        <v>70</v>
      </c>
      <c r="D61" s="626" t="s">
        <v>71</v>
      </c>
      <c r="E61" s="626" t="s">
        <v>72</v>
      </c>
      <c r="F61" s="626" t="s">
        <v>73</v>
      </c>
      <c r="G61" s="626" t="s">
        <v>74</v>
      </c>
      <c r="H61" s="626" t="s">
        <v>75</v>
      </c>
      <c r="I61" s="626" t="s">
        <v>76</v>
      </c>
      <c r="J61" s="626" t="s">
        <v>77</v>
      </c>
    </row>
    <row r="62" spans="3:20">
      <c r="C62" s="627" t="s">
        <v>78</v>
      </c>
      <c r="D62" s="624" t="str">
        <f>C8</f>
        <v>TPMTGSBL2N</v>
      </c>
      <c r="E62" s="628" t="s">
        <v>491</v>
      </c>
      <c r="F62" s="627" t="s">
        <v>81</v>
      </c>
      <c r="G62" s="629" t="s">
        <v>82</v>
      </c>
      <c r="H62" s="627"/>
      <c r="I62" s="627"/>
      <c r="J62" s="629"/>
    </row>
    <row r="63" spans="3:20">
      <c r="C63" s="627"/>
      <c r="D63" s="624" t="str">
        <f>C11</f>
        <v>TPMTGSBL3N</v>
      </c>
      <c r="E63" s="628" t="s">
        <v>492</v>
      </c>
      <c r="F63" s="627" t="s">
        <v>81</v>
      </c>
      <c r="G63" s="629" t="s">
        <v>82</v>
      </c>
      <c r="H63" s="627"/>
      <c r="I63" s="627"/>
      <c r="J63" s="629"/>
    </row>
    <row r="64" spans="3:20">
      <c r="D64" s="624" t="str">
        <f>C14</f>
        <v>TPMTGSBL4N</v>
      </c>
      <c r="E64" s="628" t="s">
        <v>493</v>
      </c>
      <c r="F64" s="627" t="s">
        <v>81</v>
      </c>
      <c r="G64" s="629" t="s">
        <v>82</v>
      </c>
    </row>
    <row r="65" spans="4:7">
      <c r="D65" s="624" t="str">
        <f>C17</f>
        <v>TPMPGSBL2N</v>
      </c>
      <c r="E65" s="628" t="s">
        <v>494</v>
      </c>
      <c r="F65" s="627" t="s">
        <v>81</v>
      </c>
      <c r="G65" s="629" t="s">
        <v>82</v>
      </c>
    </row>
    <row r="66" spans="4:7">
      <c r="D66" s="624" t="str">
        <f>C21</f>
        <v>TPMPGSBL3N</v>
      </c>
      <c r="E66" s="628" t="s">
        <v>495</v>
      </c>
      <c r="F66" s="627" t="s">
        <v>81</v>
      </c>
      <c r="G66" s="629" t="s">
        <v>82</v>
      </c>
    </row>
    <row r="67" spans="4:7">
      <c r="D67" s="624" t="str">
        <f>C25</f>
        <v>TPMPGSBL4N</v>
      </c>
      <c r="E67" s="628" t="s">
        <v>496</v>
      </c>
      <c r="F67" s="627" t="s">
        <v>81</v>
      </c>
      <c r="G67" s="629" t="s">
        <v>82</v>
      </c>
    </row>
    <row r="68" spans="4:7">
      <c r="D68" s="624" t="str">
        <f>C29</f>
        <v>TPMTGSBL5N</v>
      </c>
      <c r="E68" s="628" t="s">
        <v>497</v>
      </c>
      <c r="F68" s="627" t="s">
        <v>81</v>
      </c>
      <c r="G68" s="629" t="s">
        <v>82</v>
      </c>
    </row>
    <row r="69" spans="4:7">
      <c r="D69" s="624" t="str">
        <f>C32</f>
        <v>TPMPGSBL5N</v>
      </c>
      <c r="E69" s="628" t="s">
        <v>498</v>
      </c>
      <c r="F69" s="627" t="s">
        <v>81</v>
      </c>
      <c r="G69" s="629" t="s">
        <v>82</v>
      </c>
    </row>
    <row r="70" spans="4:7">
      <c r="D70" s="624" t="str">
        <f>C36</f>
        <v>TPMTBL2N</v>
      </c>
      <c r="E70" s="485" t="s">
        <v>1548</v>
      </c>
      <c r="F70" s="627" t="s">
        <v>81</v>
      </c>
      <c r="G70" s="629" t="s">
        <v>82</v>
      </c>
    </row>
    <row r="71" spans="4:7">
      <c r="D71" s="624" t="str">
        <f>C39</f>
        <v>TPMTBL4N</v>
      </c>
      <c r="E71" s="485" t="s">
        <v>1549</v>
      </c>
      <c r="F71" s="627" t="s">
        <v>81</v>
      </c>
      <c r="G71" s="629" t="s">
        <v>82</v>
      </c>
    </row>
    <row r="72" spans="4:7">
      <c r="D72" s="624" t="str">
        <f>C42</f>
        <v>TPMTELCN</v>
      </c>
      <c r="E72" s="485" t="s">
        <v>1550</v>
      </c>
      <c r="F72" s="627" t="s">
        <v>81</v>
      </c>
      <c r="G72" s="629" t="s">
        <v>82</v>
      </c>
    </row>
    <row r="73" spans="4:7">
      <c r="D73" s="624" t="str">
        <f>C45</f>
        <v>TPMPBL2N</v>
      </c>
      <c r="E73" s="485" t="s">
        <v>1551</v>
      </c>
      <c r="F73" s="627" t="s">
        <v>81</v>
      </c>
      <c r="G73" s="629" t="s">
        <v>82</v>
      </c>
    </row>
    <row r="74" spans="4:7">
      <c r="D74" s="624" t="str">
        <f>C49</f>
        <v>TPMPBL4N</v>
      </c>
      <c r="E74" s="485" t="s">
        <v>1552</v>
      </c>
      <c r="F74" s="627" t="s">
        <v>81</v>
      </c>
      <c r="G74" s="629" t="s">
        <v>82</v>
      </c>
    </row>
    <row r="75" spans="4:7">
      <c r="D75" s="624" t="str">
        <f>C53</f>
        <v>TPMPELCN</v>
      </c>
      <c r="E75" s="485" t="s">
        <v>1553</v>
      </c>
      <c r="F75" s="627" t="s">
        <v>81</v>
      </c>
      <c r="G75" s="629" t="s">
        <v>82</v>
      </c>
    </row>
    <row r="76" spans="4:7">
      <c r="D76" s="624"/>
    </row>
    <row r="77" spans="4:7">
      <c r="D77" s="624"/>
    </row>
    <row r="78" spans="4:7">
      <c r="D78" s="624"/>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22"/>
  <sheetViews>
    <sheetView workbookViewId="0">
      <selection activeCell="M8" sqref="M8"/>
    </sheetView>
  </sheetViews>
  <sheetFormatPr defaultColWidth="8.88671875" defaultRowHeight="13.2"/>
  <cols>
    <col min="1" max="1" width="12.6640625" style="485" bestFit="1" customWidth="1"/>
    <col min="2" max="3" width="11.6640625" style="485" bestFit="1" customWidth="1"/>
    <col min="4" max="4" width="35.88671875" style="485" bestFit="1" customWidth="1"/>
    <col min="5" max="6" width="18" style="485" bestFit="1" customWidth="1"/>
    <col min="7" max="9" width="8.88671875" style="485"/>
    <col min="10" max="10" width="10.5546875" style="485" customWidth="1"/>
    <col min="11" max="11" width="8.5546875" style="485" bestFit="1" customWidth="1"/>
    <col min="12" max="16384" width="8.88671875" style="485"/>
  </cols>
  <sheetData>
    <row r="1" spans="1:17">
      <c r="A1" s="616"/>
      <c r="B1" s="616"/>
    </row>
    <row r="2" spans="1:17">
      <c r="A2" s="616"/>
      <c r="C2" s="588"/>
      <c r="F2" s="589" t="s">
        <v>0</v>
      </c>
      <c r="I2" s="590"/>
    </row>
    <row r="3" spans="1:17" ht="27.6">
      <c r="A3" s="616"/>
      <c r="B3" s="591" t="s">
        <v>1</v>
      </c>
      <c r="C3" s="591" t="s">
        <v>2</v>
      </c>
      <c r="D3" s="591" t="s">
        <v>3</v>
      </c>
      <c r="E3" s="591" t="s">
        <v>28</v>
      </c>
      <c r="F3" s="591" t="s">
        <v>218</v>
      </c>
      <c r="G3" s="591" t="s">
        <v>87</v>
      </c>
      <c r="H3" s="591" t="s">
        <v>230</v>
      </c>
      <c r="I3" s="591" t="s">
        <v>89</v>
      </c>
      <c r="J3" s="592" t="s">
        <v>669</v>
      </c>
      <c r="K3" s="592" t="s">
        <v>10</v>
      </c>
      <c r="L3" s="592" t="s">
        <v>6</v>
      </c>
      <c r="M3" s="592" t="s">
        <v>7</v>
      </c>
      <c r="N3" s="592" t="s">
        <v>659</v>
      </c>
    </row>
    <row r="4" spans="1:17" ht="41.4" thickBot="1">
      <c r="A4" s="616"/>
      <c r="B4" s="644" t="s">
        <v>11</v>
      </c>
      <c r="C4" s="644"/>
      <c r="D4" s="644"/>
      <c r="E4" s="644"/>
      <c r="F4" s="644" t="s">
        <v>217</v>
      </c>
      <c r="G4" s="644" t="s">
        <v>13</v>
      </c>
      <c r="H4" s="644" t="s">
        <v>222</v>
      </c>
      <c r="I4" s="644" t="s">
        <v>219</v>
      </c>
      <c r="J4" s="644"/>
      <c r="K4" s="644" t="s">
        <v>14</v>
      </c>
      <c r="L4" s="644" t="s">
        <v>83</v>
      </c>
      <c r="M4" s="644" t="s">
        <v>12</v>
      </c>
      <c r="N4" s="644"/>
    </row>
    <row r="5" spans="1:17" ht="14.1" customHeight="1">
      <c r="B5" s="485" t="str">
        <f>LEFT(D5,4)&amp;"K"&amp;RIGHT(C5,3)&amp;"1N"</f>
        <v>TPBIKELC1N</v>
      </c>
      <c r="C5" s="485" t="s">
        <v>80</v>
      </c>
      <c r="D5" s="607" t="s">
        <v>677</v>
      </c>
      <c r="E5" s="639" t="str">
        <f>'EU Diesel IC-reg.tog'!$D$21</f>
        <v>2015</v>
      </c>
      <c r="F5" s="485" t="str">
        <f>"MKr"&amp;RIGHT('EU Diesel IC-reg.tog'!$H$38,2)</f>
        <v>MKr11</v>
      </c>
      <c r="G5" s="638">
        <v>2012</v>
      </c>
      <c r="H5" s="637"/>
      <c r="I5" s="631">
        <v>2000</v>
      </c>
      <c r="J5" s="640">
        <f>J8*0.85</f>
        <v>0.49541400000000002</v>
      </c>
      <c r="K5" s="633">
        <v>8</v>
      </c>
      <c r="L5" s="604">
        <v>2.0000000000000002E-5</v>
      </c>
      <c r="M5" s="636">
        <f>P14</f>
        <v>10</v>
      </c>
      <c r="N5" s="485">
        <v>5</v>
      </c>
    </row>
    <row r="6" spans="1:17" ht="14.1" customHeight="1">
      <c r="A6" s="616"/>
      <c r="D6" s="548" t="s">
        <v>666</v>
      </c>
      <c r="J6" s="640">
        <f>J9*0.85</f>
        <v>0.35458599999999996</v>
      </c>
      <c r="N6" s="485">
        <v>5</v>
      </c>
    </row>
    <row r="7" spans="1:17">
      <c r="A7" s="616"/>
      <c r="D7" s="548" t="s">
        <v>667</v>
      </c>
      <c r="E7" s="639"/>
      <c r="G7" s="638"/>
      <c r="H7" s="637"/>
      <c r="I7" s="616"/>
      <c r="J7" s="643">
        <f>(1-J6-J5)</f>
        <v>0.15000000000000002</v>
      </c>
      <c r="K7" s="633"/>
      <c r="L7" s="604"/>
      <c r="M7" s="636"/>
      <c r="N7" s="485">
        <v>5</v>
      </c>
    </row>
    <row r="8" spans="1:17">
      <c r="B8" s="616" t="str">
        <f>LEFT(D5,4)&amp;"KING1N"</f>
        <v>TPBIKING1N</v>
      </c>
      <c r="D8" s="607" t="s">
        <v>677</v>
      </c>
      <c r="E8" s="639" t="str">
        <f>'EU Diesel IC-reg.tog'!$D$21</f>
        <v>2015</v>
      </c>
      <c r="F8" s="485" t="str">
        <f>"MKr"&amp;RIGHT('EU Diesel IC-reg.tog'!$H$38,2)</f>
        <v>MKr11</v>
      </c>
      <c r="G8" s="637">
        <v>2012</v>
      </c>
      <c r="H8" s="637"/>
      <c r="I8" s="642"/>
      <c r="J8" s="640">
        <v>0.58284000000000002</v>
      </c>
      <c r="K8" s="633">
        <v>8</v>
      </c>
      <c r="L8" s="604">
        <v>1.0000000000000001E-5</v>
      </c>
      <c r="M8" s="641">
        <f>P11</f>
        <v>5.1851851851851851</v>
      </c>
      <c r="N8" s="485">
        <v>5</v>
      </c>
      <c r="P8" s="607" t="s">
        <v>575</v>
      </c>
    </row>
    <row r="9" spans="1:17">
      <c r="A9" s="616"/>
      <c r="D9" s="548" t="s">
        <v>666</v>
      </c>
      <c r="J9" s="640">
        <v>0.41715999999999998</v>
      </c>
      <c r="N9" s="485">
        <v>5</v>
      </c>
    </row>
    <row r="10" spans="1:17">
      <c r="A10" s="616"/>
      <c r="D10" s="607"/>
      <c r="P10" s="608">
        <f>700/0.135</f>
        <v>5185.1851851851852</v>
      </c>
      <c r="Q10" s="607" t="s">
        <v>576</v>
      </c>
    </row>
    <row r="11" spans="1:17">
      <c r="A11" s="616"/>
      <c r="D11" s="607"/>
      <c r="E11" s="639"/>
      <c r="G11" s="638"/>
      <c r="H11" s="637"/>
      <c r="I11" s="616"/>
      <c r="J11" s="633"/>
      <c r="K11" s="604"/>
      <c r="L11" s="636"/>
      <c r="P11" s="608">
        <f>P10/10^3</f>
        <v>5.1851851851851851</v>
      </c>
      <c r="Q11" s="485" t="s">
        <v>12</v>
      </c>
    </row>
    <row r="12" spans="1:17">
      <c r="A12" s="616"/>
    </row>
    <row r="13" spans="1:17">
      <c r="A13" s="616"/>
      <c r="P13" s="485">
        <v>10000</v>
      </c>
      <c r="Q13" s="607" t="s">
        <v>576</v>
      </c>
    </row>
    <row r="14" spans="1:17">
      <c r="A14" s="616"/>
      <c r="B14" s="623" t="s">
        <v>62</v>
      </c>
      <c r="P14" s="485">
        <f>P13*10^-3</f>
        <v>10</v>
      </c>
      <c r="Q14" s="485" t="s">
        <v>12</v>
      </c>
    </row>
    <row r="15" spans="1:17" ht="27.6">
      <c r="A15" s="616"/>
      <c r="B15" s="625" t="s">
        <v>63</v>
      </c>
      <c r="C15" s="625" t="s">
        <v>1</v>
      </c>
      <c r="D15" s="625" t="s">
        <v>64</v>
      </c>
      <c r="E15" s="625" t="s">
        <v>65</v>
      </c>
      <c r="F15" s="625" t="s">
        <v>66</v>
      </c>
      <c r="G15" s="625" t="s">
        <v>67</v>
      </c>
      <c r="H15" s="625" t="s">
        <v>68</v>
      </c>
      <c r="I15" s="625" t="s">
        <v>69</v>
      </c>
    </row>
    <row r="16" spans="1:17" ht="41.4" thickBot="1">
      <c r="A16" s="616"/>
      <c r="B16" s="626" t="s">
        <v>70</v>
      </c>
      <c r="C16" s="626" t="s">
        <v>71</v>
      </c>
      <c r="D16" s="626" t="s">
        <v>72</v>
      </c>
      <c r="E16" s="626" t="s">
        <v>73</v>
      </c>
      <c r="F16" s="626" t="s">
        <v>74</v>
      </c>
      <c r="G16" s="626" t="s">
        <v>75</v>
      </c>
      <c r="H16" s="626" t="s">
        <v>76</v>
      </c>
      <c r="I16" s="626" t="s">
        <v>77</v>
      </c>
    </row>
    <row r="17" spans="1:15">
      <c r="A17" s="616"/>
      <c r="B17" s="627" t="s">
        <v>78</v>
      </c>
      <c r="C17" s="624" t="str">
        <f>B5</f>
        <v>TPBIKELC1N</v>
      </c>
      <c r="D17" s="628" t="s">
        <v>499</v>
      </c>
      <c r="E17" s="627" t="s">
        <v>81</v>
      </c>
      <c r="F17" s="629" t="s">
        <v>82</v>
      </c>
    </row>
    <row r="18" spans="1:15">
      <c r="A18" s="616"/>
      <c r="B18" s="616"/>
      <c r="C18" s="624" t="str">
        <f>B8</f>
        <v>TPBIKING1N</v>
      </c>
      <c r="D18" s="628" t="s">
        <v>500</v>
      </c>
      <c r="E18" s="627" t="s">
        <v>81</v>
      </c>
      <c r="F18" s="629" t="s">
        <v>82</v>
      </c>
      <c r="G18" s="635"/>
      <c r="I18" s="600"/>
      <c r="J18" s="600"/>
      <c r="K18" s="634"/>
      <c r="L18" s="633"/>
      <c r="M18" s="632"/>
      <c r="N18" s="631"/>
      <c r="O18" s="630"/>
    </row>
    <row r="19" spans="1:15">
      <c r="A19" s="616"/>
      <c r="B19" s="616"/>
      <c r="I19" s="600"/>
    </row>
    <row r="20" spans="1:15">
      <c r="A20" s="616"/>
    </row>
    <row r="21" spans="1:15">
      <c r="A21" s="616"/>
    </row>
    <row r="22" spans="1:15">
      <c r="A22" s="616"/>
    </row>
  </sheetData>
  <pageMargins left="0.7" right="0.7" top="0.75" bottom="0.75" header="0.3" footer="0.3"/>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6:Q19"/>
  <sheetViews>
    <sheetView workbookViewId="0">
      <selection activeCell="P10" sqref="P10"/>
    </sheetView>
  </sheetViews>
  <sheetFormatPr defaultColWidth="8.88671875" defaultRowHeight="13.2"/>
  <cols>
    <col min="1" max="1" width="8.88671875" style="485"/>
    <col min="2" max="2" width="10.109375" style="485" customWidth="1"/>
    <col min="3" max="3" width="13.33203125" style="485" bestFit="1" customWidth="1"/>
    <col min="4" max="4" width="12.88671875" style="485" bestFit="1" customWidth="1"/>
    <col min="5" max="5" width="30.44140625" style="485" bestFit="1" customWidth="1"/>
    <col min="6" max="6" width="9.33203125" style="485" bestFit="1" customWidth="1"/>
    <col min="7" max="7" width="8.33203125" style="485" bestFit="1" customWidth="1"/>
    <col min="8" max="11" width="8.88671875" style="485"/>
    <col min="12" max="12" width="6" style="485" bestFit="1" customWidth="1"/>
    <col min="13" max="16384" width="8.88671875" style="485"/>
  </cols>
  <sheetData>
    <row r="6" spans="3:17">
      <c r="D6" s="588"/>
      <c r="G6" s="589" t="s">
        <v>0</v>
      </c>
      <c r="J6" s="590"/>
    </row>
    <row r="7" spans="3:17" ht="27.6">
      <c r="C7" s="591" t="s">
        <v>1</v>
      </c>
      <c r="D7" s="591" t="s">
        <v>2</v>
      </c>
      <c r="E7" s="591" t="s">
        <v>3</v>
      </c>
      <c r="F7" s="591" t="s">
        <v>28</v>
      </c>
      <c r="G7" s="591" t="s">
        <v>218</v>
      </c>
      <c r="H7" s="591" t="s">
        <v>87</v>
      </c>
      <c r="I7" s="591" t="s">
        <v>230</v>
      </c>
      <c r="J7" s="591" t="s">
        <v>523</v>
      </c>
      <c r="K7" s="591" t="s">
        <v>527</v>
      </c>
      <c r="L7" s="591" t="s">
        <v>89</v>
      </c>
      <c r="M7" s="591" t="s">
        <v>571</v>
      </c>
      <c r="N7" s="591" t="s">
        <v>10</v>
      </c>
      <c r="O7" s="592" t="s">
        <v>6</v>
      </c>
      <c r="P7" s="593" t="s">
        <v>7</v>
      </c>
      <c r="Q7" s="592" t="s">
        <v>659</v>
      </c>
    </row>
    <row r="8" spans="3:17" ht="41.4" thickBot="1">
      <c r="C8" s="644" t="s">
        <v>11</v>
      </c>
      <c r="D8" s="644"/>
      <c r="E8" s="644"/>
      <c r="F8" s="644"/>
      <c r="G8" s="644" t="s">
        <v>217</v>
      </c>
      <c r="H8" s="644" t="s">
        <v>13</v>
      </c>
      <c r="I8" s="644" t="s">
        <v>222</v>
      </c>
      <c r="J8" s="644" t="s">
        <v>526</v>
      </c>
      <c r="K8" s="644" t="s">
        <v>528</v>
      </c>
      <c r="L8" s="644" t="s">
        <v>219</v>
      </c>
      <c r="M8" s="644"/>
      <c r="N8" s="644" t="s">
        <v>14</v>
      </c>
      <c r="O8" s="644" t="s">
        <v>83</v>
      </c>
      <c r="P8" s="644" t="s">
        <v>12</v>
      </c>
      <c r="Q8" s="644"/>
    </row>
    <row r="9" spans="3:17">
      <c r="C9" s="485" t="str">
        <f>LEFT(E9,4)&amp;"LKXX1N"</f>
        <v>TPWALKXX1N</v>
      </c>
      <c r="E9" s="548" t="s">
        <v>678</v>
      </c>
      <c r="F9" s="639" t="s">
        <v>485</v>
      </c>
      <c r="G9" s="485" t="s">
        <v>490</v>
      </c>
      <c r="H9" s="638">
        <v>2012</v>
      </c>
      <c r="I9" s="637"/>
      <c r="J9" s="485">
        <v>1</v>
      </c>
      <c r="K9" s="608">
        <v>300.84070000000003</v>
      </c>
      <c r="L9" s="616"/>
      <c r="M9" s="485">
        <v>1E-3</v>
      </c>
      <c r="N9" s="633">
        <v>50</v>
      </c>
      <c r="O9" s="1361">
        <f>TRA_Bikes!L8/2</f>
        <v>5.0000000000000004E-6</v>
      </c>
      <c r="P9" s="643">
        <v>2.5</v>
      </c>
      <c r="Q9" s="485">
        <v>5</v>
      </c>
    </row>
    <row r="10" spans="3:17">
      <c r="C10" s="645"/>
      <c r="D10" s="616"/>
      <c r="E10" s="548" t="s">
        <v>679</v>
      </c>
      <c r="Q10" s="485">
        <v>5</v>
      </c>
    </row>
    <row r="16" spans="3:17">
      <c r="C16" s="623" t="s">
        <v>62</v>
      </c>
    </row>
    <row r="17" spans="3:10" ht="27.6">
      <c r="C17" s="625" t="s">
        <v>63</v>
      </c>
      <c r="D17" s="625" t="s">
        <v>1</v>
      </c>
      <c r="E17" s="625" t="s">
        <v>64</v>
      </c>
      <c r="F17" s="625" t="s">
        <v>65</v>
      </c>
      <c r="G17" s="625" t="s">
        <v>66</v>
      </c>
      <c r="H17" s="625" t="s">
        <v>67</v>
      </c>
      <c r="I17" s="625" t="s">
        <v>68</v>
      </c>
      <c r="J17" s="625" t="s">
        <v>69</v>
      </c>
    </row>
    <row r="18" spans="3:10" ht="41.4" thickBot="1">
      <c r="C18" s="626" t="s">
        <v>70</v>
      </c>
      <c r="D18" s="626" t="s">
        <v>71</v>
      </c>
      <c r="E18" s="626" t="s">
        <v>72</v>
      </c>
      <c r="F18" s="626" t="s">
        <v>73</v>
      </c>
      <c r="G18" s="626" t="s">
        <v>74</v>
      </c>
      <c r="H18" s="626" t="s">
        <v>75</v>
      </c>
      <c r="I18" s="626" t="s">
        <v>76</v>
      </c>
      <c r="J18" s="626" t="s">
        <v>77</v>
      </c>
    </row>
    <row r="19" spans="3:10">
      <c r="C19" s="627" t="s">
        <v>78</v>
      </c>
      <c r="D19" s="485" t="str">
        <f>C9</f>
        <v>TPWALKXX1N</v>
      </c>
      <c r="E19" s="628" t="s">
        <v>572</v>
      </c>
      <c r="F19" s="627" t="s">
        <v>81</v>
      </c>
      <c r="G19" s="629" t="s">
        <v>82</v>
      </c>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U117"/>
  <sheetViews>
    <sheetView zoomScale="80" zoomScaleNormal="80" workbookViewId="0">
      <selection activeCell="I26" sqref="I26"/>
    </sheetView>
  </sheetViews>
  <sheetFormatPr defaultColWidth="8.88671875" defaultRowHeight="13.2"/>
  <cols>
    <col min="1" max="1" width="18.6640625" style="616" customWidth="1"/>
    <col min="2" max="2" width="15.33203125" style="485" bestFit="1" customWidth="1"/>
    <col min="3" max="3" width="16.88671875" style="485" bestFit="1" customWidth="1"/>
    <col min="4" max="4" width="11.44140625" style="485" customWidth="1"/>
    <col min="5" max="5" width="9.6640625" style="485" bestFit="1" customWidth="1"/>
    <col min="6" max="6" width="10.5546875" style="485" customWidth="1"/>
    <col min="7" max="7" width="16.109375" style="485" customWidth="1"/>
    <col min="8" max="8" width="19" style="485" bestFit="1" customWidth="1"/>
    <col min="9" max="9" width="10.44140625" style="485" customWidth="1"/>
    <col min="10" max="10" width="15.88671875" style="485" customWidth="1"/>
    <col min="11" max="11" width="10.5546875" style="485" bestFit="1" customWidth="1"/>
    <col min="12" max="13" width="11.44140625" style="485" customWidth="1"/>
    <col min="14" max="14" width="10.44140625" style="485" bestFit="1" customWidth="1"/>
    <col min="15" max="15" width="6" style="485" bestFit="1" customWidth="1"/>
    <col min="16" max="16" width="11.33203125" style="485" bestFit="1" customWidth="1"/>
    <col min="17" max="17" width="16.33203125" style="485" bestFit="1" customWidth="1"/>
    <col min="18" max="18" width="9" style="485" bestFit="1" customWidth="1"/>
    <col min="19" max="19" width="14.88671875" style="485" bestFit="1" customWidth="1"/>
    <col min="20" max="21" width="8.88671875" style="485"/>
    <col min="22" max="22" width="17.109375" style="485" bestFit="1" customWidth="1"/>
    <col min="23" max="23" width="8.88671875" style="485"/>
    <col min="24" max="24" width="16" style="485" bestFit="1" customWidth="1"/>
    <col min="25" max="16384" width="8.88671875" style="485"/>
  </cols>
  <sheetData>
    <row r="2" spans="1:20">
      <c r="C2" s="588"/>
      <c r="F2" s="589" t="s">
        <v>0</v>
      </c>
      <c r="G2" s="485" t="s">
        <v>88</v>
      </c>
      <c r="I2" s="590"/>
    </row>
    <row r="3" spans="1:20" ht="27.6">
      <c r="B3" s="591" t="s">
        <v>1</v>
      </c>
      <c r="C3" s="591" t="s">
        <v>2</v>
      </c>
      <c r="D3" s="591" t="s">
        <v>3</v>
      </c>
      <c r="E3" s="591" t="s">
        <v>28</v>
      </c>
      <c r="F3" s="591" t="s">
        <v>218</v>
      </c>
      <c r="G3" s="591" t="s">
        <v>87</v>
      </c>
      <c r="H3" s="591" t="s">
        <v>230</v>
      </c>
      <c r="I3" s="591" t="s">
        <v>9</v>
      </c>
      <c r="J3" s="591" t="s">
        <v>10</v>
      </c>
      <c r="K3" s="646" t="s">
        <v>6</v>
      </c>
      <c r="L3" s="647" t="s">
        <v>7</v>
      </c>
      <c r="M3" s="647" t="s">
        <v>659</v>
      </c>
      <c r="O3" s="485" t="s">
        <v>220</v>
      </c>
      <c r="Q3" s="648">
        <v>3</v>
      </c>
    </row>
    <row r="4" spans="1:20" ht="21" thickBot="1">
      <c r="A4" s="485"/>
      <c r="B4" s="644" t="s">
        <v>11</v>
      </c>
      <c r="C4" s="644"/>
      <c r="D4" s="644"/>
      <c r="E4" s="644"/>
      <c r="F4" s="644" t="s">
        <v>217</v>
      </c>
      <c r="G4" s="644" t="s">
        <v>13</v>
      </c>
      <c r="H4" s="644" t="s">
        <v>222</v>
      </c>
      <c r="I4" s="644" t="s">
        <v>219</v>
      </c>
      <c r="J4" s="644" t="s">
        <v>14</v>
      </c>
      <c r="K4" s="644" t="s">
        <v>83</v>
      </c>
      <c r="L4" s="644" t="s">
        <v>12</v>
      </c>
      <c r="M4" s="644" t="s">
        <v>90</v>
      </c>
    </row>
    <row r="5" spans="1:20">
      <c r="B5" s="485" t="str">
        <f>LEFT(D5,4)&amp;MID(C5,4,3)&amp;"X1N"</f>
        <v>TPBUELCX1N</v>
      </c>
      <c r="C5" s="602" t="s">
        <v>876</v>
      </c>
      <c r="D5" s="602" t="s">
        <v>680</v>
      </c>
      <c r="E5" s="485">
        <f>'EU Bus Gas'!$D$21</f>
        <v>2015</v>
      </c>
      <c r="F5" s="640" t="str">
        <f>"MKr"&amp;RIGHT('EU Bus El'!$H$38,2)</f>
        <v>MKr15</v>
      </c>
      <c r="G5" s="485">
        <v>2015</v>
      </c>
      <c r="H5" s="595"/>
      <c r="I5" s="640">
        <f>'EU Bus El'!D23/'EU Bus'!D23</f>
        <v>3.4743923611111116</v>
      </c>
      <c r="J5" s="485">
        <f>ROUND('EU Bus El'!$F$27,0)</f>
        <v>6</v>
      </c>
      <c r="K5" s="649">
        <f>'EU Bus El'!$D$69*$P$9</f>
        <v>2.5499999999999997E-3</v>
      </c>
      <c r="L5" s="650">
        <f>'EU Bus El'!$D$38*$P$9</f>
        <v>2552.5532484593959</v>
      </c>
      <c r="M5" s="485">
        <v>5</v>
      </c>
    </row>
    <row r="6" spans="1:20">
      <c r="A6" s="485"/>
      <c r="D6" s="491" t="s">
        <v>681</v>
      </c>
      <c r="I6" s="640">
        <f>I5</f>
        <v>3.4743923611111116</v>
      </c>
      <c r="M6" s="485">
        <v>5</v>
      </c>
    </row>
    <row r="7" spans="1:20">
      <c r="A7" s="485"/>
      <c r="B7" s="616"/>
      <c r="C7" s="602"/>
      <c r="D7" s="491" t="s">
        <v>682</v>
      </c>
      <c r="F7" s="640"/>
      <c r="H7" s="600"/>
      <c r="I7" s="640">
        <f>I5</f>
        <v>3.4743923611111116</v>
      </c>
      <c r="K7" s="651"/>
      <c r="L7" s="650"/>
      <c r="M7" s="485">
        <v>5</v>
      </c>
    </row>
    <row r="8" spans="1:20">
      <c r="A8" s="485"/>
      <c r="B8" s="616"/>
      <c r="C8" s="602"/>
      <c r="D8" s="491" t="s">
        <v>683</v>
      </c>
      <c r="F8" s="640"/>
      <c r="H8" s="600"/>
      <c r="I8" s="640">
        <f>I5</f>
        <v>3.4743923611111116</v>
      </c>
      <c r="K8" s="651"/>
      <c r="L8" s="650"/>
      <c r="M8" s="485">
        <v>5</v>
      </c>
      <c r="O8" s="1575" t="s">
        <v>84</v>
      </c>
      <c r="P8" s="1576"/>
      <c r="Q8" s="1577"/>
      <c r="T8" s="607" t="s">
        <v>591</v>
      </c>
    </row>
    <row r="9" spans="1:20">
      <c r="A9" s="485"/>
      <c r="D9" s="602" t="s">
        <v>680</v>
      </c>
      <c r="E9" s="485">
        <f>'EU Bus El'!E21</f>
        <v>2020</v>
      </c>
      <c r="F9" s="640" t="str">
        <f>"MKr"&amp;RIGHT('EU Bus El'!$H$38,2)</f>
        <v>MKr15</v>
      </c>
      <c r="H9" s="607"/>
      <c r="I9" s="640">
        <f>'EU Bus El'!E23/'EU Bus'!D23</f>
        <v>3.8467621091369599</v>
      </c>
      <c r="J9" s="485">
        <f>ROUND('EU Bus El'!$F$27,0)</f>
        <v>6</v>
      </c>
      <c r="K9" s="651">
        <f>'EU Bus El'!$E$69*$P$9</f>
        <v>2.5499999999999997E-3</v>
      </c>
      <c r="L9" s="650">
        <f>'EU Bus El'!$E$38*$P$9</f>
        <v>1832.2065113446743</v>
      </c>
      <c r="M9" s="485">
        <v>5</v>
      </c>
      <c r="O9" s="652" t="s">
        <v>85</v>
      </c>
      <c r="P9" s="653">
        <f>10^-3</f>
        <v>1E-3</v>
      </c>
      <c r="Q9" s="654" t="s">
        <v>12</v>
      </c>
    </row>
    <row r="10" spans="1:20">
      <c r="A10" s="485"/>
      <c r="B10" s="616"/>
      <c r="D10" s="491" t="s">
        <v>681</v>
      </c>
      <c r="F10" s="640"/>
      <c r="H10" s="607"/>
      <c r="I10" s="640">
        <f>I9</f>
        <v>3.8467621091369599</v>
      </c>
      <c r="K10" s="651"/>
      <c r="L10" s="650"/>
      <c r="M10" s="485">
        <v>5</v>
      </c>
    </row>
    <row r="11" spans="1:20">
      <c r="A11" s="485"/>
      <c r="B11" s="616"/>
      <c r="D11" s="491" t="s">
        <v>682</v>
      </c>
      <c r="F11" s="640"/>
      <c r="H11" s="607"/>
      <c r="I11" s="640">
        <f>I9</f>
        <v>3.8467621091369599</v>
      </c>
      <c r="K11" s="651"/>
      <c r="L11" s="650"/>
      <c r="M11" s="485">
        <v>5</v>
      </c>
    </row>
    <row r="12" spans="1:20">
      <c r="A12" s="485"/>
      <c r="B12" s="616"/>
      <c r="D12" s="491" t="s">
        <v>683</v>
      </c>
      <c r="I12" s="640">
        <f>I9</f>
        <v>3.8467621091369599</v>
      </c>
      <c r="M12" s="485">
        <v>5</v>
      </c>
    </row>
    <row r="13" spans="1:20">
      <c r="A13" s="485"/>
      <c r="D13" s="602" t="s">
        <v>680</v>
      </c>
      <c r="E13" s="485">
        <f>'EU Bus El'!F21</f>
        <v>2035</v>
      </c>
      <c r="F13" s="640" t="str">
        <f>"MKr"&amp;RIGHT('EU Bus El'!$H$38,2)</f>
        <v>MKr15</v>
      </c>
      <c r="H13" s="655"/>
      <c r="I13" s="640">
        <f>'EU Bus El'!F23/'EU Bus'!D23</f>
        <v>3.9001035720240909</v>
      </c>
      <c r="J13" s="485">
        <f>ROUND('EU Bus El'!$F$27,0)</f>
        <v>6</v>
      </c>
      <c r="K13" s="651">
        <f>'EU Bus El'!$F$69*$P$9</f>
        <v>2.5499999999999997E-3</v>
      </c>
      <c r="L13" s="650">
        <f>'EU Bus El'!$F38*$P$9</f>
        <v>1496.6559862866218</v>
      </c>
      <c r="M13" s="485">
        <v>5</v>
      </c>
    </row>
    <row r="14" spans="1:20">
      <c r="A14" s="485"/>
      <c r="B14" s="616"/>
      <c r="D14" s="491" t="s">
        <v>681</v>
      </c>
      <c r="I14" s="640">
        <f>I13</f>
        <v>3.9001035720240909</v>
      </c>
      <c r="M14" s="485">
        <v>5</v>
      </c>
    </row>
    <row r="15" spans="1:20">
      <c r="A15" s="485"/>
      <c r="B15" s="616"/>
      <c r="D15" s="491" t="s">
        <v>682</v>
      </c>
      <c r="F15" s="640"/>
      <c r="H15" s="655"/>
      <c r="I15" s="640">
        <f>I13</f>
        <v>3.9001035720240909</v>
      </c>
      <c r="K15" s="651"/>
      <c r="L15" s="650"/>
      <c r="M15" s="485">
        <v>5</v>
      </c>
    </row>
    <row r="16" spans="1:20">
      <c r="A16" s="485"/>
      <c r="B16" s="614"/>
      <c r="C16" s="590"/>
      <c r="D16" s="491" t="s">
        <v>683</v>
      </c>
      <c r="E16" s="590"/>
      <c r="F16" s="656"/>
      <c r="G16" s="590"/>
      <c r="H16" s="657"/>
      <c r="I16" s="656">
        <f>I13</f>
        <v>3.9001035720240909</v>
      </c>
      <c r="J16" s="590"/>
      <c r="K16" s="659"/>
      <c r="L16" s="658"/>
      <c r="M16" s="590">
        <v>5</v>
      </c>
    </row>
    <row r="17" spans="1:19">
      <c r="A17" s="485"/>
      <c r="B17" s="485" t="str">
        <f>LEFT(D17,4)&amp;MID(C17,4,3)&amp;"X1N"</f>
        <v>TPCOELCX1N</v>
      </c>
      <c r="C17" s="602" t="s">
        <v>876</v>
      </c>
      <c r="D17" s="491" t="s">
        <v>684</v>
      </c>
      <c r="E17" s="485">
        <f>'EU Bus Gas'!$D$21</f>
        <v>2015</v>
      </c>
      <c r="F17" s="640" t="str">
        <f>"MKr"&amp;RIGHT('EU Bus El'!$H$38,2)</f>
        <v>MKr15</v>
      </c>
      <c r="G17" s="485">
        <f>G5</f>
        <v>2015</v>
      </c>
      <c r="H17" s="600"/>
      <c r="I17" s="640">
        <f>I5</f>
        <v>3.4743923611111116</v>
      </c>
      <c r="J17" s="485">
        <f>ROUND('EU Bus El'!$F$27,0)</f>
        <v>6</v>
      </c>
      <c r="K17" s="651">
        <f>'EU Bus El'!$D$69*$P$9</f>
        <v>2.5499999999999997E-3</v>
      </c>
      <c r="L17" s="650">
        <f>L5</f>
        <v>2552.5532484593959</v>
      </c>
      <c r="M17" s="485">
        <v>5</v>
      </c>
    </row>
    <row r="18" spans="1:19">
      <c r="A18" s="485"/>
      <c r="B18" s="616"/>
      <c r="C18" s="602"/>
      <c r="D18" s="491" t="s">
        <v>685</v>
      </c>
      <c r="F18" s="640"/>
      <c r="H18" s="600"/>
      <c r="I18" s="640">
        <f>I17</f>
        <v>3.4743923611111116</v>
      </c>
      <c r="K18" s="651"/>
      <c r="L18" s="650"/>
      <c r="M18" s="485">
        <v>5</v>
      </c>
    </row>
    <row r="19" spans="1:19">
      <c r="A19" s="485"/>
      <c r="B19" s="616"/>
      <c r="C19" s="602"/>
      <c r="D19" s="491" t="s">
        <v>686</v>
      </c>
      <c r="F19" s="640"/>
      <c r="H19" s="600"/>
      <c r="I19" s="640">
        <f>I17</f>
        <v>3.4743923611111116</v>
      </c>
      <c r="K19" s="651"/>
      <c r="L19" s="650"/>
      <c r="M19" s="485">
        <v>5</v>
      </c>
    </row>
    <row r="20" spans="1:19">
      <c r="A20" s="485"/>
      <c r="B20" s="616"/>
      <c r="D20" s="491" t="s">
        <v>684</v>
      </c>
      <c r="E20" s="485">
        <f>E9</f>
        <v>2020</v>
      </c>
      <c r="F20" s="640" t="str">
        <f>"MKr"&amp;RIGHT('EU Bus El'!$H$38,2)</f>
        <v>MKr15</v>
      </c>
      <c r="H20" s="607"/>
      <c r="I20" s="640">
        <f>I9</f>
        <v>3.8467621091369599</v>
      </c>
      <c r="J20" s="485">
        <f>ROUND('EU Bus El'!$F$27,0)</f>
        <v>6</v>
      </c>
      <c r="K20" s="651">
        <f>'EU Bus El'!$E$69*$P$9</f>
        <v>2.5499999999999997E-3</v>
      </c>
      <c r="L20" s="650">
        <f>L9</f>
        <v>1832.2065113446743</v>
      </c>
      <c r="M20" s="485">
        <v>5</v>
      </c>
    </row>
    <row r="21" spans="1:19">
      <c r="A21" s="485"/>
      <c r="B21" s="616"/>
      <c r="D21" s="491" t="s">
        <v>685</v>
      </c>
      <c r="F21" s="640"/>
      <c r="H21" s="607"/>
      <c r="I21" s="640">
        <f>I20</f>
        <v>3.8467621091369599</v>
      </c>
      <c r="K21" s="651"/>
      <c r="L21" s="650"/>
      <c r="M21" s="485">
        <v>5</v>
      </c>
      <c r="R21" s="607"/>
    </row>
    <row r="22" spans="1:19">
      <c r="A22" s="485"/>
      <c r="B22" s="616"/>
      <c r="D22" s="491" t="s">
        <v>686</v>
      </c>
      <c r="F22" s="640"/>
      <c r="H22" s="607"/>
      <c r="I22" s="640">
        <f>I20</f>
        <v>3.8467621091369599</v>
      </c>
      <c r="K22" s="651"/>
      <c r="L22" s="650"/>
      <c r="M22" s="485">
        <v>5</v>
      </c>
      <c r="R22" s="607"/>
    </row>
    <row r="23" spans="1:19">
      <c r="A23" s="485"/>
      <c r="B23" s="616"/>
      <c r="C23" s="600"/>
      <c r="D23" s="491" t="s">
        <v>684</v>
      </c>
      <c r="E23" s="600">
        <f>E13</f>
        <v>2035</v>
      </c>
      <c r="F23" s="660" t="str">
        <f>"MKr"&amp;RIGHT('EU Bus El'!$H$38,2)</f>
        <v>MKr15</v>
      </c>
      <c r="G23" s="600"/>
      <c r="H23" s="655"/>
      <c r="I23" s="660">
        <f>I13</f>
        <v>3.9001035720240909</v>
      </c>
      <c r="J23" s="600">
        <f>ROUND('EU Bus El'!$F$27,0)</f>
        <v>6</v>
      </c>
      <c r="K23" s="651">
        <f>'EU Bus El'!$F$69*$P$9</f>
        <v>2.5499999999999997E-3</v>
      </c>
      <c r="L23" s="650">
        <f>L13</f>
        <v>1496.6559862866218</v>
      </c>
      <c r="M23" s="485">
        <v>5</v>
      </c>
      <c r="R23" s="607"/>
    </row>
    <row r="24" spans="1:19">
      <c r="A24" s="485"/>
      <c r="B24" s="616"/>
      <c r="C24" s="600"/>
      <c r="D24" s="491" t="s">
        <v>685</v>
      </c>
      <c r="E24" s="600"/>
      <c r="F24" s="660"/>
      <c r="H24" s="655"/>
      <c r="I24" s="660">
        <f>I23</f>
        <v>3.9001035720240909</v>
      </c>
      <c r="J24" s="600"/>
      <c r="K24" s="651"/>
      <c r="L24" s="650"/>
      <c r="M24" s="485">
        <v>5</v>
      </c>
      <c r="R24" s="607"/>
    </row>
    <row r="25" spans="1:19">
      <c r="A25" s="485"/>
      <c r="B25" s="614"/>
      <c r="C25" s="590"/>
      <c r="D25" s="491" t="s">
        <v>686</v>
      </c>
      <c r="E25" s="590"/>
      <c r="F25" s="656"/>
      <c r="G25" s="590"/>
      <c r="H25" s="657"/>
      <c r="I25" s="656">
        <f>I23</f>
        <v>3.9001035720240909</v>
      </c>
      <c r="J25" s="590"/>
      <c r="K25" s="659"/>
      <c r="L25" s="658"/>
      <c r="M25" s="590">
        <v>5</v>
      </c>
      <c r="R25" s="607"/>
    </row>
    <row r="26" spans="1:19">
      <c r="A26" s="485"/>
      <c r="B26" s="616" t="str">
        <f>LEFT(D26,4)&amp;RIGHT(C26,5)&amp;"H"</f>
        <v>TPBUDSBL2H</v>
      </c>
      <c r="C26" s="607" t="s">
        <v>223</v>
      </c>
      <c r="D26" s="602" t="s">
        <v>680</v>
      </c>
      <c r="E26" s="485">
        <f>'EU Bus Hybrid'!D21</f>
        <v>2015</v>
      </c>
      <c r="F26" s="640" t="str">
        <f>"MKr"&amp;RIGHT('EU Bus Hybrid'!$H$38,2)</f>
        <v>MKr11</v>
      </c>
      <c r="G26" s="485">
        <v>2012</v>
      </c>
      <c r="H26" s="608">
        <v>2019</v>
      </c>
      <c r="I26" s="640">
        <f>'EU Bus Hybrid'!D23/'EU Bus'!D23</f>
        <v>1.4294642857142861</v>
      </c>
      <c r="J26" s="485">
        <f>'EU Bus Hybrid'!D27</f>
        <v>6</v>
      </c>
      <c r="K26" s="651">
        <f>'EU Bus Hybrid'!$D$69*$P$9</f>
        <v>1.7099999999999999E-3</v>
      </c>
      <c r="L26" s="650">
        <f>'EU Bus Hybrid'!$D$38*$P$9</f>
        <v>1832.9216972839426</v>
      </c>
      <c r="M26" s="485">
        <v>5</v>
      </c>
      <c r="P26" s="1003" t="s">
        <v>895</v>
      </c>
      <c r="R26" s="607"/>
    </row>
    <row r="27" spans="1:19">
      <c r="A27" s="485"/>
      <c r="D27" s="491" t="s">
        <v>681</v>
      </c>
      <c r="F27" s="640"/>
      <c r="H27" s="608"/>
      <c r="I27" s="640">
        <f>I26</f>
        <v>1.4294642857142861</v>
      </c>
      <c r="K27" s="651"/>
      <c r="L27" s="650"/>
      <c r="M27" s="485">
        <v>5</v>
      </c>
      <c r="P27" s="485" t="s">
        <v>885</v>
      </c>
      <c r="R27" s="607"/>
    </row>
    <row r="28" spans="1:19">
      <c r="A28" s="485"/>
      <c r="B28" s="616"/>
      <c r="C28" s="607"/>
      <c r="D28" s="491" t="s">
        <v>682</v>
      </c>
      <c r="F28" s="640"/>
      <c r="H28" s="608"/>
      <c r="I28" s="640">
        <f>I26</f>
        <v>1.4294642857142861</v>
      </c>
      <c r="K28" s="651"/>
      <c r="L28" s="650"/>
      <c r="M28" s="485">
        <v>5</v>
      </c>
      <c r="R28" s="607"/>
    </row>
    <row r="29" spans="1:19">
      <c r="A29" s="485"/>
      <c r="B29" s="616"/>
      <c r="C29" s="607"/>
      <c r="D29" s="491" t="s">
        <v>683</v>
      </c>
      <c r="I29" s="640">
        <f>I26</f>
        <v>1.4294642857142861</v>
      </c>
      <c r="M29" s="485">
        <v>5</v>
      </c>
      <c r="P29" s="999" t="s">
        <v>892</v>
      </c>
      <c r="Q29" s="1000"/>
      <c r="R29" s="1001"/>
      <c r="S29" s="1002"/>
    </row>
    <row r="30" spans="1:19">
      <c r="A30" s="485"/>
      <c r="B30" s="616" t="str">
        <f>LEFT(D30,4)&amp;RIGHT(C30,5)&amp;"H"</f>
        <v>TPBUDSBL3H</v>
      </c>
      <c r="C30" s="607" t="s">
        <v>224</v>
      </c>
      <c r="D30" s="602" t="s">
        <v>680</v>
      </c>
      <c r="E30" s="485">
        <f>'EU Bus Hybrid'!E21</f>
        <v>2020</v>
      </c>
      <c r="F30" s="640" t="str">
        <f>"MKr"&amp;RIGHT('EU Bus Hybrid'!$H$38,2)</f>
        <v>MKr11</v>
      </c>
      <c r="G30" s="485">
        <f>'EU Bus Hybrid'!E21</f>
        <v>2020</v>
      </c>
      <c r="H30" s="608">
        <v>2034</v>
      </c>
      <c r="I30" s="640">
        <f>'EU Bus Hybrid'!E23/'EU Bus'!D23</f>
        <v>1.5485863095238099</v>
      </c>
      <c r="J30" s="485">
        <f>'EU Bus Hybrid'!E27</f>
        <v>6</v>
      </c>
      <c r="K30" s="651">
        <f>'EU Bus Hybrid'!$E$69*$P$9</f>
        <v>1.7099999999999999E-3</v>
      </c>
      <c r="L30" s="650">
        <f>'EU Bus Hybrid'!$E$38*$P$9</f>
        <v>1832.9216972839426</v>
      </c>
      <c r="M30" s="485">
        <v>5</v>
      </c>
      <c r="P30" s="993" t="s">
        <v>886</v>
      </c>
      <c r="Q30" s="600"/>
      <c r="R30" s="986" t="s">
        <v>642</v>
      </c>
      <c r="S30" s="992" t="s">
        <v>642</v>
      </c>
    </row>
    <row r="31" spans="1:19">
      <c r="A31" s="485"/>
      <c r="D31" s="491" t="s">
        <v>681</v>
      </c>
      <c r="F31" s="640"/>
      <c r="H31" s="608"/>
      <c r="I31" s="640">
        <f>I30</f>
        <v>1.5485863095238099</v>
      </c>
      <c r="K31" s="651"/>
      <c r="L31" s="650"/>
      <c r="M31" s="485">
        <v>5</v>
      </c>
      <c r="P31" s="991" t="s">
        <v>887</v>
      </c>
      <c r="Q31" s="987">
        <v>0.19341199522670799</v>
      </c>
      <c r="R31" s="988">
        <v>81.353726000650823</v>
      </c>
      <c r="S31" s="992">
        <f>Q31*R31</f>
        <v>15.734786464912787</v>
      </c>
    </row>
    <row r="32" spans="1:19">
      <c r="A32" s="485"/>
      <c r="B32" s="616"/>
      <c r="C32" s="607"/>
      <c r="D32" s="491" t="s">
        <v>682</v>
      </c>
      <c r="F32" s="640"/>
      <c r="H32" s="608"/>
      <c r="I32" s="640">
        <f>I30</f>
        <v>1.5485863095238099</v>
      </c>
      <c r="K32" s="651"/>
      <c r="L32" s="650"/>
      <c r="M32" s="485">
        <v>5</v>
      </c>
      <c r="P32" s="991" t="s">
        <v>888</v>
      </c>
      <c r="Q32" s="987">
        <v>0.55551345643957006</v>
      </c>
      <c r="R32" s="988">
        <v>81.353726000650823</v>
      </c>
      <c r="S32" s="992">
        <f>Q32*R32</f>
        <v>45.193089524859261</v>
      </c>
    </row>
    <row r="33" spans="1:21">
      <c r="A33" s="485"/>
      <c r="B33" s="616"/>
      <c r="C33" s="607"/>
      <c r="D33" s="491" t="s">
        <v>683</v>
      </c>
      <c r="I33" s="640">
        <f>I30</f>
        <v>1.5485863095238099</v>
      </c>
      <c r="M33" s="485">
        <v>5</v>
      </c>
      <c r="P33" s="991" t="s">
        <v>889</v>
      </c>
      <c r="Q33" s="987">
        <v>0.1597159303765317</v>
      </c>
      <c r="R33" s="988">
        <v>102.84891494394734</v>
      </c>
      <c r="S33" s="992">
        <f>Q33*R33</f>
        <v>16.426610138489323</v>
      </c>
    </row>
    <row r="34" spans="1:21">
      <c r="A34" s="485"/>
      <c r="B34" s="616" t="str">
        <f>LEFT(D34,4)&amp;RIGHT(C34,5)&amp;"H"</f>
        <v>TPBUDSBL4H</v>
      </c>
      <c r="C34" s="607" t="s">
        <v>225</v>
      </c>
      <c r="D34" s="602" t="s">
        <v>680</v>
      </c>
      <c r="E34" s="485">
        <f>'EU Bus Hybrid'!F21</f>
        <v>2035</v>
      </c>
      <c r="F34" s="640" t="str">
        <f>"MKr"&amp;RIGHT('EU Bus Hybrid'!$H$38,2)</f>
        <v>MKr11</v>
      </c>
      <c r="G34" s="485">
        <f>'EU Bus Hybrid'!F21</f>
        <v>2035</v>
      </c>
      <c r="H34" s="661"/>
      <c r="I34" s="640">
        <f>'EU Bus Hybrid'!F23/'EU Bus'!D23</f>
        <v>1.7868303571428577</v>
      </c>
      <c r="J34" s="485">
        <f>'EU Bus Hybrid'!F27</f>
        <v>6</v>
      </c>
      <c r="K34" s="651">
        <f>'EU Bus Hybrid'!$F$69*$P$9</f>
        <v>1.7099999999999999E-3</v>
      </c>
      <c r="L34" s="650">
        <f>'EU Bus Hybrid'!$F$38*$P$9</f>
        <v>1832.9216972839426</v>
      </c>
      <c r="M34" s="485">
        <v>5</v>
      </c>
      <c r="P34" s="991" t="s">
        <v>890</v>
      </c>
      <c r="Q34" s="987">
        <v>9.1358617957190399E-2</v>
      </c>
      <c r="R34" s="988">
        <v>115.30035743110803</v>
      </c>
      <c r="S34" s="992">
        <f>Q34*R34</f>
        <v>10.533681304876097</v>
      </c>
    </row>
    <row r="35" spans="1:21">
      <c r="A35" s="485"/>
      <c r="D35" s="491" t="s">
        <v>681</v>
      </c>
      <c r="F35" s="640"/>
      <c r="H35" s="661"/>
      <c r="I35" s="640">
        <f>I34</f>
        <v>1.7868303571428577</v>
      </c>
      <c r="K35" s="651"/>
      <c r="L35" s="650"/>
      <c r="M35" s="485">
        <v>5</v>
      </c>
      <c r="P35" s="995" t="s">
        <v>891</v>
      </c>
      <c r="Q35" s="996"/>
      <c r="R35" s="996"/>
      <c r="S35" s="997">
        <f>SUM(S31:S34)</f>
        <v>87.888167433137468</v>
      </c>
      <c r="U35" s="485">
        <f>1000/S35</f>
        <v>11.378095928109643</v>
      </c>
    </row>
    <row r="36" spans="1:21">
      <c r="A36" s="485"/>
      <c r="B36" s="616"/>
      <c r="C36" s="607"/>
      <c r="D36" s="491" t="s">
        <v>682</v>
      </c>
      <c r="F36" s="640"/>
      <c r="H36" s="661"/>
      <c r="I36" s="640">
        <f>I34</f>
        <v>1.7868303571428577</v>
      </c>
      <c r="K36" s="651"/>
      <c r="L36" s="650"/>
      <c r="M36" s="485">
        <v>5</v>
      </c>
      <c r="P36" s="993" t="s">
        <v>893</v>
      </c>
      <c r="Q36" s="600"/>
      <c r="R36" s="600"/>
      <c r="S36" s="994"/>
    </row>
    <row r="37" spans="1:21">
      <c r="A37" s="485"/>
      <c r="B37" s="614"/>
      <c r="C37" s="662"/>
      <c r="D37" s="491" t="s">
        <v>683</v>
      </c>
      <c r="E37" s="590"/>
      <c r="F37" s="590"/>
      <c r="G37" s="590"/>
      <c r="H37" s="590"/>
      <c r="I37" s="656">
        <f>I34</f>
        <v>1.7868303571428577</v>
      </c>
      <c r="J37" s="590"/>
      <c r="K37" s="590"/>
      <c r="L37" s="590"/>
      <c r="M37" s="590">
        <v>5</v>
      </c>
      <c r="P37" s="998" t="s">
        <v>886</v>
      </c>
      <c r="Q37" s="989"/>
      <c r="R37" s="989" t="s">
        <v>642</v>
      </c>
      <c r="S37" s="990" t="s">
        <v>642</v>
      </c>
    </row>
    <row r="38" spans="1:21">
      <c r="A38" s="485"/>
      <c r="B38" s="616" t="str">
        <f>LEFT(D38,4)&amp;RIGHT(C38,5)&amp;"H"</f>
        <v>TPCODSBL2H</v>
      </c>
      <c r="C38" s="607" t="s">
        <v>223</v>
      </c>
      <c r="D38" s="491" t="s">
        <v>684</v>
      </c>
      <c r="E38" s="485">
        <f t="shared" ref="E38:L38" si="0">E26</f>
        <v>2015</v>
      </c>
      <c r="F38" s="485" t="str">
        <f t="shared" si="0"/>
        <v>MKr11</v>
      </c>
      <c r="G38" s="485">
        <f t="shared" si="0"/>
        <v>2012</v>
      </c>
      <c r="H38" s="485">
        <f t="shared" si="0"/>
        <v>2019</v>
      </c>
      <c r="I38" s="640">
        <f t="shared" si="0"/>
        <v>1.4294642857142861</v>
      </c>
      <c r="J38" s="485">
        <f t="shared" si="0"/>
        <v>6</v>
      </c>
      <c r="K38" s="663">
        <f t="shared" si="0"/>
        <v>1.7099999999999999E-3</v>
      </c>
      <c r="L38" s="608">
        <f t="shared" si="0"/>
        <v>1832.9216972839426</v>
      </c>
      <c r="M38" s="485">
        <v>5</v>
      </c>
      <c r="P38" s="991" t="s">
        <v>888</v>
      </c>
      <c r="Q38" s="987">
        <v>0.10287897819772944</v>
      </c>
      <c r="R38" s="988">
        <v>81.353726000650823</v>
      </c>
      <c r="S38" s="992">
        <f>R38*Q38</f>
        <v>8.3695882035250104</v>
      </c>
    </row>
    <row r="39" spans="1:21">
      <c r="A39" s="485"/>
      <c r="B39" s="616"/>
      <c r="C39" s="607"/>
      <c r="D39" s="491" t="s">
        <v>685</v>
      </c>
      <c r="I39" s="640">
        <f>I38</f>
        <v>1.4294642857142861</v>
      </c>
      <c r="K39" s="663"/>
      <c r="L39" s="608"/>
      <c r="M39" s="485">
        <v>5</v>
      </c>
      <c r="P39" s="991" t="s">
        <v>889</v>
      </c>
      <c r="Q39" s="987">
        <v>0.10155615809083157</v>
      </c>
      <c r="R39" s="988">
        <v>102.84891494394734</v>
      </c>
      <c r="S39" s="992">
        <f>R39*Q39</f>
        <v>10.444940665518006</v>
      </c>
    </row>
    <row r="40" spans="1:21">
      <c r="A40" s="485"/>
      <c r="B40" s="616"/>
      <c r="C40" s="607"/>
      <c r="D40" s="491" t="s">
        <v>686</v>
      </c>
      <c r="I40" s="640">
        <f>I38</f>
        <v>1.4294642857142861</v>
      </c>
      <c r="K40" s="663"/>
      <c r="L40" s="608"/>
      <c r="M40" s="485">
        <v>5</v>
      </c>
      <c r="P40" s="991" t="s">
        <v>890</v>
      </c>
      <c r="Q40" s="987">
        <v>0.79556486371143909</v>
      </c>
      <c r="R40" s="988">
        <v>115.30035743110803</v>
      </c>
      <c r="S40" s="992">
        <f>R40*Q40</f>
        <v>91.728913145559673</v>
      </c>
    </row>
    <row r="41" spans="1:21">
      <c r="A41" s="485"/>
      <c r="B41" s="616" t="str">
        <f>LEFT(D41,4)&amp;RIGHT(C41,5)&amp;"H"</f>
        <v>TPCODSBL3H</v>
      </c>
      <c r="C41" s="607" t="s">
        <v>224</v>
      </c>
      <c r="D41" s="491" t="s">
        <v>684</v>
      </c>
      <c r="E41" s="485">
        <f t="shared" ref="E41:L41" si="1">E30</f>
        <v>2020</v>
      </c>
      <c r="F41" s="485" t="str">
        <f t="shared" si="1"/>
        <v>MKr11</v>
      </c>
      <c r="G41" s="485">
        <f t="shared" si="1"/>
        <v>2020</v>
      </c>
      <c r="H41" s="485">
        <f t="shared" si="1"/>
        <v>2034</v>
      </c>
      <c r="I41" s="640">
        <f t="shared" si="1"/>
        <v>1.5485863095238099</v>
      </c>
      <c r="J41" s="485">
        <f t="shared" si="1"/>
        <v>6</v>
      </c>
      <c r="K41" s="663">
        <f t="shared" si="1"/>
        <v>1.7099999999999999E-3</v>
      </c>
      <c r="L41" s="608">
        <f t="shared" si="1"/>
        <v>1832.9216972839426</v>
      </c>
      <c r="M41" s="485">
        <v>5</v>
      </c>
      <c r="P41" s="995" t="s">
        <v>891</v>
      </c>
      <c r="Q41" s="996"/>
      <c r="R41" s="996"/>
      <c r="S41" s="997">
        <f>SUM(S38:S40)</f>
        <v>110.54344201460269</v>
      </c>
    </row>
    <row r="42" spans="1:21">
      <c r="A42" s="485"/>
      <c r="B42" s="616"/>
      <c r="C42" s="607"/>
      <c r="D42" s="491" t="s">
        <v>685</v>
      </c>
      <c r="I42" s="640">
        <f>I41</f>
        <v>1.5485863095238099</v>
      </c>
      <c r="K42" s="663"/>
      <c r="L42" s="608"/>
      <c r="M42" s="485">
        <v>5</v>
      </c>
    </row>
    <row r="43" spans="1:21">
      <c r="A43" s="485"/>
      <c r="B43" s="616"/>
      <c r="C43" s="607"/>
      <c r="D43" s="491" t="s">
        <v>686</v>
      </c>
      <c r="I43" s="640">
        <f>I41</f>
        <v>1.5485863095238099</v>
      </c>
      <c r="K43" s="663"/>
      <c r="L43" s="608"/>
      <c r="M43" s="485">
        <v>5</v>
      </c>
      <c r="P43" s="485" t="s">
        <v>894</v>
      </c>
    </row>
    <row r="44" spans="1:21">
      <c r="A44" s="485"/>
      <c r="B44" s="616" t="str">
        <f>LEFT(D44,4)&amp;RIGHT(C44,5)&amp;"H"</f>
        <v>TPCODSBL4H</v>
      </c>
      <c r="C44" s="607" t="s">
        <v>225</v>
      </c>
      <c r="D44" s="491" t="s">
        <v>684</v>
      </c>
      <c r="E44" s="485">
        <f>E34</f>
        <v>2035</v>
      </c>
      <c r="F44" s="485" t="str">
        <f>F34</f>
        <v>MKr11</v>
      </c>
      <c r="G44" s="485">
        <f>G34</f>
        <v>2035</v>
      </c>
      <c r="H44" s="661"/>
      <c r="I44" s="640">
        <f>I34</f>
        <v>1.7868303571428577</v>
      </c>
      <c r="J44" s="485">
        <f>J34</f>
        <v>6</v>
      </c>
      <c r="K44" s="663">
        <f>K34</f>
        <v>1.7099999999999999E-3</v>
      </c>
      <c r="L44" s="608">
        <f>L34</f>
        <v>1832.9216972839426</v>
      </c>
      <c r="M44" s="485">
        <v>5</v>
      </c>
    </row>
    <row r="45" spans="1:21">
      <c r="A45" s="485"/>
      <c r="B45" s="616"/>
      <c r="C45" s="607"/>
      <c r="D45" s="491" t="s">
        <v>685</v>
      </c>
      <c r="I45" s="640">
        <f>I44</f>
        <v>1.7868303571428577</v>
      </c>
      <c r="K45" s="663"/>
      <c r="L45" s="608"/>
      <c r="M45" s="485">
        <v>5</v>
      </c>
    </row>
    <row r="46" spans="1:21">
      <c r="A46" s="485"/>
      <c r="B46" s="614"/>
      <c r="C46" s="662"/>
      <c r="D46" s="491" t="s">
        <v>686</v>
      </c>
      <c r="E46" s="590"/>
      <c r="F46" s="590"/>
      <c r="G46" s="590"/>
      <c r="H46" s="590"/>
      <c r="I46" s="656">
        <f>I44</f>
        <v>1.7868303571428577</v>
      </c>
      <c r="J46" s="590"/>
      <c r="K46" s="659"/>
      <c r="L46" s="658"/>
      <c r="M46" s="590">
        <v>5</v>
      </c>
    </row>
    <row r="47" spans="1:21">
      <c r="A47" s="485"/>
      <c r="B47" s="616" t="str">
        <f>LEFT(D47,4)&amp;RIGHT(C47,5)&amp;"N"</f>
        <v>TPBUDSBL2N</v>
      </c>
      <c r="C47" s="601" t="s">
        <v>223</v>
      </c>
      <c r="D47" s="602" t="s">
        <v>680</v>
      </c>
      <c r="E47" s="485">
        <v>2015</v>
      </c>
      <c r="F47" s="485" t="s">
        <v>547</v>
      </c>
      <c r="G47" s="485">
        <v>2012</v>
      </c>
      <c r="H47" s="485">
        <v>2019</v>
      </c>
      <c r="I47" s="640">
        <v>1</v>
      </c>
      <c r="J47" s="485">
        <v>6</v>
      </c>
      <c r="K47" s="651">
        <f>'EU Bus'!$D$69*TRA_Buses!$P$9</f>
        <v>1.8000000000000002E-3</v>
      </c>
      <c r="L47" s="650">
        <v>1332.9216972839426</v>
      </c>
      <c r="M47" s="485">
        <v>5</v>
      </c>
    </row>
    <row r="48" spans="1:21">
      <c r="A48" s="485"/>
      <c r="D48" s="491" t="s">
        <v>681</v>
      </c>
      <c r="I48" s="640">
        <f>I47</f>
        <v>1</v>
      </c>
      <c r="K48" s="651"/>
      <c r="L48" s="650"/>
      <c r="M48" s="485">
        <v>5</v>
      </c>
    </row>
    <row r="49" spans="1:13">
      <c r="A49" s="485"/>
      <c r="B49" s="616"/>
      <c r="C49" s="601"/>
      <c r="D49" s="491" t="s">
        <v>682</v>
      </c>
      <c r="I49" s="640">
        <f>I47</f>
        <v>1</v>
      </c>
      <c r="K49" s="651"/>
      <c r="L49" s="650"/>
      <c r="M49" s="485">
        <v>5</v>
      </c>
    </row>
    <row r="50" spans="1:13">
      <c r="A50" s="485"/>
      <c r="B50" s="616"/>
      <c r="C50" s="601"/>
      <c r="D50" s="491" t="s">
        <v>683</v>
      </c>
      <c r="I50" s="640">
        <f>I47</f>
        <v>1</v>
      </c>
      <c r="M50" s="485">
        <v>5</v>
      </c>
    </row>
    <row r="51" spans="1:13">
      <c r="A51" s="485"/>
      <c r="B51" s="616" t="str">
        <f>LEFT(D51,4)&amp;RIGHT(C51,5)&amp;"N"</f>
        <v>TPBUDSBL3N</v>
      </c>
      <c r="C51" s="601" t="s">
        <v>224</v>
      </c>
      <c r="D51" s="602" t="s">
        <v>680</v>
      </c>
      <c r="E51" s="600">
        <v>2020</v>
      </c>
      <c r="F51" s="600" t="s">
        <v>547</v>
      </c>
      <c r="G51" s="600">
        <v>2020</v>
      </c>
      <c r="H51" s="622">
        <v>2034</v>
      </c>
      <c r="I51" s="660">
        <v>1.0523809523809526</v>
      </c>
      <c r="J51" s="600">
        <v>6</v>
      </c>
      <c r="K51" s="651">
        <f>'EU Bus'!$D$69*TRA_Buses!$P$9</f>
        <v>1.8000000000000002E-3</v>
      </c>
      <c r="L51" s="650">
        <v>1332.9216972839426</v>
      </c>
      <c r="M51" s="485">
        <v>5</v>
      </c>
    </row>
    <row r="52" spans="1:13">
      <c r="A52" s="485"/>
      <c r="D52" s="491" t="s">
        <v>681</v>
      </c>
      <c r="E52" s="600"/>
      <c r="F52" s="600"/>
      <c r="G52" s="600"/>
      <c r="H52" s="622"/>
      <c r="I52" s="660">
        <f>I51</f>
        <v>1.0523809523809526</v>
      </c>
      <c r="J52" s="600"/>
      <c r="K52" s="651"/>
      <c r="L52" s="650"/>
      <c r="M52" s="485">
        <v>5</v>
      </c>
    </row>
    <row r="53" spans="1:13">
      <c r="A53" s="485"/>
      <c r="B53" s="616"/>
      <c r="C53" s="601"/>
      <c r="D53" s="491" t="s">
        <v>682</v>
      </c>
      <c r="E53" s="600"/>
      <c r="F53" s="600"/>
      <c r="G53" s="600"/>
      <c r="H53" s="622"/>
      <c r="I53" s="660">
        <f>I52</f>
        <v>1.0523809523809526</v>
      </c>
      <c r="J53" s="600"/>
      <c r="K53" s="651"/>
      <c r="L53" s="650"/>
      <c r="M53" s="485">
        <v>5</v>
      </c>
    </row>
    <row r="54" spans="1:13">
      <c r="A54" s="485"/>
      <c r="B54" s="616"/>
      <c r="C54" s="601"/>
      <c r="D54" s="491" t="s">
        <v>683</v>
      </c>
      <c r="I54" s="640">
        <f>I51</f>
        <v>1.0523809523809526</v>
      </c>
      <c r="M54" s="485">
        <v>5</v>
      </c>
    </row>
    <row r="55" spans="1:13">
      <c r="A55" s="485"/>
      <c r="B55" s="616" t="str">
        <f>LEFT(D55,4)&amp;RIGHT(C55,5)&amp;"N"</f>
        <v>TPBUDSBL4N</v>
      </c>
      <c r="C55" s="601" t="s">
        <v>225</v>
      </c>
      <c r="D55" s="602" t="s">
        <v>680</v>
      </c>
      <c r="E55" s="600">
        <v>2035</v>
      </c>
      <c r="F55" s="600" t="s">
        <v>547</v>
      </c>
      <c r="G55" s="600">
        <v>2035</v>
      </c>
      <c r="H55" s="600"/>
      <c r="I55" s="660">
        <v>1.1142857142857143</v>
      </c>
      <c r="J55" s="600">
        <v>6</v>
      </c>
      <c r="K55" s="651">
        <f>'EU Bus'!$D$69*TRA_Buses!$P$9</f>
        <v>1.8000000000000002E-3</v>
      </c>
      <c r="L55" s="650">
        <v>1332.9216972839426</v>
      </c>
      <c r="M55" s="485">
        <v>5</v>
      </c>
    </row>
    <row r="56" spans="1:13">
      <c r="A56" s="485"/>
      <c r="D56" s="491" t="s">
        <v>681</v>
      </c>
      <c r="E56" s="600"/>
      <c r="F56" s="600"/>
      <c r="G56" s="600"/>
      <c r="H56" s="600"/>
      <c r="I56" s="660">
        <f>I55</f>
        <v>1.1142857142857143</v>
      </c>
      <c r="J56" s="600"/>
      <c r="K56" s="651"/>
      <c r="L56" s="650"/>
      <c r="M56" s="485">
        <v>5</v>
      </c>
    </row>
    <row r="57" spans="1:13">
      <c r="A57" s="485"/>
      <c r="B57" s="616"/>
      <c r="C57" s="601"/>
      <c r="D57" s="491" t="s">
        <v>682</v>
      </c>
      <c r="E57" s="600"/>
      <c r="F57" s="600"/>
      <c r="G57" s="600"/>
      <c r="H57" s="600"/>
      <c r="I57" s="660">
        <f>I55</f>
        <v>1.1142857142857143</v>
      </c>
      <c r="J57" s="600"/>
      <c r="K57" s="651"/>
      <c r="L57" s="650"/>
      <c r="M57" s="485">
        <v>5</v>
      </c>
    </row>
    <row r="58" spans="1:13">
      <c r="A58" s="485"/>
      <c r="B58" s="614"/>
      <c r="C58" s="664"/>
      <c r="D58" s="491" t="s">
        <v>683</v>
      </c>
      <c r="E58" s="590"/>
      <c r="F58" s="590"/>
      <c r="G58" s="590"/>
      <c r="H58" s="590"/>
      <c r="I58" s="656">
        <f>I55</f>
        <v>1.1142857142857143</v>
      </c>
      <c r="J58" s="590"/>
      <c r="K58" s="590"/>
      <c r="L58" s="590"/>
      <c r="M58" s="590">
        <v>5</v>
      </c>
    </row>
    <row r="59" spans="1:13">
      <c r="A59" s="485"/>
      <c r="B59" s="616" t="str">
        <f>LEFT(D59,4)&amp;RIGHT(C59,5)&amp;"N"</f>
        <v>TPCODSBL2N</v>
      </c>
      <c r="C59" s="601" t="s">
        <v>223</v>
      </c>
      <c r="D59" s="491" t="s">
        <v>684</v>
      </c>
      <c r="E59" s="600">
        <v>2015</v>
      </c>
      <c r="F59" s="600" t="s">
        <v>547</v>
      </c>
      <c r="G59" s="600">
        <v>2012</v>
      </c>
      <c r="H59" s="600">
        <v>2019</v>
      </c>
      <c r="I59" s="660">
        <v>1</v>
      </c>
      <c r="J59" s="600">
        <v>6</v>
      </c>
      <c r="K59" s="651">
        <f>'EU Bus'!$D$69*TRA_Buses!$P$9</f>
        <v>1.8000000000000002E-3</v>
      </c>
      <c r="L59" s="650">
        <v>1332.9216972839426</v>
      </c>
      <c r="M59" s="485">
        <v>5</v>
      </c>
    </row>
    <row r="60" spans="1:13">
      <c r="A60" s="485"/>
      <c r="B60" s="616"/>
      <c r="C60" s="601"/>
      <c r="D60" s="491" t="s">
        <v>685</v>
      </c>
      <c r="E60" s="600"/>
      <c r="F60" s="600"/>
      <c r="G60" s="600"/>
      <c r="H60" s="600"/>
      <c r="I60" s="660">
        <v>1</v>
      </c>
      <c r="J60" s="600"/>
      <c r="K60" s="651"/>
      <c r="L60" s="650"/>
      <c r="M60" s="485">
        <v>5</v>
      </c>
    </row>
    <row r="61" spans="1:13">
      <c r="A61" s="485"/>
      <c r="B61" s="616"/>
      <c r="C61" s="601"/>
      <c r="D61" s="491" t="s">
        <v>686</v>
      </c>
      <c r="E61" s="600"/>
      <c r="F61" s="600"/>
      <c r="G61" s="600"/>
      <c r="H61" s="600"/>
      <c r="I61" s="660">
        <v>1</v>
      </c>
      <c r="J61" s="600"/>
      <c r="K61" s="651"/>
      <c r="L61" s="650"/>
      <c r="M61" s="485">
        <v>5</v>
      </c>
    </row>
    <row r="62" spans="1:13">
      <c r="A62" s="485"/>
      <c r="B62" s="616" t="str">
        <f>LEFT(D62,4)&amp;RIGHT(C62,5)&amp;"N"</f>
        <v>TPCODSBL3N</v>
      </c>
      <c r="C62" s="601" t="s">
        <v>224</v>
      </c>
      <c r="D62" s="491" t="s">
        <v>684</v>
      </c>
      <c r="E62" s="600">
        <v>2020</v>
      </c>
      <c r="F62" s="600" t="s">
        <v>547</v>
      </c>
      <c r="G62" s="600">
        <v>2020</v>
      </c>
      <c r="H62" s="622">
        <v>2034</v>
      </c>
      <c r="I62" s="660">
        <v>1.0523809523809526</v>
      </c>
      <c r="J62" s="600">
        <v>6</v>
      </c>
      <c r="K62" s="651">
        <f>'EU Bus'!$D$69*TRA_Buses!$P$9</f>
        <v>1.8000000000000002E-3</v>
      </c>
      <c r="L62" s="650">
        <v>1332.9216972839426</v>
      </c>
      <c r="M62" s="485">
        <v>5</v>
      </c>
    </row>
    <row r="63" spans="1:13">
      <c r="A63" s="485"/>
      <c r="B63" s="616"/>
      <c r="C63" s="601"/>
      <c r="D63" s="491" t="s">
        <v>685</v>
      </c>
      <c r="E63" s="600"/>
      <c r="F63" s="600"/>
      <c r="G63" s="600"/>
      <c r="H63" s="622"/>
      <c r="I63" s="660">
        <v>1.0523809523809526</v>
      </c>
      <c r="J63" s="600"/>
      <c r="K63" s="651"/>
      <c r="L63" s="650"/>
      <c r="M63" s="485">
        <v>5</v>
      </c>
    </row>
    <row r="64" spans="1:13">
      <c r="A64" s="485"/>
      <c r="B64" s="616"/>
      <c r="C64" s="601"/>
      <c r="D64" s="491" t="s">
        <v>686</v>
      </c>
      <c r="E64" s="600"/>
      <c r="F64" s="600"/>
      <c r="G64" s="600"/>
      <c r="H64" s="622"/>
      <c r="I64" s="660">
        <v>1.0523809523809526</v>
      </c>
      <c r="J64" s="600"/>
      <c r="K64" s="651"/>
      <c r="L64" s="650"/>
      <c r="M64" s="485">
        <v>5</v>
      </c>
    </row>
    <row r="65" spans="1:14">
      <c r="A65" s="485"/>
      <c r="B65" s="616" t="str">
        <f>LEFT(D65,4)&amp;RIGHT(C65,5)&amp;"N"</f>
        <v>TPCODSBL4N</v>
      </c>
      <c r="C65" s="601" t="s">
        <v>225</v>
      </c>
      <c r="D65" s="491" t="s">
        <v>684</v>
      </c>
      <c r="E65" s="600">
        <v>2035</v>
      </c>
      <c r="F65" s="622" t="s">
        <v>547</v>
      </c>
      <c r="G65" s="600">
        <v>2035</v>
      </c>
      <c r="H65" s="600"/>
      <c r="I65" s="660">
        <v>1.1142857142857143</v>
      </c>
      <c r="J65" s="600">
        <v>6</v>
      </c>
      <c r="K65" s="651">
        <f>'EU Bus'!$D$69*TRA_Buses!$P$9</f>
        <v>1.8000000000000002E-3</v>
      </c>
      <c r="L65" s="650">
        <v>1332.9216972839426</v>
      </c>
      <c r="M65" s="485">
        <v>5</v>
      </c>
    </row>
    <row r="66" spans="1:14">
      <c r="A66" s="485"/>
      <c r="B66" s="600"/>
      <c r="C66" s="601"/>
      <c r="D66" s="491" t="s">
        <v>685</v>
      </c>
      <c r="E66" s="600"/>
      <c r="F66" s="622"/>
      <c r="G66" s="600"/>
      <c r="H66" s="600"/>
      <c r="I66" s="660">
        <v>1.1142857142857143</v>
      </c>
      <c r="J66" s="600"/>
      <c r="K66" s="651"/>
      <c r="L66" s="650"/>
      <c r="M66" s="600">
        <v>5</v>
      </c>
    </row>
    <row r="67" spans="1:14">
      <c r="B67" s="590"/>
      <c r="C67" s="664"/>
      <c r="D67" s="491" t="s">
        <v>686</v>
      </c>
      <c r="E67" s="590"/>
      <c r="F67" s="662"/>
      <c r="G67" s="590"/>
      <c r="H67" s="590"/>
      <c r="I67" s="656">
        <v>1.1142857142857143</v>
      </c>
      <c r="J67" s="590"/>
      <c r="K67" s="659"/>
      <c r="L67" s="658"/>
      <c r="M67" s="590">
        <v>5</v>
      </c>
    </row>
    <row r="68" spans="1:14">
      <c r="B68" s="616" t="str">
        <f>LEFT(D68,4)&amp;RIGHT(C68,5)&amp;"N"</f>
        <v>TPBUNGBL2N</v>
      </c>
      <c r="C68" s="602" t="s">
        <v>548</v>
      </c>
      <c r="D68" s="602" t="s">
        <v>680</v>
      </c>
      <c r="E68" s="600">
        <v>2015</v>
      </c>
      <c r="F68" s="600" t="s">
        <v>547</v>
      </c>
      <c r="G68" s="600">
        <v>2012</v>
      </c>
      <c r="H68" s="600">
        <v>2019</v>
      </c>
      <c r="I68" s="660">
        <v>0.75430277628899789</v>
      </c>
      <c r="J68" s="600">
        <v>6</v>
      </c>
      <c r="K68" s="651">
        <f>'EU Bus Gas'!$D$70*TRA_Buses!$P$9</f>
        <v>1.8500000000000001E-3</v>
      </c>
      <c r="L68" s="650">
        <v>1504.7804222459822</v>
      </c>
      <c r="M68" s="485">
        <v>5</v>
      </c>
    </row>
    <row r="69" spans="1:14">
      <c r="D69" s="491" t="s">
        <v>681</v>
      </c>
      <c r="I69" s="640">
        <f>I68</f>
        <v>0.75430277628899789</v>
      </c>
      <c r="K69" s="651"/>
      <c r="L69" s="650"/>
      <c r="M69" s="485">
        <v>5</v>
      </c>
    </row>
    <row r="70" spans="1:14">
      <c r="B70" s="602"/>
      <c r="C70" s="602"/>
      <c r="D70" s="491" t="s">
        <v>682</v>
      </c>
      <c r="I70" s="640">
        <f>I68</f>
        <v>0.75430277628899789</v>
      </c>
      <c r="K70" s="651"/>
      <c r="L70" s="650"/>
      <c r="M70" s="485">
        <v>5</v>
      </c>
    </row>
    <row r="71" spans="1:14">
      <c r="B71" s="602"/>
      <c r="C71" s="602"/>
      <c r="D71" s="491" t="s">
        <v>683</v>
      </c>
      <c r="I71" s="640">
        <f>I68</f>
        <v>0.75430277628899789</v>
      </c>
      <c r="M71" s="485">
        <v>5</v>
      </c>
    </row>
    <row r="72" spans="1:14">
      <c r="B72" s="616" t="str">
        <f>LEFT(D72,4)&amp;RIGHT(C72,5)&amp;"N"</f>
        <v>TPBUNGBL3N</v>
      </c>
      <c r="C72" s="602" t="s">
        <v>549</v>
      </c>
      <c r="D72" s="602" t="s">
        <v>680</v>
      </c>
      <c r="E72" s="485">
        <v>2020</v>
      </c>
      <c r="F72" s="485" t="s">
        <v>547</v>
      </c>
      <c r="G72" s="485">
        <v>2020</v>
      </c>
      <c r="H72" s="607">
        <v>2034</v>
      </c>
      <c r="I72" s="640">
        <v>0.83332894450589323</v>
      </c>
      <c r="J72" s="485">
        <v>6</v>
      </c>
      <c r="K72" s="651">
        <f>'EU Bus Gas'!$D$70*TRA_Buses!$P$9</f>
        <v>1.8500000000000001E-3</v>
      </c>
      <c r="L72" s="650">
        <v>1504.7804222459822</v>
      </c>
      <c r="M72" s="485">
        <v>5</v>
      </c>
    </row>
    <row r="73" spans="1:14">
      <c r="D73" s="491" t="s">
        <v>681</v>
      </c>
      <c r="H73" s="607"/>
      <c r="I73" s="640">
        <f>I72</f>
        <v>0.83332894450589323</v>
      </c>
      <c r="K73" s="651"/>
      <c r="L73" s="650"/>
      <c r="M73" s="485">
        <v>5</v>
      </c>
    </row>
    <row r="74" spans="1:14">
      <c r="B74" s="602"/>
      <c r="C74" s="602"/>
      <c r="D74" s="491" t="s">
        <v>682</v>
      </c>
      <c r="H74" s="607"/>
      <c r="I74" s="640">
        <f>I72</f>
        <v>0.83332894450589323</v>
      </c>
      <c r="K74" s="651"/>
      <c r="L74" s="650"/>
      <c r="M74" s="485">
        <v>5</v>
      </c>
    </row>
    <row r="75" spans="1:14">
      <c r="B75" s="602"/>
      <c r="C75" s="602"/>
      <c r="D75" s="491" t="s">
        <v>683</v>
      </c>
      <c r="I75" s="640">
        <f>I72</f>
        <v>0.83332894450589323</v>
      </c>
      <c r="M75" s="485">
        <v>5</v>
      </c>
    </row>
    <row r="76" spans="1:14">
      <c r="B76" s="616" t="str">
        <f>LEFT(D76,4)&amp;RIGHT(C76,5)&amp;"N"</f>
        <v>TPBUNGBL4N</v>
      </c>
      <c r="C76" s="602" t="s">
        <v>550</v>
      </c>
      <c r="D76" s="602" t="s">
        <v>680</v>
      </c>
      <c r="E76" s="485">
        <v>2035</v>
      </c>
      <c r="F76" s="485" t="s">
        <v>547</v>
      </c>
      <c r="G76" s="485">
        <v>2035</v>
      </c>
      <c r="I76" s="640">
        <v>0.92857142857142883</v>
      </c>
      <c r="J76" s="485">
        <v>6</v>
      </c>
      <c r="K76" s="651">
        <f>'EU Bus Gas'!$D$70*TRA_Buses!$P$9</f>
        <v>1.8500000000000001E-3</v>
      </c>
      <c r="L76" s="650">
        <v>1504.7804222459822</v>
      </c>
      <c r="M76" s="485">
        <v>5</v>
      </c>
    </row>
    <row r="77" spans="1:14">
      <c r="D77" s="491" t="s">
        <v>681</v>
      </c>
      <c r="E77" s="600"/>
      <c r="F77" s="600"/>
      <c r="G77" s="600"/>
      <c r="H77" s="600"/>
      <c r="I77" s="660">
        <f>I76</f>
        <v>0.92857142857142883</v>
      </c>
      <c r="J77" s="600"/>
      <c r="K77" s="651"/>
      <c r="L77" s="650"/>
      <c r="M77" s="485">
        <v>5</v>
      </c>
      <c r="N77" s="600"/>
    </row>
    <row r="78" spans="1:14">
      <c r="B78" s="602"/>
      <c r="C78" s="602"/>
      <c r="D78" s="491" t="s">
        <v>682</v>
      </c>
      <c r="E78" s="600"/>
      <c r="F78" s="600"/>
      <c r="G78" s="600"/>
      <c r="H78" s="600"/>
      <c r="I78" s="660">
        <f>I76</f>
        <v>0.92857142857142883</v>
      </c>
      <c r="J78" s="600"/>
      <c r="K78" s="651"/>
      <c r="L78" s="650"/>
      <c r="M78" s="485">
        <v>5</v>
      </c>
      <c r="N78" s="600"/>
    </row>
    <row r="79" spans="1:14">
      <c r="B79" s="609"/>
      <c r="C79" s="609"/>
      <c r="D79" s="491" t="s">
        <v>683</v>
      </c>
      <c r="E79" s="590"/>
      <c r="F79" s="590"/>
      <c r="G79" s="590"/>
      <c r="H79" s="590"/>
      <c r="I79" s="656">
        <f>I76</f>
        <v>0.92857142857142883</v>
      </c>
      <c r="J79" s="590"/>
      <c r="K79" s="590"/>
      <c r="L79" s="590"/>
      <c r="M79" s="590">
        <v>5</v>
      </c>
      <c r="N79" s="600"/>
    </row>
    <row r="80" spans="1:14">
      <c r="B80" s="616" t="str">
        <f>LEFT(D80,4)&amp;RIGHT(C80,5)&amp;"N"</f>
        <v>TPCONGBL2N</v>
      </c>
      <c r="C80" s="602" t="s">
        <v>548</v>
      </c>
      <c r="D80" s="491" t="s">
        <v>684</v>
      </c>
      <c r="E80" s="600">
        <v>2015</v>
      </c>
      <c r="F80" s="600" t="s">
        <v>547</v>
      </c>
      <c r="G80" s="600">
        <v>2012</v>
      </c>
      <c r="H80" s="600">
        <v>2019</v>
      </c>
      <c r="I80" s="660">
        <v>0.75430277628899789</v>
      </c>
      <c r="J80" s="600">
        <v>6</v>
      </c>
      <c r="K80" s="651">
        <f>'EU Bus Gas'!$D$70*TRA_Buses!$P$9</f>
        <v>1.8500000000000001E-3</v>
      </c>
      <c r="L80" s="650">
        <v>1504.7804222459822</v>
      </c>
      <c r="M80" s="485">
        <v>5</v>
      </c>
      <c r="N80" s="600"/>
    </row>
    <row r="81" spans="2:15">
      <c r="B81" s="602"/>
      <c r="C81" s="602"/>
      <c r="D81" s="491" t="s">
        <v>685</v>
      </c>
      <c r="E81" s="600"/>
      <c r="F81" s="600"/>
      <c r="G81" s="600"/>
      <c r="H81" s="600"/>
      <c r="I81" s="660">
        <f>I80</f>
        <v>0.75430277628899789</v>
      </c>
      <c r="J81" s="600"/>
      <c r="K81" s="651"/>
      <c r="L81" s="650"/>
      <c r="M81" s="485">
        <v>5</v>
      </c>
    </row>
    <row r="82" spans="2:15">
      <c r="B82" s="602"/>
      <c r="C82" s="602"/>
      <c r="D82" s="491" t="s">
        <v>686</v>
      </c>
      <c r="E82" s="600"/>
      <c r="F82" s="600"/>
      <c r="G82" s="600"/>
      <c r="H82" s="600"/>
      <c r="I82" s="660">
        <f>I80</f>
        <v>0.75430277628899789</v>
      </c>
      <c r="J82" s="600"/>
      <c r="K82" s="651"/>
      <c r="L82" s="650"/>
      <c r="M82" s="485">
        <v>5</v>
      </c>
    </row>
    <row r="83" spans="2:15">
      <c r="B83" s="616" t="str">
        <f>LEFT(D83,4)&amp;RIGHT(C83,5)&amp;"N"</f>
        <v>TPCONGBL3N</v>
      </c>
      <c r="C83" s="602" t="s">
        <v>549</v>
      </c>
      <c r="D83" s="491" t="s">
        <v>684</v>
      </c>
      <c r="E83" s="485">
        <v>2020</v>
      </c>
      <c r="F83" s="485" t="s">
        <v>547</v>
      </c>
      <c r="G83" s="485">
        <v>2020</v>
      </c>
      <c r="H83" s="607">
        <v>2034</v>
      </c>
      <c r="I83" s="640">
        <v>0.83332894450589323</v>
      </c>
      <c r="J83" s="485">
        <v>6</v>
      </c>
      <c r="K83" s="651">
        <f>'EU Bus Gas'!$D$70*TRA_Buses!$P$9</f>
        <v>1.8500000000000001E-3</v>
      </c>
      <c r="L83" s="650">
        <v>1504.7804222459822</v>
      </c>
      <c r="M83" s="485">
        <v>5</v>
      </c>
    </row>
    <row r="84" spans="2:15">
      <c r="B84" s="602"/>
      <c r="C84" s="602"/>
      <c r="D84" s="491" t="s">
        <v>685</v>
      </c>
      <c r="H84" s="607"/>
      <c r="I84" s="640">
        <f>I83</f>
        <v>0.83332894450589323</v>
      </c>
      <c r="K84" s="651"/>
      <c r="L84" s="650"/>
      <c r="M84" s="485">
        <v>5</v>
      </c>
    </row>
    <row r="85" spans="2:15">
      <c r="B85" s="602"/>
      <c r="C85" s="602"/>
      <c r="D85" s="491" t="s">
        <v>686</v>
      </c>
      <c r="H85" s="607"/>
      <c r="I85" s="640">
        <f>I83</f>
        <v>0.83332894450589323</v>
      </c>
      <c r="K85" s="651"/>
      <c r="L85" s="650"/>
      <c r="M85" s="485">
        <v>5</v>
      </c>
    </row>
    <row r="86" spans="2:15">
      <c r="B86" s="616" t="str">
        <f>LEFT(D86,4)&amp;RIGHT(C86,5)&amp;"N"</f>
        <v>TPCONGBL4N</v>
      </c>
      <c r="C86" s="602" t="s">
        <v>550</v>
      </c>
      <c r="D86" s="491" t="s">
        <v>684</v>
      </c>
      <c r="E86" s="485">
        <v>2035</v>
      </c>
      <c r="F86" s="485" t="s">
        <v>547</v>
      </c>
      <c r="G86" s="485">
        <v>2035</v>
      </c>
      <c r="I86" s="640">
        <v>0.92857142857142883</v>
      </c>
      <c r="J86" s="600">
        <v>6</v>
      </c>
      <c r="K86" s="651">
        <f>'EU Bus Gas'!$D$70*TRA_Buses!$P$9</f>
        <v>1.8500000000000001E-3</v>
      </c>
      <c r="L86" s="650">
        <v>1504.7804222459822</v>
      </c>
      <c r="M86" s="485">
        <v>5</v>
      </c>
    </row>
    <row r="87" spans="2:15">
      <c r="B87" s="600"/>
      <c r="C87" s="607"/>
      <c r="D87" s="491" t="s">
        <v>685</v>
      </c>
      <c r="I87" s="640">
        <f>I86</f>
        <v>0.92857142857142883</v>
      </c>
      <c r="K87" s="651"/>
      <c r="L87" s="608"/>
      <c r="M87" s="485">
        <v>5</v>
      </c>
    </row>
    <row r="88" spans="2:15">
      <c r="B88" s="600"/>
      <c r="C88" s="607"/>
      <c r="D88" s="491" t="s">
        <v>686</v>
      </c>
      <c r="I88" s="640">
        <f>I86</f>
        <v>0.92857142857142883</v>
      </c>
      <c r="K88" s="650"/>
      <c r="L88" s="608"/>
      <c r="M88" s="485">
        <v>5</v>
      </c>
    </row>
    <row r="89" spans="2:15">
      <c r="B89" s="600"/>
      <c r="C89" s="601"/>
      <c r="D89" s="602"/>
      <c r="E89" s="600"/>
      <c r="F89" s="622"/>
      <c r="G89" s="600"/>
      <c r="H89" s="600"/>
      <c r="I89" s="660"/>
      <c r="J89" s="600"/>
      <c r="K89" s="665"/>
      <c r="L89" s="650"/>
    </row>
    <row r="90" spans="2:15">
      <c r="B90" s="600"/>
      <c r="C90" s="601"/>
      <c r="D90" s="602"/>
      <c r="E90" s="600"/>
      <c r="F90" s="622"/>
      <c r="G90" s="600"/>
      <c r="H90" s="600"/>
      <c r="I90" s="660"/>
      <c r="J90" s="600"/>
      <c r="K90" s="665"/>
      <c r="L90" s="650"/>
      <c r="O90" s="665"/>
    </row>
    <row r="91" spans="2:15">
      <c r="B91" s="600"/>
      <c r="C91" s="607"/>
      <c r="D91" s="602"/>
      <c r="I91" s="640"/>
      <c r="K91" s="666"/>
      <c r="L91" s="608"/>
    </row>
    <row r="92" spans="2:15">
      <c r="B92" s="600"/>
      <c r="C92" s="622"/>
      <c r="D92" s="600"/>
      <c r="E92" s="600"/>
      <c r="F92" s="600"/>
      <c r="G92" s="600"/>
      <c r="H92" s="660"/>
      <c r="I92" s="600"/>
      <c r="J92" s="655"/>
      <c r="K92" s="600"/>
      <c r="L92" s="650"/>
      <c r="M92" s="650"/>
    </row>
    <row r="93" spans="2:15">
      <c r="C93" s="607"/>
      <c r="E93" s="600"/>
      <c r="H93" s="640"/>
    </row>
    <row r="94" spans="2:15">
      <c r="D94" s="607"/>
      <c r="K94" s="666"/>
    </row>
    <row r="95" spans="2:15">
      <c r="B95" s="623" t="s">
        <v>62</v>
      </c>
      <c r="C95" s="623"/>
      <c r="D95" s="624"/>
      <c r="E95" s="624"/>
      <c r="F95" s="624"/>
      <c r="G95" s="624"/>
      <c r="H95" s="624"/>
      <c r="I95" s="624"/>
      <c r="K95" s="666"/>
    </row>
    <row r="96" spans="2:15" ht="13.8">
      <c r="B96" s="625" t="s">
        <v>63</v>
      </c>
      <c r="C96" s="625" t="s">
        <v>1</v>
      </c>
      <c r="D96" s="625" t="s">
        <v>64</v>
      </c>
      <c r="E96" s="625" t="s">
        <v>65</v>
      </c>
      <c r="F96" s="625" t="s">
        <v>66</v>
      </c>
      <c r="G96" s="625" t="s">
        <v>67</v>
      </c>
      <c r="H96" s="625" t="s">
        <v>68</v>
      </c>
      <c r="I96" s="625" t="s">
        <v>69</v>
      </c>
      <c r="K96" s="666"/>
    </row>
    <row r="97" spans="2:11" ht="21" thickBot="1">
      <c r="B97" s="626" t="s">
        <v>70</v>
      </c>
      <c r="C97" s="626" t="s">
        <v>71</v>
      </c>
      <c r="D97" s="626" t="s">
        <v>72</v>
      </c>
      <c r="E97" s="626" t="s">
        <v>73</v>
      </c>
      <c r="F97" s="626" t="s">
        <v>74</v>
      </c>
      <c r="G97" s="626" t="s">
        <v>75</v>
      </c>
      <c r="H97" s="626" t="s">
        <v>76</v>
      </c>
      <c r="I97" s="626" t="s">
        <v>77</v>
      </c>
      <c r="K97" s="666"/>
    </row>
    <row r="98" spans="2:11">
      <c r="B98" s="627" t="s">
        <v>78</v>
      </c>
      <c r="C98" s="613" t="str">
        <f>B5</f>
        <v>TPBUELCX1N</v>
      </c>
      <c r="D98" s="628" t="s">
        <v>538</v>
      </c>
      <c r="E98" s="627" t="s">
        <v>81</v>
      </c>
      <c r="F98" s="629" t="s">
        <v>82</v>
      </c>
      <c r="I98" s="629" t="s">
        <v>79</v>
      </c>
    </row>
    <row r="99" spans="2:11">
      <c r="C99" s="667" t="str">
        <f>B17</f>
        <v>TPCOELCX1N</v>
      </c>
      <c r="D99" s="628" t="s">
        <v>539</v>
      </c>
      <c r="E99" s="627" t="s">
        <v>81</v>
      </c>
      <c r="F99" s="629" t="s">
        <v>82</v>
      </c>
      <c r="I99" s="629" t="s">
        <v>79</v>
      </c>
    </row>
    <row r="100" spans="2:11">
      <c r="C100" s="600" t="str">
        <f>B26</f>
        <v>TPBUDSBL2H</v>
      </c>
      <c r="D100" s="628" t="s">
        <v>540</v>
      </c>
      <c r="E100" s="627" t="s">
        <v>81</v>
      </c>
      <c r="F100" s="629" t="s">
        <v>82</v>
      </c>
    </row>
    <row r="101" spans="2:11">
      <c r="C101" s="600" t="str">
        <f>B30</f>
        <v>TPBUDSBL3H</v>
      </c>
      <c r="D101" s="628" t="s">
        <v>541</v>
      </c>
      <c r="E101" s="627" t="s">
        <v>81</v>
      </c>
      <c r="F101" s="629" t="s">
        <v>82</v>
      </c>
    </row>
    <row r="102" spans="2:11">
      <c r="C102" s="600" t="str">
        <f>B34</f>
        <v>TPBUDSBL4H</v>
      </c>
      <c r="D102" s="628" t="s">
        <v>542</v>
      </c>
      <c r="E102" s="627" t="s">
        <v>81</v>
      </c>
      <c r="F102" s="629" t="s">
        <v>82</v>
      </c>
    </row>
    <row r="103" spans="2:11">
      <c r="C103" s="600" t="str">
        <f>B38</f>
        <v>TPCODSBL2H</v>
      </c>
      <c r="D103" s="628" t="s">
        <v>543</v>
      </c>
      <c r="E103" s="627" t="s">
        <v>81</v>
      </c>
      <c r="F103" s="629" t="s">
        <v>82</v>
      </c>
    </row>
    <row r="104" spans="2:11">
      <c r="C104" s="600" t="str">
        <f>B41</f>
        <v>TPCODSBL3H</v>
      </c>
      <c r="D104" s="628" t="s">
        <v>544</v>
      </c>
      <c r="E104" s="627" t="s">
        <v>81</v>
      </c>
      <c r="F104" s="629" t="s">
        <v>82</v>
      </c>
    </row>
    <row r="105" spans="2:11">
      <c r="C105" s="600" t="str">
        <f t="shared" ref="C105" si="2">B44</f>
        <v>TPCODSBL4H</v>
      </c>
      <c r="D105" s="628" t="s">
        <v>545</v>
      </c>
      <c r="E105" s="627" t="s">
        <v>81</v>
      </c>
      <c r="F105" s="629" t="s">
        <v>82</v>
      </c>
    </row>
    <row r="106" spans="2:11">
      <c r="C106" s="616" t="str">
        <f>B47</f>
        <v>TPBUDSBL2N</v>
      </c>
      <c r="D106" s="628" t="s">
        <v>551</v>
      </c>
      <c r="E106" s="627" t="s">
        <v>81</v>
      </c>
      <c r="F106" s="629" t="s">
        <v>82</v>
      </c>
    </row>
    <row r="107" spans="2:11">
      <c r="C107" s="616" t="str">
        <f>B51</f>
        <v>TPBUDSBL3N</v>
      </c>
      <c r="D107" s="628" t="s">
        <v>552</v>
      </c>
      <c r="E107" s="627" t="s">
        <v>81</v>
      </c>
      <c r="F107" s="629" t="s">
        <v>82</v>
      </c>
    </row>
    <row r="108" spans="2:11">
      <c r="C108" s="616" t="str">
        <f>B55</f>
        <v>TPBUDSBL4N</v>
      </c>
      <c r="D108" s="628" t="s">
        <v>553</v>
      </c>
      <c r="E108" s="627" t="s">
        <v>81</v>
      </c>
      <c r="F108" s="629" t="s">
        <v>82</v>
      </c>
    </row>
    <row r="109" spans="2:11">
      <c r="C109" s="616" t="str">
        <f>B59</f>
        <v>TPCODSBL2N</v>
      </c>
      <c r="D109" s="628" t="s">
        <v>554</v>
      </c>
      <c r="E109" s="627" t="s">
        <v>81</v>
      </c>
      <c r="F109" s="629" t="s">
        <v>82</v>
      </c>
    </row>
    <row r="110" spans="2:11">
      <c r="C110" s="616" t="str">
        <f>B62</f>
        <v>TPCODSBL3N</v>
      </c>
      <c r="D110" s="628" t="s">
        <v>555</v>
      </c>
      <c r="E110" s="627" t="s">
        <v>81</v>
      </c>
      <c r="F110" s="629" t="s">
        <v>82</v>
      </c>
    </row>
    <row r="111" spans="2:11">
      <c r="C111" s="616" t="str">
        <f>B65</f>
        <v>TPCODSBL4N</v>
      </c>
      <c r="D111" s="628" t="s">
        <v>556</v>
      </c>
      <c r="E111" s="627" t="s">
        <v>81</v>
      </c>
      <c r="F111" s="629" t="s">
        <v>82</v>
      </c>
    </row>
    <row r="112" spans="2:11">
      <c r="C112" s="600" t="str">
        <f>B68</f>
        <v>TPBUNGBL2N</v>
      </c>
      <c r="D112" s="628" t="s">
        <v>557</v>
      </c>
      <c r="E112" s="627" t="s">
        <v>81</v>
      </c>
      <c r="F112" s="629" t="s">
        <v>82</v>
      </c>
    </row>
    <row r="113" spans="3:6">
      <c r="C113" s="600" t="str">
        <f>B72</f>
        <v>TPBUNGBL3N</v>
      </c>
      <c r="D113" s="628" t="s">
        <v>558</v>
      </c>
      <c r="E113" s="627" t="s">
        <v>81</v>
      </c>
      <c r="F113" s="629" t="s">
        <v>82</v>
      </c>
    </row>
    <row r="114" spans="3:6">
      <c r="C114" s="600" t="str">
        <f>B76</f>
        <v>TPBUNGBL4N</v>
      </c>
      <c r="D114" s="628" t="s">
        <v>559</v>
      </c>
      <c r="E114" s="627" t="s">
        <v>81</v>
      </c>
      <c r="F114" s="629" t="s">
        <v>82</v>
      </c>
    </row>
    <row r="115" spans="3:6">
      <c r="C115" s="600" t="str">
        <f>B80</f>
        <v>TPCONGBL2N</v>
      </c>
      <c r="D115" s="628" t="s">
        <v>560</v>
      </c>
      <c r="E115" s="627" t="s">
        <v>81</v>
      </c>
      <c r="F115" s="629" t="s">
        <v>82</v>
      </c>
    </row>
    <row r="116" spans="3:6">
      <c r="C116" s="600" t="str">
        <f>B83</f>
        <v>TPCONGBL3N</v>
      </c>
      <c r="D116" s="628" t="s">
        <v>561</v>
      </c>
      <c r="E116" s="627" t="s">
        <v>81</v>
      </c>
      <c r="F116" s="629" t="s">
        <v>82</v>
      </c>
    </row>
    <row r="117" spans="3:6">
      <c r="C117" s="600" t="str">
        <f>B86</f>
        <v>TPCONGBL4N</v>
      </c>
      <c r="D117" s="628" t="s">
        <v>562</v>
      </c>
      <c r="E117" s="627" t="s">
        <v>81</v>
      </c>
      <c r="F117" s="629" t="s">
        <v>82</v>
      </c>
    </row>
  </sheetData>
  <mergeCells count="1">
    <mergeCell ref="O8:Q8"/>
  </mergeCells>
  <pageMargins left="0.7" right="0.7" top="0.75" bottom="0.75" header="0.3" footer="0.3"/>
  <pageSetup paperSize="9" orientation="portrait" verticalDpi="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2060"/>
  </sheetPr>
  <dimension ref="A1:Y122"/>
  <sheetViews>
    <sheetView zoomScale="80" zoomScaleNormal="80" workbookViewId="0">
      <selection activeCell="G21" sqref="G21"/>
    </sheetView>
  </sheetViews>
  <sheetFormatPr defaultColWidth="9.109375" defaultRowHeight="13.8"/>
  <cols>
    <col min="1" max="1" width="2.88671875" style="267" customWidth="1"/>
    <col min="2" max="2" width="35" style="267" customWidth="1"/>
    <col min="3" max="3" width="18" style="267" customWidth="1"/>
    <col min="4" max="7" width="15.88671875" style="267" customWidth="1"/>
    <col min="8" max="8" width="15.88671875" style="65" customWidth="1"/>
    <col min="9" max="9" width="7.109375" style="267" customWidth="1"/>
    <col min="10" max="10" width="37.44140625" style="267" customWidth="1"/>
    <col min="11" max="17" width="9.109375" style="267"/>
    <col min="18" max="18" width="11.88671875" style="267" customWidth="1"/>
    <col min="19" max="16384" width="9.109375" style="267"/>
  </cols>
  <sheetData>
    <row r="1" spans="1:19" s="62" customFormat="1" ht="21">
      <c r="B1" s="62" t="s">
        <v>153</v>
      </c>
      <c r="Q1" s="62">
        <v>0</v>
      </c>
      <c r="R1" s="64">
        <v>0</v>
      </c>
      <c r="S1" s="63"/>
    </row>
    <row r="2" spans="1:19">
      <c r="A2" s="65"/>
      <c r="B2" s="65"/>
      <c r="C2" s="65"/>
      <c r="D2" s="65"/>
      <c r="E2" s="65"/>
      <c r="F2" s="65"/>
      <c r="G2" s="65"/>
      <c r="I2" s="65"/>
      <c r="J2" s="65"/>
      <c r="K2" s="65"/>
      <c r="L2" s="65"/>
      <c r="M2" s="65"/>
      <c r="N2" s="65"/>
      <c r="O2" s="65"/>
      <c r="P2" s="65"/>
      <c r="Q2" s="65"/>
      <c r="R2" s="275"/>
      <c r="S2" s="275"/>
    </row>
    <row r="3" spans="1:19">
      <c r="A3" s="65"/>
      <c r="B3" s="65"/>
      <c r="C3" s="65"/>
      <c r="D3" s="65"/>
      <c r="E3" s="65"/>
      <c r="F3" s="65"/>
      <c r="G3" s="65"/>
      <c r="I3" s="65"/>
      <c r="J3" s="65"/>
      <c r="K3" s="65"/>
      <c r="L3" s="65"/>
      <c r="M3" s="65"/>
      <c r="N3" s="65"/>
      <c r="O3" s="65"/>
      <c r="P3" s="65"/>
      <c r="Q3" s="65"/>
    </row>
    <row r="4" spans="1:19" ht="14.4" thickBot="1">
      <c r="A4" s="65"/>
      <c r="B4" s="154" t="s">
        <v>91</v>
      </c>
      <c r="C4" s="65"/>
      <c r="D4" s="65"/>
      <c r="E4" s="65"/>
      <c r="F4" s="65"/>
      <c r="G4" s="65"/>
      <c r="I4" s="65"/>
      <c r="J4" s="65"/>
      <c r="K4" s="65"/>
      <c r="L4" s="65"/>
      <c r="M4" s="65"/>
      <c r="N4" s="65"/>
      <c r="O4" s="65"/>
      <c r="P4" s="65"/>
      <c r="Q4" s="65"/>
    </row>
    <row r="5" spans="1:19">
      <c r="A5" s="65"/>
      <c r="B5" s="157" t="s">
        <v>92</v>
      </c>
      <c r="C5" s="85"/>
      <c r="D5" s="85"/>
      <c r="E5" s="85"/>
      <c r="F5" s="85"/>
      <c r="G5" s="85"/>
      <c r="H5" s="85"/>
      <c r="I5" s="85"/>
      <c r="J5" s="85"/>
      <c r="K5" s="85"/>
      <c r="L5" s="85"/>
      <c r="M5" s="85"/>
      <c r="N5" s="85"/>
      <c r="O5" s="83"/>
      <c r="P5" s="65"/>
      <c r="Q5" s="65"/>
    </row>
    <row r="6" spans="1:19">
      <c r="A6" s="65"/>
      <c r="B6" s="133" t="s">
        <v>154</v>
      </c>
      <c r="C6" s="77"/>
      <c r="D6" s="77"/>
      <c r="E6" s="77"/>
      <c r="F6" s="77"/>
      <c r="G6" s="77"/>
      <c r="H6" s="77"/>
      <c r="I6" s="77"/>
      <c r="J6" s="77"/>
      <c r="K6" s="77"/>
      <c r="L6" s="77"/>
      <c r="M6" s="77"/>
      <c r="N6" s="77"/>
      <c r="O6" s="74"/>
      <c r="P6" s="65"/>
      <c r="Q6" s="65"/>
    </row>
    <row r="7" spans="1:19">
      <c r="A7" s="65"/>
      <c r="B7" s="133"/>
      <c r="C7" s="77"/>
      <c r="D7" s="77"/>
      <c r="E7" s="77"/>
      <c r="F7" s="77"/>
      <c r="G7" s="77"/>
      <c r="H7" s="77"/>
      <c r="I7" s="77"/>
      <c r="J7" s="77"/>
      <c r="K7" s="77"/>
      <c r="L7" s="77"/>
      <c r="M7" s="77"/>
      <c r="N7" s="77"/>
      <c r="O7" s="74"/>
      <c r="P7" s="65"/>
      <c r="Q7" s="65"/>
    </row>
    <row r="8" spans="1:19">
      <c r="A8" s="65"/>
      <c r="B8" s="133"/>
      <c r="C8" s="77"/>
      <c r="D8" s="77"/>
      <c r="E8" s="77"/>
      <c r="F8" s="77"/>
      <c r="G8" s="77"/>
      <c r="H8" s="77"/>
      <c r="I8" s="77"/>
      <c r="J8" s="77"/>
      <c r="K8" s="77"/>
      <c r="L8" s="77"/>
      <c r="M8" s="77"/>
      <c r="N8" s="77"/>
      <c r="O8" s="74"/>
      <c r="P8" s="65"/>
      <c r="Q8" s="65"/>
    </row>
    <row r="9" spans="1:19">
      <c r="A9" s="65"/>
      <c r="B9" s="156" t="s">
        <v>232</v>
      </c>
      <c r="C9" s="61" t="s">
        <v>231</v>
      </c>
      <c r="D9" s="77"/>
      <c r="E9" s="77"/>
      <c r="F9" s="77"/>
      <c r="G9" s="77"/>
      <c r="H9" s="77"/>
      <c r="I9" s="77"/>
      <c r="J9" s="77"/>
      <c r="K9" s="77"/>
      <c r="L9" s="77"/>
      <c r="M9" s="77"/>
      <c r="N9" s="77"/>
      <c r="O9" s="74"/>
      <c r="P9" s="65"/>
      <c r="Q9" s="65"/>
    </row>
    <row r="10" spans="1:19">
      <c r="A10" s="65"/>
      <c r="B10" s="133"/>
      <c r="C10" s="77"/>
      <c r="D10" s="77"/>
      <c r="E10" s="77"/>
      <c r="F10" s="77"/>
      <c r="G10" s="77"/>
      <c r="H10" s="77"/>
      <c r="I10" s="77"/>
      <c r="J10" s="77"/>
      <c r="K10" s="77"/>
      <c r="L10" s="77"/>
      <c r="M10" s="77"/>
      <c r="N10" s="77"/>
      <c r="O10" s="74"/>
      <c r="P10" s="65"/>
      <c r="Q10" s="65"/>
    </row>
    <row r="11" spans="1:19">
      <c r="A11" s="65"/>
      <c r="B11" s="155" t="s">
        <v>93</v>
      </c>
      <c r="C11" s="77"/>
      <c r="D11" s="77"/>
      <c r="E11" s="77"/>
      <c r="F11" s="77"/>
      <c r="G11" s="77"/>
      <c r="H11" s="77"/>
      <c r="I11" s="77"/>
      <c r="J11" s="77"/>
      <c r="K11" s="77"/>
      <c r="L11" s="77"/>
      <c r="M11" s="77"/>
      <c r="N11" s="77"/>
      <c r="O11" s="74"/>
      <c r="P11" s="65"/>
      <c r="Q11" s="65"/>
    </row>
    <row r="12" spans="1:19">
      <c r="A12" s="65"/>
      <c r="B12" s="133"/>
      <c r="C12" s="77"/>
      <c r="D12" s="77"/>
      <c r="E12" s="77"/>
      <c r="F12" s="77"/>
      <c r="G12" s="77"/>
      <c r="H12" s="77"/>
      <c r="I12" s="77"/>
      <c r="J12" s="77"/>
      <c r="K12" s="77"/>
      <c r="L12" s="77"/>
      <c r="M12" s="77"/>
      <c r="N12" s="77"/>
      <c r="O12" s="74"/>
      <c r="P12" s="65"/>
      <c r="Q12" s="65"/>
    </row>
    <row r="13" spans="1:19">
      <c r="A13" s="65"/>
      <c r="B13" s="133"/>
      <c r="C13" s="77"/>
      <c r="D13" s="77"/>
      <c r="E13" s="77"/>
      <c r="F13" s="77"/>
      <c r="G13" s="77"/>
      <c r="H13" s="77"/>
      <c r="I13" s="77"/>
      <c r="J13" s="77"/>
      <c r="K13" s="77"/>
      <c r="L13" s="77"/>
      <c r="M13" s="77"/>
      <c r="N13" s="77"/>
      <c r="O13" s="74"/>
      <c r="P13" s="65"/>
      <c r="Q13" s="65"/>
    </row>
    <row r="14" spans="1:19">
      <c r="A14" s="65"/>
      <c r="B14" s="155" t="s">
        <v>94</v>
      </c>
      <c r="C14" s="77"/>
      <c r="D14" s="77"/>
      <c r="E14" s="77"/>
      <c r="F14" s="77"/>
      <c r="G14" s="77"/>
      <c r="H14" s="77"/>
      <c r="I14" s="77"/>
      <c r="J14" s="77"/>
      <c r="K14" s="77"/>
      <c r="L14" s="77"/>
      <c r="M14" s="77"/>
      <c r="N14" s="77"/>
      <c r="O14" s="74"/>
      <c r="P14" s="65"/>
      <c r="Q14" s="65"/>
    </row>
    <row r="15" spans="1:19">
      <c r="A15" s="65"/>
      <c r="B15" s="133"/>
      <c r="C15" s="77"/>
      <c r="D15" s="77"/>
      <c r="E15" s="77"/>
      <c r="F15" s="77"/>
      <c r="G15" s="77"/>
      <c r="H15" s="77"/>
      <c r="I15" s="77"/>
      <c r="J15" s="77"/>
      <c r="K15" s="77"/>
      <c r="L15" s="77"/>
      <c r="M15" s="77"/>
      <c r="N15" s="77"/>
      <c r="O15" s="74"/>
      <c r="P15" s="65"/>
      <c r="Q15" s="65"/>
    </row>
    <row r="16" spans="1:19">
      <c r="A16" s="65"/>
      <c r="B16" s="128"/>
      <c r="C16" s="77"/>
      <c r="D16" s="77"/>
      <c r="E16" s="77"/>
      <c r="F16" s="77"/>
      <c r="G16" s="77"/>
      <c r="H16" s="77"/>
      <c r="I16" s="77"/>
      <c r="J16" s="77"/>
      <c r="K16" s="77"/>
      <c r="L16" s="77"/>
      <c r="M16" s="77"/>
      <c r="N16" s="77"/>
      <c r="O16" s="74"/>
      <c r="P16" s="65"/>
      <c r="Q16" s="65"/>
    </row>
    <row r="17" spans="1:17" ht="14.4" thickBot="1">
      <c r="A17" s="65"/>
      <c r="B17" s="73"/>
      <c r="C17" s="72"/>
      <c r="D17" s="72"/>
      <c r="E17" s="72"/>
      <c r="F17" s="72"/>
      <c r="G17" s="72"/>
      <c r="H17" s="72"/>
      <c r="I17" s="72"/>
      <c r="J17" s="72"/>
      <c r="K17" s="72"/>
      <c r="L17" s="72"/>
      <c r="M17" s="72"/>
      <c r="N17" s="72"/>
      <c r="O17" s="90"/>
      <c r="P17" s="65"/>
      <c r="Q17" s="65"/>
    </row>
    <row r="18" spans="1:17">
      <c r="A18" s="65"/>
      <c r="B18" s="65"/>
      <c r="C18" s="65"/>
      <c r="D18" s="65"/>
      <c r="E18" s="65"/>
      <c r="F18" s="65"/>
      <c r="G18" s="65"/>
      <c r="I18" s="65"/>
      <c r="J18" s="65"/>
      <c r="K18" s="65"/>
      <c r="L18" s="65"/>
      <c r="M18" s="65"/>
      <c r="N18" s="65"/>
      <c r="O18" s="65"/>
      <c r="P18" s="65"/>
      <c r="Q18" s="65"/>
    </row>
    <row r="19" spans="1:17" ht="14.4" thickBot="1">
      <c r="A19" s="65"/>
      <c r="B19" s="154" t="s">
        <v>95</v>
      </c>
      <c r="C19" s="65"/>
      <c r="D19" s="65"/>
      <c r="E19" s="153"/>
      <c r="F19" s="153"/>
      <c r="G19" s="153"/>
      <c r="I19" s="65"/>
      <c r="J19" s="65"/>
      <c r="K19" s="65"/>
      <c r="L19" s="65"/>
      <c r="M19" s="65"/>
      <c r="N19" s="65"/>
      <c r="O19" s="65"/>
      <c r="P19" s="65"/>
      <c r="Q19" s="65"/>
    </row>
    <row r="20" spans="1:17">
      <c r="A20" s="65"/>
      <c r="B20" s="88"/>
      <c r="C20" s="110"/>
      <c r="D20" s="168"/>
      <c r="E20" s="85"/>
      <c r="F20" s="85"/>
      <c r="G20" s="85"/>
      <c r="H20" s="85"/>
      <c r="I20" s="85" t="s">
        <v>96</v>
      </c>
      <c r="J20" s="83" t="s">
        <v>97</v>
      </c>
      <c r="K20" s="65"/>
      <c r="L20" s="65"/>
      <c r="M20" s="65"/>
      <c r="N20" s="65"/>
      <c r="O20" s="65"/>
      <c r="P20" s="65"/>
      <c r="Q20" s="65"/>
    </row>
    <row r="21" spans="1:17">
      <c r="A21" s="65"/>
      <c r="B21" s="109"/>
      <c r="C21" s="108" t="s">
        <v>98</v>
      </c>
      <c r="D21" s="107">
        <v>2015</v>
      </c>
      <c r="E21" s="106">
        <v>2020</v>
      </c>
      <c r="F21" s="106">
        <v>2035</v>
      </c>
      <c r="G21" s="106"/>
      <c r="H21" s="106" t="s">
        <v>99</v>
      </c>
      <c r="I21" s="152"/>
      <c r="J21" s="104"/>
      <c r="K21" s="65"/>
      <c r="L21" s="65"/>
      <c r="M21" s="65"/>
      <c r="N21" s="65"/>
      <c r="O21" s="65"/>
      <c r="P21" s="65"/>
      <c r="Q21" s="65"/>
    </row>
    <row r="22" spans="1:17">
      <c r="A22" s="65"/>
      <c r="B22" s="128" t="s">
        <v>100</v>
      </c>
      <c r="C22" s="118"/>
      <c r="D22" s="180"/>
      <c r="E22" s="151"/>
      <c r="F22" s="151"/>
      <c r="G22" s="151"/>
      <c r="H22" s="151"/>
      <c r="I22" s="77"/>
      <c r="J22" s="74"/>
      <c r="K22" s="65"/>
      <c r="L22" s="65"/>
      <c r="M22" s="65"/>
      <c r="N22" s="65"/>
      <c r="O22" s="65"/>
      <c r="P22" s="65"/>
      <c r="Q22" s="65"/>
    </row>
    <row r="23" spans="1:17">
      <c r="A23" s="65"/>
      <c r="B23" s="145" t="s">
        <v>101</v>
      </c>
      <c r="C23" s="118" t="s">
        <v>132</v>
      </c>
      <c r="D23" s="274">
        <f>D71</f>
        <v>0.1199250468457214</v>
      </c>
      <c r="E23" s="273">
        <f>E71</f>
        <v>0.12987012987012986</v>
      </c>
      <c r="F23" s="273">
        <f>F71</f>
        <v>0.15020080321285142</v>
      </c>
      <c r="G23" s="273">
        <f>G71</f>
        <v>0.17019319227230914</v>
      </c>
      <c r="H23" s="147"/>
      <c r="I23" s="187"/>
      <c r="J23" s="74"/>
      <c r="K23" s="244"/>
      <c r="L23" s="65"/>
      <c r="M23" s="65"/>
      <c r="N23" s="65"/>
      <c r="O23" s="65"/>
      <c r="P23" s="65"/>
      <c r="Q23" s="65"/>
    </row>
    <row r="24" spans="1:17">
      <c r="A24" s="65"/>
      <c r="B24" s="145" t="s">
        <v>102</v>
      </c>
      <c r="C24" s="118" t="s">
        <v>132</v>
      </c>
      <c r="D24" s="144">
        <f>D23</f>
        <v>0.1199250468457214</v>
      </c>
      <c r="E24" s="143">
        <f>E23</f>
        <v>0.12987012987012986</v>
      </c>
      <c r="F24" s="143">
        <f>F23</f>
        <v>0.15020080321285142</v>
      </c>
      <c r="G24" s="143">
        <f>G23</f>
        <v>0.17019319227230914</v>
      </c>
      <c r="H24" s="147"/>
      <c r="I24" s="187"/>
      <c r="J24" s="74"/>
      <c r="K24" s="244"/>
      <c r="L24" s="65"/>
      <c r="M24" s="65"/>
      <c r="N24" s="65"/>
      <c r="O24" s="65"/>
      <c r="P24" s="65"/>
      <c r="Q24" s="65"/>
    </row>
    <row r="25" spans="1:17">
      <c r="A25" s="65"/>
      <c r="B25" s="145" t="s">
        <v>103</v>
      </c>
      <c r="C25" s="118" t="s">
        <v>104</v>
      </c>
      <c r="D25" s="144">
        <f>D75</f>
        <v>16.010000000000002</v>
      </c>
      <c r="E25" s="143">
        <f>E75</f>
        <v>14.63</v>
      </c>
      <c r="F25" s="143">
        <f>F75</f>
        <v>12.45</v>
      </c>
      <c r="G25" s="143">
        <f>G75</f>
        <v>10.87</v>
      </c>
      <c r="H25" s="142"/>
      <c r="I25" s="187"/>
      <c r="J25" s="74"/>
      <c r="K25" s="244"/>
      <c r="L25" s="65"/>
      <c r="M25" s="65"/>
      <c r="N25" s="65"/>
      <c r="O25" s="65"/>
      <c r="P25" s="65"/>
      <c r="Q25" s="65"/>
    </row>
    <row r="26" spans="1:17">
      <c r="A26" s="65"/>
      <c r="B26" s="145" t="s">
        <v>105</v>
      </c>
      <c r="C26" s="118" t="s">
        <v>104</v>
      </c>
      <c r="D26" s="144"/>
      <c r="E26" s="143"/>
      <c r="F26" s="143"/>
      <c r="G26" s="143"/>
      <c r="H26" s="142"/>
      <c r="I26" s="187"/>
      <c r="J26" s="74"/>
      <c r="K26" s="244"/>
      <c r="L26" s="65"/>
      <c r="M26" s="65"/>
      <c r="N26" s="65"/>
      <c r="O26" s="65"/>
      <c r="P26" s="65"/>
      <c r="Q26" s="65"/>
    </row>
    <row r="27" spans="1:17">
      <c r="A27" s="65"/>
      <c r="B27" s="133" t="s">
        <v>106</v>
      </c>
      <c r="C27" s="118" t="s">
        <v>107</v>
      </c>
      <c r="D27" s="341">
        <v>6</v>
      </c>
      <c r="E27" s="340">
        <v>6</v>
      </c>
      <c r="F27" s="340">
        <v>6</v>
      </c>
      <c r="G27" s="340">
        <v>6</v>
      </c>
      <c r="H27" s="125"/>
      <c r="I27" s="99" t="s">
        <v>645</v>
      </c>
      <c r="J27" s="119"/>
      <c r="K27" s="244"/>
      <c r="L27" s="65"/>
      <c r="M27" s="65"/>
      <c r="N27" s="65"/>
      <c r="O27" s="65"/>
      <c r="P27" s="65"/>
      <c r="Q27" s="65"/>
    </row>
    <row r="28" spans="1:17">
      <c r="A28" s="65"/>
      <c r="B28" s="133" t="s">
        <v>108</v>
      </c>
      <c r="C28" s="118" t="s">
        <v>109</v>
      </c>
      <c r="D28" s="177">
        <f>+D67*D68/1000</f>
        <v>128.63999999999999</v>
      </c>
      <c r="E28" s="139">
        <f>+E67*E68/1000</f>
        <v>127.3</v>
      </c>
      <c r="F28" s="139">
        <f>+F67*F68/1000</f>
        <v>125.29</v>
      </c>
      <c r="G28" s="139">
        <f>+G67*G68/1000</f>
        <v>123.95</v>
      </c>
      <c r="H28" s="138"/>
      <c r="I28" s="187"/>
      <c r="J28" s="74"/>
      <c r="K28" s="244"/>
      <c r="L28" s="65"/>
      <c r="M28" s="65"/>
      <c r="N28" s="65"/>
      <c r="O28" s="65"/>
      <c r="P28" s="65"/>
      <c r="Q28" s="65"/>
    </row>
    <row r="29" spans="1:17">
      <c r="A29" s="65"/>
      <c r="B29" s="78"/>
      <c r="C29" s="137"/>
      <c r="D29" s="134"/>
      <c r="E29" s="98"/>
      <c r="F29" s="98"/>
      <c r="G29" s="98"/>
      <c r="H29" s="98"/>
      <c r="I29" s="77"/>
      <c r="J29" s="74"/>
      <c r="K29" s="244"/>
      <c r="L29" s="65"/>
      <c r="M29" s="65"/>
      <c r="N29" s="65"/>
      <c r="O29" s="65"/>
      <c r="P29" s="65"/>
      <c r="Q29" s="65"/>
    </row>
    <row r="30" spans="1:17">
      <c r="A30" s="65"/>
      <c r="B30" s="128" t="s">
        <v>110</v>
      </c>
      <c r="C30" s="118"/>
      <c r="D30" s="134"/>
      <c r="E30" s="98"/>
      <c r="F30" s="98"/>
      <c r="G30" s="98"/>
      <c r="H30" s="98"/>
      <c r="I30" s="77"/>
      <c r="J30" s="74"/>
      <c r="K30" s="244"/>
      <c r="L30" s="65"/>
      <c r="M30" s="65"/>
      <c r="N30" s="65"/>
      <c r="O30" s="65"/>
      <c r="P30" s="65"/>
      <c r="Q30" s="65"/>
    </row>
    <row r="31" spans="1:17" s="65" customFormat="1">
      <c r="B31" s="133" t="s">
        <v>111</v>
      </c>
      <c r="C31" s="118" t="s">
        <v>15</v>
      </c>
      <c r="D31" s="136">
        <v>1384169.5414063041</v>
      </c>
      <c r="E31" s="136">
        <v>1384169.5414063041</v>
      </c>
      <c r="F31" s="136">
        <v>1384169.5414063041</v>
      </c>
      <c r="G31" s="136">
        <v>1384169.5414063041</v>
      </c>
      <c r="H31" s="135">
        <v>2015</v>
      </c>
      <c r="I31" s="79"/>
      <c r="J31" s="74"/>
    </row>
    <row r="32" spans="1:17" s="65" customFormat="1">
      <c r="B32" s="78" t="s">
        <v>16</v>
      </c>
      <c r="C32" s="118" t="s">
        <v>17</v>
      </c>
      <c r="D32" s="136">
        <v>3093.4575364520883</v>
      </c>
      <c r="E32" s="136">
        <v>3126.0202473621098</v>
      </c>
      <c r="F32" s="136">
        <v>3176.1703048064219</v>
      </c>
      <c r="G32" s="136">
        <v>3210.5072810745992</v>
      </c>
      <c r="H32" s="135">
        <v>2015</v>
      </c>
      <c r="I32" s="79"/>
      <c r="J32" s="74"/>
    </row>
    <row r="33" spans="1:17" s="65" customFormat="1">
      <c r="B33" s="129" t="s">
        <v>18</v>
      </c>
      <c r="C33" s="118" t="s">
        <v>17</v>
      </c>
      <c r="D33" s="136">
        <v>2119.9127680590059</v>
      </c>
      <c r="E33" s="136">
        <v>2142.2276393017319</v>
      </c>
      <c r="F33" s="136">
        <v>2176.594927632776</v>
      </c>
      <c r="G33" s="136">
        <v>2200.1256836071843</v>
      </c>
      <c r="H33" s="135">
        <v>2015</v>
      </c>
      <c r="I33" s="79"/>
      <c r="J33" s="74"/>
    </row>
    <row r="34" spans="1:17" s="65" customFormat="1">
      <c r="B34" s="129" t="s">
        <v>19</v>
      </c>
      <c r="C34" s="118" t="s">
        <v>17</v>
      </c>
      <c r="D34" s="136">
        <v>973.54476839308234</v>
      </c>
      <c r="E34" s="136">
        <v>983.7926080603778</v>
      </c>
      <c r="F34" s="136">
        <v>999.57537717364585</v>
      </c>
      <c r="G34" s="136">
        <v>1010.381597467415</v>
      </c>
      <c r="H34" s="135">
        <v>2015</v>
      </c>
      <c r="I34" s="79"/>
      <c r="J34" s="74"/>
    </row>
    <row r="35" spans="1:17" s="65" customFormat="1">
      <c r="B35" s="129"/>
      <c r="C35" s="118"/>
      <c r="D35" s="136"/>
      <c r="E35" s="136"/>
      <c r="F35" s="136"/>
      <c r="G35" s="136"/>
      <c r="H35" s="135"/>
      <c r="I35" s="79"/>
      <c r="J35" s="74"/>
    </row>
    <row r="36" spans="1:17" s="65" customFormat="1">
      <c r="B36" s="129" t="s">
        <v>112</v>
      </c>
      <c r="C36" s="118" t="s">
        <v>17</v>
      </c>
      <c r="D36" s="136">
        <v>0</v>
      </c>
      <c r="E36" s="136">
        <v>0</v>
      </c>
      <c r="F36" s="136">
        <v>0</v>
      </c>
      <c r="G36" s="136">
        <v>0</v>
      </c>
      <c r="H36" s="135">
        <v>2015</v>
      </c>
      <c r="I36" s="79"/>
      <c r="J36" s="74"/>
    </row>
    <row r="37" spans="1:17" s="65" customFormat="1">
      <c r="B37" s="128"/>
      <c r="C37" s="118"/>
      <c r="D37" s="134"/>
      <c r="E37" s="98"/>
      <c r="F37" s="98"/>
      <c r="G37" s="98"/>
      <c r="H37" s="98"/>
      <c r="I37" s="79"/>
      <c r="J37" s="74"/>
    </row>
    <row r="38" spans="1:17">
      <c r="A38" s="65"/>
      <c r="B38" s="133" t="s">
        <v>111</v>
      </c>
      <c r="C38" s="118" t="s">
        <v>15</v>
      </c>
      <c r="D38" s="329">
        <v>1332921.6972839427</v>
      </c>
      <c r="E38" s="329">
        <v>1332921.6972839427</v>
      </c>
      <c r="F38" s="329">
        <v>1332921.6972839427</v>
      </c>
      <c r="G38" s="329">
        <v>1332921.6972839427</v>
      </c>
      <c r="H38" s="130">
        <v>2013</v>
      </c>
      <c r="I38" s="99" t="s">
        <v>645</v>
      </c>
      <c r="J38" s="119"/>
      <c r="K38" s="244"/>
      <c r="L38" s="65"/>
      <c r="M38" s="65"/>
      <c r="N38" s="65"/>
      <c r="O38" s="65"/>
      <c r="P38" s="65"/>
      <c r="Q38" s="65"/>
    </row>
    <row r="39" spans="1:17">
      <c r="A39" s="65"/>
      <c r="B39" s="78" t="s">
        <v>16</v>
      </c>
      <c r="C39" s="118" t="s">
        <v>17</v>
      </c>
      <c r="D39" s="257">
        <f>+SUM(D40:D43)</f>
        <v>2978.9245801307316</v>
      </c>
      <c r="E39" s="258">
        <f>+SUM(E40:E43)</f>
        <v>3010.2816809742126</v>
      </c>
      <c r="F39" s="258">
        <f>+SUM(F40:F43)</f>
        <v>3058.5749699737989</v>
      </c>
      <c r="G39" s="258">
        <f>+SUM(G40:G43)</f>
        <v>3091.6406453248669</v>
      </c>
      <c r="H39" s="130">
        <v>2013</v>
      </c>
      <c r="I39" s="187"/>
      <c r="J39" s="74"/>
      <c r="K39" s="244"/>
      <c r="L39" s="65"/>
      <c r="M39" s="65"/>
      <c r="N39" s="65"/>
      <c r="O39" s="65"/>
      <c r="P39" s="65"/>
      <c r="Q39" s="65"/>
    </row>
    <row r="40" spans="1:17">
      <c r="A40" s="65"/>
      <c r="B40" s="129" t="s">
        <v>18</v>
      </c>
      <c r="C40" s="118" t="s">
        <v>17</v>
      </c>
      <c r="D40" s="257">
        <v>2041.4245801307313</v>
      </c>
      <c r="E40" s="258">
        <v>2062.9132599215809</v>
      </c>
      <c r="F40" s="258">
        <v>2096.0081250540129</v>
      </c>
      <c r="G40" s="258">
        <v>2118.667672351894</v>
      </c>
      <c r="H40" s="130">
        <v>2013</v>
      </c>
      <c r="I40" s="187"/>
      <c r="J40" s="74"/>
      <c r="K40" s="244"/>
      <c r="L40" s="65"/>
      <c r="M40" s="65"/>
      <c r="N40" s="65"/>
      <c r="O40" s="65"/>
      <c r="P40" s="65"/>
      <c r="Q40" s="65"/>
    </row>
    <row r="41" spans="1:17">
      <c r="A41" s="65"/>
      <c r="B41" s="129" t="s">
        <v>19</v>
      </c>
      <c r="C41" s="118" t="s">
        <v>17</v>
      </c>
      <c r="D41" s="257">
        <f>(D68*D69)/D28</f>
        <v>937.50000000000011</v>
      </c>
      <c r="E41" s="258">
        <f>(E68*E69)/E28</f>
        <v>947.36842105263156</v>
      </c>
      <c r="F41" s="258">
        <f>(F68*F69)/F28</f>
        <v>962.56684491978604</v>
      </c>
      <c r="G41" s="258">
        <f>(G68*G69)/G28</f>
        <v>972.97297297297291</v>
      </c>
      <c r="H41" s="130">
        <v>2013</v>
      </c>
      <c r="I41" s="187"/>
      <c r="J41" s="119" t="s">
        <v>155</v>
      </c>
      <c r="K41" s="244"/>
      <c r="L41" s="65"/>
      <c r="M41" s="65"/>
      <c r="N41" s="65"/>
      <c r="O41" s="65"/>
      <c r="P41" s="65"/>
      <c r="Q41" s="65"/>
    </row>
    <row r="42" spans="1:17">
      <c r="A42" s="65"/>
      <c r="B42" s="129"/>
      <c r="C42" s="118"/>
      <c r="D42" s="134"/>
      <c r="E42" s="98"/>
      <c r="F42" s="98"/>
      <c r="G42" s="98"/>
      <c r="H42" s="130"/>
      <c r="I42" s="187"/>
      <c r="J42" s="74"/>
      <c r="K42" s="244"/>
      <c r="L42" s="65"/>
      <c r="M42" s="65"/>
      <c r="N42" s="65"/>
      <c r="O42" s="65"/>
      <c r="P42" s="65"/>
      <c r="Q42" s="65"/>
    </row>
    <row r="43" spans="1:17">
      <c r="A43" s="65"/>
      <c r="B43" s="129" t="s">
        <v>112</v>
      </c>
      <c r="C43" s="118" t="s">
        <v>17</v>
      </c>
      <c r="D43" s="257">
        <v>0</v>
      </c>
      <c r="E43" s="258">
        <v>0</v>
      </c>
      <c r="F43" s="258">
        <v>0</v>
      </c>
      <c r="G43" s="258">
        <v>0</v>
      </c>
      <c r="H43" s="130">
        <v>2013</v>
      </c>
      <c r="I43" s="187"/>
      <c r="J43" s="119"/>
      <c r="K43" s="244"/>
      <c r="L43" s="65"/>
      <c r="M43" s="65"/>
      <c r="N43" s="65"/>
      <c r="O43" s="65"/>
      <c r="P43" s="65"/>
      <c r="Q43" s="65"/>
    </row>
    <row r="44" spans="1:17">
      <c r="A44" s="65"/>
      <c r="B44" s="129"/>
      <c r="C44" s="118"/>
      <c r="D44" s="134"/>
      <c r="E44" s="98"/>
      <c r="F44" s="98"/>
      <c r="G44" s="98"/>
      <c r="H44" s="98"/>
      <c r="I44" s="187"/>
      <c r="J44" s="74"/>
      <c r="K44" s="244"/>
      <c r="L44" s="65"/>
      <c r="M44" s="65"/>
      <c r="N44" s="65"/>
      <c r="O44" s="65"/>
      <c r="P44" s="65"/>
      <c r="Q44" s="65"/>
    </row>
    <row r="45" spans="1:17">
      <c r="A45" s="65"/>
      <c r="B45" s="128" t="s">
        <v>113</v>
      </c>
      <c r="C45" s="118"/>
      <c r="D45" s="134"/>
      <c r="E45" s="98"/>
      <c r="F45" s="98"/>
      <c r="G45" s="98"/>
      <c r="H45" s="127"/>
      <c r="I45" s="187"/>
      <c r="J45" s="74"/>
      <c r="K45" s="244"/>
      <c r="L45" s="65"/>
      <c r="M45" s="65"/>
      <c r="N45" s="65"/>
      <c r="O45" s="65"/>
      <c r="P45" s="65"/>
      <c r="Q45" s="65"/>
    </row>
    <row r="46" spans="1:17">
      <c r="A46" s="65"/>
      <c r="B46" s="123" t="s">
        <v>30</v>
      </c>
      <c r="C46" s="118"/>
      <c r="D46" s="134"/>
      <c r="E46" s="98"/>
      <c r="F46" s="98"/>
      <c r="G46" s="98"/>
      <c r="H46" s="126"/>
      <c r="I46" s="187"/>
      <c r="J46" s="74"/>
      <c r="K46" s="244"/>
      <c r="L46" s="65"/>
      <c r="M46" s="65"/>
      <c r="N46" s="65"/>
      <c r="O46" s="65"/>
      <c r="P46" s="65"/>
      <c r="Q46" s="65"/>
    </row>
    <row r="47" spans="1:17">
      <c r="A47" s="65"/>
      <c r="B47" s="78" t="s">
        <v>20</v>
      </c>
      <c r="C47" s="118" t="s">
        <v>133</v>
      </c>
      <c r="D47" s="255"/>
      <c r="E47" s="121"/>
      <c r="F47" s="121"/>
      <c r="G47" s="121"/>
      <c r="H47" s="126"/>
      <c r="I47" s="187"/>
      <c r="J47" s="119" t="s">
        <v>114</v>
      </c>
      <c r="K47" s="244"/>
      <c r="L47" s="65"/>
      <c r="M47" s="65"/>
      <c r="N47" s="65"/>
      <c r="O47" s="65"/>
      <c r="P47" s="65"/>
      <c r="Q47" s="65"/>
    </row>
    <row r="48" spans="1:17">
      <c r="A48" s="65"/>
      <c r="B48" s="78" t="s">
        <v>21</v>
      </c>
      <c r="C48" s="118" t="s">
        <v>133</v>
      </c>
      <c r="D48" s="124">
        <f t="shared" ref="D48:G52" si="0">D78/D$75</f>
        <v>3.6492051807463747E-4</v>
      </c>
      <c r="E48" s="124">
        <f t="shared" si="0"/>
        <v>1.3657553703384776E-4</v>
      </c>
      <c r="F48" s="124">
        <f t="shared" si="0"/>
        <v>1.3657553703384776E-4</v>
      </c>
      <c r="G48" s="124">
        <f t="shared" si="0"/>
        <v>1.3657553703384776E-4</v>
      </c>
      <c r="H48" s="120"/>
      <c r="I48" s="187"/>
      <c r="J48" s="74"/>
      <c r="K48" s="244"/>
      <c r="L48" s="65"/>
      <c r="M48" s="65"/>
      <c r="N48" s="65"/>
      <c r="O48" s="65"/>
      <c r="P48" s="65"/>
      <c r="Q48" s="65"/>
    </row>
    <row r="49" spans="1:17">
      <c r="A49" s="65"/>
      <c r="B49" s="78" t="s">
        <v>22</v>
      </c>
      <c r="C49" s="118" t="s">
        <v>133</v>
      </c>
      <c r="D49" s="124">
        <f t="shared" si="0"/>
        <v>2.8831426319335706E-3</v>
      </c>
      <c r="E49" s="124">
        <f t="shared" si="0"/>
        <v>3.8168443449451881E-3</v>
      </c>
      <c r="F49" s="124">
        <f t="shared" si="0"/>
        <v>3.8168443449451881E-3</v>
      </c>
      <c r="G49" s="124">
        <f t="shared" si="0"/>
        <v>3.8168443449451885E-3</v>
      </c>
      <c r="H49" s="98"/>
      <c r="I49" s="187"/>
      <c r="J49" s="74"/>
      <c r="K49" s="244"/>
      <c r="L49" s="65"/>
      <c r="M49" s="65"/>
      <c r="N49" s="65"/>
      <c r="O49" s="65"/>
      <c r="P49" s="65"/>
      <c r="Q49" s="65"/>
    </row>
    <row r="50" spans="1:17">
      <c r="A50" s="65"/>
      <c r="B50" s="78" t="s">
        <v>23</v>
      </c>
      <c r="C50" s="118" t="s">
        <v>133</v>
      </c>
      <c r="D50" s="124">
        <f t="shared" si="0"/>
        <v>4.6837408023728803E-4</v>
      </c>
      <c r="E50" s="124">
        <f t="shared" si="0"/>
        <v>4.6837408023728798E-4</v>
      </c>
      <c r="F50" s="124">
        <f t="shared" si="0"/>
        <v>4.6837408023728798E-4</v>
      </c>
      <c r="G50" s="124">
        <f t="shared" si="0"/>
        <v>4.6837408023728798E-4</v>
      </c>
      <c r="H50" s="125"/>
      <c r="I50" s="187"/>
      <c r="J50" s="74"/>
      <c r="K50" s="244"/>
      <c r="L50" s="65"/>
      <c r="M50" s="65"/>
      <c r="N50" s="65"/>
      <c r="O50" s="65"/>
      <c r="P50" s="65"/>
      <c r="Q50" s="65"/>
    </row>
    <row r="51" spans="1:17">
      <c r="A51" s="65"/>
      <c r="B51" s="78" t="s">
        <v>115</v>
      </c>
      <c r="C51" s="118" t="s">
        <v>133</v>
      </c>
      <c r="D51" s="124">
        <f t="shared" si="0"/>
        <v>0.42120742294108487</v>
      </c>
      <c r="E51" s="124">
        <f t="shared" si="0"/>
        <v>4.2913588351117742E-2</v>
      </c>
      <c r="F51" s="124">
        <f t="shared" si="0"/>
        <v>4.2913588351117742E-2</v>
      </c>
      <c r="G51" s="124">
        <f t="shared" si="0"/>
        <v>4.2913588351117742E-2</v>
      </c>
      <c r="H51" s="98"/>
      <c r="I51" s="187"/>
      <c r="J51" s="74"/>
      <c r="K51" s="244"/>
      <c r="L51" s="65"/>
      <c r="M51" s="65"/>
      <c r="N51" s="65"/>
      <c r="O51" s="65"/>
      <c r="P51" s="65"/>
      <c r="Q51" s="65"/>
    </row>
    <row r="52" spans="1:17">
      <c r="A52" s="65"/>
      <c r="B52" s="78" t="s">
        <v>24</v>
      </c>
      <c r="C52" s="118" t="s">
        <v>133</v>
      </c>
      <c r="D52" s="124">
        <f t="shared" si="0"/>
        <v>3.2868980174215008E-3</v>
      </c>
      <c r="E52" s="124">
        <f t="shared" si="0"/>
        <v>4.9158331190144507E-4</v>
      </c>
      <c r="F52" s="124">
        <f t="shared" si="0"/>
        <v>4.9158331190144507E-4</v>
      </c>
      <c r="G52" s="124">
        <f t="shared" si="0"/>
        <v>4.9158331190144507E-4</v>
      </c>
      <c r="H52" s="98"/>
      <c r="I52" s="187"/>
      <c r="J52" s="74"/>
      <c r="K52" s="244"/>
      <c r="L52" s="65"/>
      <c r="M52" s="65"/>
      <c r="N52" s="65"/>
      <c r="O52" s="65"/>
      <c r="P52" s="65"/>
      <c r="Q52" s="65"/>
    </row>
    <row r="53" spans="1:17">
      <c r="A53" s="65"/>
      <c r="B53" s="78"/>
      <c r="C53" s="118"/>
      <c r="D53" s="122"/>
      <c r="E53" s="77"/>
      <c r="F53" s="77"/>
      <c r="G53" s="77"/>
      <c r="H53" s="98"/>
      <c r="I53" s="187"/>
      <c r="J53" s="74"/>
      <c r="K53" s="244"/>
      <c r="L53" s="65"/>
      <c r="M53" s="65"/>
      <c r="N53" s="65"/>
      <c r="O53" s="65"/>
      <c r="P53" s="65"/>
      <c r="Q53" s="65"/>
    </row>
    <row r="54" spans="1:17">
      <c r="A54" s="65"/>
      <c r="B54" s="123" t="s">
        <v>31</v>
      </c>
      <c r="C54" s="118"/>
      <c r="D54" s="134"/>
      <c r="E54" s="98"/>
      <c r="F54" s="98"/>
      <c r="G54" s="98"/>
      <c r="H54" s="120"/>
      <c r="I54" s="187"/>
      <c r="J54" s="74"/>
      <c r="K54" s="244"/>
      <c r="L54" s="65"/>
      <c r="M54" s="65"/>
      <c r="N54" s="65"/>
      <c r="O54" s="65"/>
      <c r="P54" s="65"/>
      <c r="Q54" s="65"/>
    </row>
    <row r="55" spans="1:17">
      <c r="A55" s="65"/>
      <c r="B55" s="78" t="s">
        <v>20</v>
      </c>
      <c r="C55" s="118" t="s">
        <v>133</v>
      </c>
      <c r="D55" s="255"/>
      <c r="E55" s="121"/>
      <c r="F55" s="121"/>
      <c r="G55" s="121"/>
      <c r="H55" s="197"/>
      <c r="I55" s="187"/>
      <c r="J55" s="119" t="s">
        <v>114</v>
      </c>
      <c r="K55" s="244"/>
      <c r="L55" s="65"/>
      <c r="M55" s="65"/>
      <c r="N55" s="65"/>
      <c r="O55" s="65"/>
      <c r="P55" s="65"/>
      <c r="Q55" s="65"/>
    </row>
    <row r="56" spans="1:17">
      <c r="A56" s="65"/>
      <c r="B56" s="78" t="s">
        <v>21</v>
      </c>
      <c r="C56" s="118" t="s">
        <v>133</v>
      </c>
      <c r="D56" s="117">
        <f t="shared" ref="D56:G60" si="1">D48</f>
        <v>3.6492051807463747E-4</v>
      </c>
      <c r="E56" s="117">
        <f t="shared" si="1"/>
        <v>1.3657553703384776E-4</v>
      </c>
      <c r="F56" s="117">
        <f t="shared" si="1"/>
        <v>1.3657553703384776E-4</v>
      </c>
      <c r="G56" s="117">
        <f t="shared" si="1"/>
        <v>1.3657553703384776E-4</v>
      </c>
      <c r="H56" s="197"/>
      <c r="I56" s="187"/>
      <c r="J56" s="74"/>
      <c r="K56" s="244"/>
      <c r="L56" s="65"/>
      <c r="M56" s="65"/>
      <c r="N56" s="65"/>
      <c r="O56" s="65"/>
      <c r="P56" s="65"/>
      <c r="Q56" s="65"/>
    </row>
    <row r="57" spans="1:17">
      <c r="A57" s="65"/>
      <c r="B57" s="78" t="s">
        <v>22</v>
      </c>
      <c r="C57" s="118" t="s">
        <v>133</v>
      </c>
      <c r="D57" s="117">
        <f t="shared" si="1"/>
        <v>2.8831426319335706E-3</v>
      </c>
      <c r="E57" s="117">
        <f t="shared" si="1"/>
        <v>3.8168443449451881E-3</v>
      </c>
      <c r="F57" s="117">
        <f t="shared" si="1"/>
        <v>3.8168443449451881E-3</v>
      </c>
      <c r="G57" s="117">
        <f t="shared" si="1"/>
        <v>3.8168443449451885E-3</v>
      </c>
      <c r="H57" s="197"/>
      <c r="I57" s="187"/>
      <c r="J57" s="74"/>
      <c r="K57" s="244"/>
      <c r="L57" s="65"/>
      <c r="M57" s="65"/>
      <c r="N57" s="65"/>
      <c r="O57" s="65"/>
      <c r="P57" s="65"/>
      <c r="Q57" s="65"/>
    </row>
    <row r="58" spans="1:17">
      <c r="A58" s="65"/>
      <c r="B58" s="78" t="s">
        <v>23</v>
      </c>
      <c r="C58" s="118" t="s">
        <v>133</v>
      </c>
      <c r="D58" s="117">
        <f t="shared" si="1"/>
        <v>4.6837408023728803E-4</v>
      </c>
      <c r="E58" s="117">
        <f t="shared" si="1"/>
        <v>4.6837408023728798E-4</v>
      </c>
      <c r="F58" s="117">
        <f t="shared" si="1"/>
        <v>4.6837408023728798E-4</v>
      </c>
      <c r="G58" s="117">
        <f t="shared" si="1"/>
        <v>4.6837408023728798E-4</v>
      </c>
      <c r="H58" s="197"/>
      <c r="I58" s="187"/>
      <c r="J58" s="74"/>
      <c r="K58" s="244"/>
      <c r="L58" s="65"/>
      <c r="M58" s="65"/>
      <c r="N58" s="65"/>
      <c r="O58" s="65"/>
      <c r="P58" s="65"/>
      <c r="Q58" s="65"/>
    </row>
    <row r="59" spans="1:17">
      <c r="A59" s="65"/>
      <c r="B59" s="78" t="s">
        <v>115</v>
      </c>
      <c r="C59" s="118" t="s">
        <v>133</v>
      </c>
      <c r="D59" s="117">
        <f t="shared" si="1"/>
        <v>0.42120742294108487</v>
      </c>
      <c r="E59" s="117">
        <f t="shared" si="1"/>
        <v>4.2913588351117742E-2</v>
      </c>
      <c r="F59" s="117">
        <f t="shared" si="1"/>
        <v>4.2913588351117742E-2</v>
      </c>
      <c r="G59" s="117">
        <f t="shared" si="1"/>
        <v>4.2913588351117742E-2</v>
      </c>
      <c r="H59" s="197"/>
      <c r="I59" s="187"/>
      <c r="J59" s="74"/>
      <c r="K59" s="244"/>
      <c r="L59" s="65"/>
      <c r="M59" s="65"/>
      <c r="N59" s="65"/>
      <c r="O59" s="65"/>
      <c r="P59" s="65"/>
      <c r="Q59" s="65"/>
    </row>
    <row r="60" spans="1:17">
      <c r="A60" s="65"/>
      <c r="B60" s="78" t="s">
        <v>24</v>
      </c>
      <c r="C60" s="118" t="s">
        <v>133</v>
      </c>
      <c r="D60" s="117">
        <f t="shared" si="1"/>
        <v>3.2868980174215008E-3</v>
      </c>
      <c r="E60" s="117">
        <f t="shared" si="1"/>
        <v>4.9158331190144507E-4</v>
      </c>
      <c r="F60" s="117">
        <f t="shared" si="1"/>
        <v>4.9158331190144507E-4</v>
      </c>
      <c r="G60" s="117">
        <f t="shared" si="1"/>
        <v>4.9158331190144507E-4</v>
      </c>
      <c r="H60" s="135"/>
      <c r="I60" s="187"/>
      <c r="J60" s="74"/>
      <c r="K60" s="244"/>
      <c r="L60" s="65"/>
      <c r="M60" s="65"/>
      <c r="N60" s="65"/>
      <c r="O60" s="65"/>
      <c r="P60" s="65"/>
      <c r="Q60" s="65"/>
    </row>
    <row r="61" spans="1:17" ht="14.4" thickBot="1">
      <c r="A61" s="65"/>
      <c r="B61" s="115"/>
      <c r="C61" s="114"/>
      <c r="D61" s="113"/>
      <c r="E61" s="72"/>
      <c r="F61" s="72"/>
      <c r="G61" s="72"/>
      <c r="H61" s="72"/>
      <c r="I61" s="193"/>
      <c r="J61" s="90"/>
      <c r="K61" s="244"/>
      <c r="L61" s="65"/>
      <c r="M61" s="65"/>
      <c r="N61" s="65"/>
      <c r="O61" s="65"/>
      <c r="P61" s="65"/>
      <c r="Q61" s="65"/>
    </row>
    <row r="62" spans="1:17">
      <c r="A62" s="65"/>
      <c r="B62" s="65"/>
      <c r="C62" s="65"/>
      <c r="D62" s="65"/>
      <c r="E62" s="65"/>
      <c r="F62" s="65"/>
      <c r="G62" s="65"/>
      <c r="I62" s="65"/>
      <c r="J62" s="65"/>
      <c r="K62" s="244"/>
      <c r="L62" s="65"/>
      <c r="M62" s="65"/>
      <c r="N62" s="65"/>
      <c r="O62" s="65"/>
      <c r="P62" s="65"/>
      <c r="Q62" s="65"/>
    </row>
    <row r="63" spans="1:17">
      <c r="A63" s="65"/>
      <c r="B63" s="65"/>
      <c r="C63" s="65"/>
      <c r="D63" s="65"/>
      <c r="E63" s="65"/>
      <c r="F63" s="65"/>
      <c r="G63" s="65"/>
      <c r="I63" s="65"/>
      <c r="J63" s="65"/>
      <c r="K63" s="244"/>
      <c r="L63" s="65"/>
      <c r="M63" s="65"/>
      <c r="N63" s="65"/>
      <c r="O63" s="65"/>
      <c r="P63" s="65"/>
      <c r="Q63" s="65"/>
    </row>
    <row r="64" spans="1:17" ht="16.2" thickBot="1">
      <c r="A64" s="65"/>
      <c r="B64" s="89" t="s">
        <v>116</v>
      </c>
      <c r="C64" s="65"/>
      <c r="D64" s="65"/>
      <c r="E64" s="65"/>
      <c r="F64" s="65"/>
      <c r="G64" s="65"/>
      <c r="I64" s="65"/>
      <c r="J64" s="65"/>
      <c r="K64" s="244"/>
      <c r="L64" s="65"/>
      <c r="M64" s="65"/>
      <c r="N64" s="65"/>
      <c r="O64" s="65"/>
      <c r="P64" s="65"/>
      <c r="Q64" s="65"/>
    </row>
    <row r="65" spans="1:25" ht="14.4" thickBot="1">
      <c r="A65" s="65"/>
      <c r="B65" s="88"/>
      <c r="C65" s="110"/>
      <c r="D65" s="85"/>
      <c r="E65" s="85"/>
      <c r="F65" s="85"/>
      <c r="G65" s="85"/>
      <c r="H65" s="85"/>
      <c r="I65" s="85"/>
      <c r="J65" s="83"/>
      <c r="K65" s="244"/>
      <c r="L65" s="65"/>
      <c r="M65" s="65"/>
      <c r="N65" s="65"/>
      <c r="O65" s="65"/>
      <c r="P65" s="65"/>
      <c r="Q65" s="65"/>
      <c r="T65" s="322" t="s">
        <v>156</v>
      </c>
    </row>
    <row r="66" spans="1:25">
      <c r="A66" s="65"/>
      <c r="B66" s="109"/>
      <c r="C66" s="108" t="s">
        <v>98</v>
      </c>
      <c r="D66" s="107">
        <v>2015</v>
      </c>
      <c r="E66" s="106">
        <v>2020</v>
      </c>
      <c r="F66" s="106">
        <v>2035</v>
      </c>
      <c r="G66" s="106">
        <v>2050</v>
      </c>
      <c r="H66" s="106"/>
      <c r="I66" s="152"/>
      <c r="J66" s="104"/>
      <c r="K66" s="244"/>
      <c r="L66" s="65"/>
      <c r="M66" s="65"/>
      <c r="N66" s="65"/>
      <c r="O66" s="65"/>
      <c r="P66" s="65"/>
      <c r="Q66" s="65"/>
      <c r="T66" s="335">
        <v>2015</v>
      </c>
      <c r="U66" s="334"/>
      <c r="V66" s="333" t="s">
        <v>29</v>
      </c>
      <c r="W66" s="331" t="s">
        <v>157</v>
      </c>
      <c r="X66" s="331" t="s">
        <v>158</v>
      </c>
    </row>
    <row r="67" spans="1:25">
      <c r="A67" s="65"/>
      <c r="B67" s="78" t="s">
        <v>25</v>
      </c>
      <c r="C67" s="95" t="s">
        <v>151</v>
      </c>
      <c r="D67" s="254">
        <v>1.92</v>
      </c>
      <c r="E67" s="254">
        <v>1.9</v>
      </c>
      <c r="F67" s="254">
        <v>1.87</v>
      </c>
      <c r="G67" s="254">
        <v>1.85</v>
      </c>
      <c r="H67" s="254"/>
      <c r="I67" s="77" t="s">
        <v>643</v>
      </c>
      <c r="J67" s="74"/>
      <c r="K67" s="244"/>
      <c r="L67" s="65"/>
      <c r="M67" s="65"/>
      <c r="N67" s="65"/>
      <c r="O67" s="65"/>
      <c r="P67" s="65"/>
      <c r="Q67" s="65"/>
      <c r="T67" s="78" t="s">
        <v>159</v>
      </c>
      <c r="U67" s="95"/>
      <c r="V67" s="324">
        <f>'EU Bus'!$D38</f>
        <v>1332921.6972839427</v>
      </c>
      <c r="W67" s="324">
        <f>'EU Bus Gas'!$D38</f>
        <v>1504780.4222459821</v>
      </c>
      <c r="X67" s="330">
        <v>900000</v>
      </c>
    </row>
    <row r="68" spans="1:25">
      <c r="A68" s="65"/>
      <c r="B68" s="78" t="s">
        <v>120</v>
      </c>
      <c r="C68" s="95" t="s">
        <v>121</v>
      </c>
      <c r="D68" s="253">
        <v>67000</v>
      </c>
      <c r="E68" s="253">
        <v>67000</v>
      </c>
      <c r="F68" s="253">
        <v>67000</v>
      </c>
      <c r="G68" s="253">
        <v>67000</v>
      </c>
      <c r="H68" s="253"/>
      <c r="I68" s="99" t="s">
        <v>645</v>
      </c>
      <c r="J68" s="119"/>
      <c r="K68" s="244"/>
      <c r="L68" s="65"/>
      <c r="M68" s="65"/>
      <c r="N68" s="65"/>
      <c r="O68" s="65"/>
      <c r="P68" s="65"/>
      <c r="Q68" s="65"/>
      <c r="T68" s="78" t="s">
        <v>120</v>
      </c>
      <c r="U68" s="95" t="s">
        <v>121</v>
      </c>
      <c r="V68" s="329">
        <f>'EU Bus'!$D68</f>
        <v>67000</v>
      </c>
      <c r="W68" s="329">
        <f>'EU Bus Gas'!$D69</f>
        <v>67000</v>
      </c>
      <c r="X68" s="329">
        <f>'EU Bus Hybrid'!$D68</f>
        <v>67000</v>
      </c>
      <c r="Y68" s="268" t="s">
        <v>160</v>
      </c>
    </row>
    <row r="69" spans="1:25">
      <c r="A69" s="65"/>
      <c r="B69" s="78" t="s">
        <v>123</v>
      </c>
      <c r="C69" s="202" t="s">
        <v>36</v>
      </c>
      <c r="D69" s="271">
        <f>120600/D68</f>
        <v>1.8</v>
      </c>
      <c r="E69" s="271">
        <f>120600/E68</f>
        <v>1.8</v>
      </c>
      <c r="F69" s="271">
        <f>120600/F68</f>
        <v>1.8</v>
      </c>
      <c r="G69" s="271">
        <f>120600/G68</f>
        <v>1.8</v>
      </c>
      <c r="H69" s="271"/>
      <c r="I69" s="99" t="s">
        <v>645</v>
      </c>
      <c r="J69" s="339"/>
      <c r="K69" s="244"/>
      <c r="L69" s="65"/>
      <c r="M69" s="65"/>
      <c r="N69" s="65"/>
      <c r="O69" s="65"/>
      <c r="P69" s="65"/>
      <c r="Q69" s="65"/>
      <c r="T69" s="165" t="s">
        <v>161</v>
      </c>
      <c r="U69" s="202" t="s">
        <v>36</v>
      </c>
      <c r="V69" s="328">
        <f>'EU Bus'!$D69</f>
        <v>1.8</v>
      </c>
      <c r="W69" s="328">
        <f>'EU Bus Gas'!$D70</f>
        <v>1.85</v>
      </c>
      <c r="X69" s="328">
        <f>'EU Bus Hybrid'!$D69</f>
        <v>1.71</v>
      </c>
    </row>
    <row r="70" spans="1:25">
      <c r="A70" s="65"/>
      <c r="B70" s="165" t="s">
        <v>162</v>
      </c>
      <c r="C70" s="202" t="s">
        <v>163</v>
      </c>
      <c r="D70" s="266">
        <v>2.2403497813866333</v>
      </c>
      <c r="E70" s="266">
        <v>2.4516746411483252</v>
      </c>
      <c r="F70" s="266">
        <v>2.8809638554216872</v>
      </c>
      <c r="G70" s="266">
        <v>3.2997240110395589</v>
      </c>
      <c r="H70" s="250"/>
      <c r="I70" s="99"/>
      <c r="J70" s="119"/>
      <c r="K70" s="244"/>
      <c r="L70" s="65"/>
      <c r="M70" s="67"/>
      <c r="N70" s="188"/>
      <c r="O70" s="188"/>
      <c r="P70" s="65"/>
      <c r="Q70" s="65"/>
      <c r="T70" s="165" t="s">
        <v>161</v>
      </c>
      <c r="U70" s="202" t="s">
        <v>142</v>
      </c>
      <c r="V70" s="326">
        <f>V69*V68</f>
        <v>120600</v>
      </c>
      <c r="W70" s="326">
        <f>W69*W68</f>
        <v>123950</v>
      </c>
      <c r="X70" s="326">
        <f>X69*X68</f>
        <v>114570</v>
      </c>
    </row>
    <row r="71" spans="1:25">
      <c r="A71" s="65"/>
      <c r="B71" s="165" t="s">
        <v>164</v>
      </c>
      <c r="C71" s="202" t="s">
        <v>26</v>
      </c>
      <c r="D71" s="338">
        <f>D67/D75</f>
        <v>0.1199250468457214</v>
      </c>
      <c r="E71" s="338">
        <f>E67/E75</f>
        <v>0.12987012987012986</v>
      </c>
      <c r="F71" s="338">
        <f>F67/F75</f>
        <v>0.15020080321285142</v>
      </c>
      <c r="G71" s="338">
        <f>G67/G75</f>
        <v>0.17019319227230914</v>
      </c>
      <c r="H71" s="338"/>
      <c r="I71" s="77" t="s">
        <v>643</v>
      </c>
      <c r="J71" s="119"/>
      <c r="K71" s="244"/>
      <c r="L71" s="65"/>
      <c r="M71" s="65"/>
      <c r="N71" s="65"/>
      <c r="O71" s="65"/>
      <c r="P71" s="65"/>
      <c r="Q71" s="65"/>
      <c r="T71" s="165" t="s">
        <v>162</v>
      </c>
      <c r="U71" s="202" t="s">
        <v>163</v>
      </c>
      <c r="V71" s="327">
        <f>'EU Bus'!$D70</f>
        <v>2.2403497813866333</v>
      </c>
      <c r="W71" s="327">
        <f>'EU Bus Gas'!$D71</f>
        <v>2.0713910761154857</v>
      </c>
      <c r="X71" s="327">
        <f>'EU Bus Hybrid'!$D70</f>
        <v>3.2025000000000006</v>
      </c>
    </row>
    <row r="72" spans="1:25" ht="14.4" thickBot="1">
      <c r="A72" s="65"/>
      <c r="B72" s="248"/>
      <c r="C72" s="247"/>
      <c r="D72" s="337"/>
      <c r="E72" s="337"/>
      <c r="F72" s="337"/>
      <c r="G72" s="337"/>
      <c r="H72" s="337"/>
      <c r="I72" s="72"/>
      <c r="J72" s="336"/>
      <c r="K72" s="244"/>
      <c r="L72" s="65"/>
      <c r="M72" s="65"/>
      <c r="N72" s="65"/>
      <c r="O72" s="65"/>
      <c r="P72" s="65"/>
      <c r="Q72" s="65"/>
      <c r="T72" s="165" t="s">
        <v>165</v>
      </c>
      <c r="U72" s="202" t="s">
        <v>166</v>
      </c>
      <c r="V72" s="324" t="e">
        <f>'EU Bus'!#REF!</f>
        <v>#REF!</v>
      </c>
      <c r="W72" s="324" t="e">
        <f>'EU Bus Gas'!#REF!</f>
        <v>#REF!</v>
      </c>
      <c r="X72" s="324" t="e">
        <f>'EU Bus Hybrid'!#REF!</f>
        <v>#REF!</v>
      </c>
    </row>
    <row r="73" spans="1:25" ht="14.4" thickBot="1">
      <c r="A73" s="65"/>
      <c r="B73" s="65"/>
      <c r="C73" s="65"/>
      <c r="D73" s="192"/>
      <c r="E73" s="192"/>
      <c r="F73" s="192"/>
      <c r="G73" s="192"/>
      <c r="H73" s="192"/>
      <c r="I73" s="65"/>
      <c r="J73" s="65"/>
      <c r="K73" s="244"/>
      <c r="L73" s="65"/>
      <c r="M73" s="65"/>
      <c r="N73" s="65"/>
      <c r="O73" s="65"/>
      <c r="P73" s="65"/>
      <c r="Q73" s="65"/>
      <c r="T73" s="248" t="s">
        <v>167</v>
      </c>
      <c r="U73" s="247" t="s">
        <v>168</v>
      </c>
      <c r="V73" s="323">
        <f>'EU Bus'!$D72</f>
        <v>0</v>
      </c>
      <c r="W73" s="323">
        <f>'EU Bus Gas'!$D73</f>
        <v>0</v>
      </c>
      <c r="X73" s="323">
        <f>'EU Bus Hybrid'!$D72</f>
        <v>5</v>
      </c>
    </row>
    <row r="74" spans="1:25" ht="16.2" thickBot="1">
      <c r="A74" s="65"/>
      <c r="B74" s="89" t="s">
        <v>125</v>
      </c>
      <c r="C74" s="65"/>
      <c r="D74" s="65"/>
      <c r="E74" s="65"/>
      <c r="F74" s="65"/>
      <c r="G74" s="65"/>
      <c r="I74" s="65"/>
      <c r="J74" s="65"/>
      <c r="K74" s="244"/>
      <c r="L74" s="65"/>
      <c r="M74" s="65"/>
      <c r="N74" s="65"/>
      <c r="O74" s="65"/>
      <c r="P74" s="65"/>
      <c r="Q74" s="65"/>
    </row>
    <row r="75" spans="1:25" ht="14.4" thickBot="1">
      <c r="A75" s="65"/>
      <c r="B75" s="88" t="s">
        <v>149</v>
      </c>
      <c r="C75" s="85"/>
      <c r="D75" s="182">
        <v>16.010000000000002</v>
      </c>
      <c r="E75" s="182">
        <v>14.63</v>
      </c>
      <c r="F75" s="182">
        <v>12.45</v>
      </c>
      <c r="G75" s="182">
        <v>10.87</v>
      </c>
      <c r="H75" s="182"/>
      <c r="I75" s="85" t="s">
        <v>643</v>
      </c>
      <c r="J75" s="83"/>
      <c r="K75" s="244"/>
      <c r="L75" s="65"/>
      <c r="M75" s="65"/>
      <c r="N75" s="65"/>
      <c r="O75" s="65"/>
      <c r="P75" s="65"/>
      <c r="Q75" s="65"/>
      <c r="T75" s="322" t="s">
        <v>156</v>
      </c>
    </row>
    <row r="76" spans="1:25">
      <c r="A76" s="65"/>
      <c r="B76" s="78"/>
      <c r="C76" s="77"/>
      <c r="D76" s="245"/>
      <c r="E76" s="245"/>
      <c r="F76" s="245"/>
      <c r="G76" s="245"/>
      <c r="H76" s="245"/>
      <c r="I76" s="77"/>
      <c r="J76" s="74"/>
      <c r="K76" s="244"/>
      <c r="L76" s="65"/>
      <c r="M76" s="65"/>
      <c r="N76" s="65"/>
      <c r="O76" s="65"/>
      <c r="P76" s="65"/>
      <c r="Q76" s="65"/>
      <c r="T76" s="335">
        <v>2020</v>
      </c>
      <c r="U76" s="334"/>
      <c r="V76" s="333" t="s">
        <v>29</v>
      </c>
      <c r="W76" s="332" t="s">
        <v>157</v>
      </c>
      <c r="X76" s="331" t="s">
        <v>158</v>
      </c>
    </row>
    <row r="77" spans="1:25">
      <c r="A77" s="65"/>
      <c r="B77" s="78" t="s">
        <v>20</v>
      </c>
      <c r="C77" s="77" t="s">
        <v>27</v>
      </c>
      <c r="D77" s="326"/>
      <c r="E77" s="326"/>
      <c r="F77" s="326"/>
      <c r="G77" s="326"/>
      <c r="H77" s="326"/>
      <c r="I77" s="77"/>
      <c r="J77" s="74"/>
      <c r="K77" s="244"/>
      <c r="L77" s="65"/>
      <c r="M77" s="65"/>
      <c r="N77" s="65"/>
      <c r="O77" s="65"/>
      <c r="P77" s="65"/>
      <c r="Q77" s="65"/>
      <c r="T77" s="78" t="s">
        <v>159</v>
      </c>
      <c r="U77" s="95"/>
      <c r="V77" s="324">
        <f>'EU Bus'!$E38</f>
        <v>1332921.6972839427</v>
      </c>
      <c r="W77" s="324">
        <f>'EU Bus Gas'!$E38</f>
        <v>1504780.4222459821</v>
      </c>
      <c r="X77" s="330">
        <v>900000</v>
      </c>
    </row>
    <row r="78" spans="1:25">
      <c r="A78" s="65"/>
      <c r="B78" s="78" t="s">
        <v>21</v>
      </c>
      <c r="C78" s="77" t="s">
        <v>27</v>
      </c>
      <c r="D78" s="326">
        <f t="shared" ref="D78:G82" si="2">D88/1000*D$75</f>
        <v>5.8423774943749465E-3</v>
      </c>
      <c r="E78" s="326">
        <f t="shared" si="2"/>
        <v>1.9981001068051928E-3</v>
      </c>
      <c r="F78" s="326">
        <f t="shared" si="2"/>
        <v>1.7003654360714044E-3</v>
      </c>
      <c r="G78" s="326">
        <f t="shared" si="2"/>
        <v>1.4845760875579249E-3</v>
      </c>
      <c r="H78" s="326"/>
      <c r="I78" s="77"/>
      <c r="J78" s="74"/>
      <c r="K78" s="244"/>
      <c r="L78" s="65"/>
      <c r="M78" s="65"/>
      <c r="N78" s="65"/>
      <c r="O78" s="65"/>
      <c r="P78" s="65"/>
      <c r="Q78" s="65"/>
      <c r="T78" s="78" t="s">
        <v>120</v>
      </c>
      <c r="U78" s="95" t="s">
        <v>121</v>
      </c>
      <c r="V78" s="329">
        <f>'EU Bus'!$E68</f>
        <v>67000</v>
      </c>
      <c r="W78" s="329">
        <f>'EU Bus Gas'!$E69</f>
        <v>67000</v>
      </c>
      <c r="X78" s="329">
        <f>'EU Bus Hybrid'!$E68</f>
        <v>67000</v>
      </c>
    </row>
    <row r="79" spans="1:25">
      <c r="A79" s="65"/>
      <c r="B79" s="78" t="s">
        <v>22</v>
      </c>
      <c r="C79" s="77" t="s">
        <v>27</v>
      </c>
      <c r="D79" s="326">
        <f t="shared" si="2"/>
        <v>4.615911353725647E-2</v>
      </c>
      <c r="E79" s="326">
        <f t="shared" si="2"/>
        <v>5.5840432766548105E-2</v>
      </c>
      <c r="F79" s="326">
        <f t="shared" si="2"/>
        <v>4.7519712094567589E-2</v>
      </c>
      <c r="G79" s="326">
        <f t="shared" si="2"/>
        <v>4.1489098029554194E-2</v>
      </c>
      <c r="H79" s="326"/>
      <c r="I79" s="77"/>
      <c r="J79" s="74"/>
      <c r="K79" s="244"/>
      <c r="L79" s="65"/>
      <c r="M79" s="65"/>
      <c r="N79" s="65"/>
      <c r="O79" s="65"/>
      <c r="P79" s="65"/>
      <c r="Q79" s="65"/>
      <c r="T79" s="165" t="s">
        <v>161</v>
      </c>
      <c r="U79" s="202" t="s">
        <v>36</v>
      </c>
      <c r="V79" s="328">
        <f>'EU Bus'!$E69</f>
        <v>1.8</v>
      </c>
      <c r="W79" s="328">
        <f>'EU Bus Gas'!$E70</f>
        <v>1.85</v>
      </c>
      <c r="X79" s="328">
        <f>'EU Bus Hybrid'!$E69</f>
        <v>1.71</v>
      </c>
    </row>
    <row r="80" spans="1:25">
      <c r="A80" s="65"/>
      <c r="B80" s="78" t="s">
        <v>23</v>
      </c>
      <c r="C80" s="77" t="s">
        <v>27</v>
      </c>
      <c r="D80" s="326">
        <f t="shared" si="2"/>
        <v>7.498669024598982E-3</v>
      </c>
      <c r="E80" s="326">
        <f t="shared" si="2"/>
        <v>6.8523127938715234E-3</v>
      </c>
      <c r="F80" s="326">
        <f t="shared" si="2"/>
        <v>5.8312572989542349E-3</v>
      </c>
      <c r="G80" s="326">
        <f t="shared" si="2"/>
        <v>5.0912262521793199E-3</v>
      </c>
      <c r="H80" s="326"/>
      <c r="I80" s="77"/>
      <c r="J80" s="119"/>
      <c r="K80" s="269"/>
      <c r="L80" s="65"/>
      <c r="M80" s="65"/>
      <c r="N80" s="65"/>
      <c r="O80" s="65"/>
      <c r="P80" s="65"/>
      <c r="Q80" s="65"/>
      <c r="T80" s="165" t="s">
        <v>161</v>
      </c>
      <c r="U80" s="202" t="s">
        <v>142</v>
      </c>
      <c r="V80" s="326">
        <f>V79*V78</f>
        <v>120600</v>
      </c>
      <c r="W80" s="326">
        <f>W79*W78</f>
        <v>123950</v>
      </c>
      <c r="X80" s="326">
        <f>X79*X78</f>
        <v>114570</v>
      </c>
    </row>
    <row r="81" spans="1:24">
      <c r="A81" s="65"/>
      <c r="B81" s="165" t="s">
        <v>37</v>
      </c>
      <c r="C81" s="77" t="s">
        <v>27</v>
      </c>
      <c r="D81" s="326">
        <f t="shared" si="2"/>
        <v>6.7435308412867698</v>
      </c>
      <c r="E81" s="326">
        <f t="shared" si="2"/>
        <v>0.62782579757685264</v>
      </c>
      <c r="F81" s="326">
        <f t="shared" si="2"/>
        <v>0.53427417497141583</v>
      </c>
      <c r="G81" s="326">
        <f t="shared" si="2"/>
        <v>0.46647070537664981</v>
      </c>
      <c r="H81" s="326"/>
      <c r="I81" s="77"/>
      <c r="J81" s="119"/>
      <c r="K81" s="244"/>
      <c r="L81" s="65"/>
      <c r="M81" s="65"/>
      <c r="N81" s="65"/>
      <c r="O81" s="65"/>
      <c r="P81" s="65"/>
      <c r="Q81" s="65"/>
      <c r="T81" s="165" t="s">
        <v>162</v>
      </c>
      <c r="U81" s="202" t="s">
        <v>163</v>
      </c>
      <c r="V81" s="327">
        <f>'EU Bus'!$E70</f>
        <v>2.4516746411483252</v>
      </c>
      <c r="W81" s="327">
        <f>'EU Bus Gas'!$E71</f>
        <v>2.3699699699699703</v>
      </c>
      <c r="X81" s="327">
        <f>'EU Bus Hybrid'!$E70</f>
        <v>3.5058947368421056</v>
      </c>
    </row>
    <row r="82" spans="1:24">
      <c r="A82" s="65"/>
      <c r="B82" s="78" t="s">
        <v>24</v>
      </c>
      <c r="C82" s="77" t="s">
        <v>27</v>
      </c>
      <c r="D82" s="326">
        <f t="shared" si="2"/>
        <v>5.262323725891823E-2</v>
      </c>
      <c r="E82" s="326">
        <f t="shared" si="2"/>
        <v>7.1918638531181418E-3</v>
      </c>
      <c r="F82" s="326">
        <f t="shared" si="2"/>
        <v>6.1202122331729912E-3</v>
      </c>
      <c r="G82" s="326">
        <f t="shared" si="2"/>
        <v>5.343510600368708E-3</v>
      </c>
      <c r="H82" s="326"/>
      <c r="I82" s="77"/>
      <c r="J82" s="119"/>
      <c r="K82" s="269"/>
      <c r="L82" s="65"/>
      <c r="M82" s="65"/>
      <c r="N82" s="65"/>
      <c r="O82" s="65"/>
      <c r="P82" s="65"/>
      <c r="Q82" s="65"/>
      <c r="T82" s="165" t="s">
        <v>164</v>
      </c>
      <c r="U82" s="202" t="s">
        <v>26</v>
      </c>
      <c r="V82" s="325">
        <f>'EU Bus'!$E71</f>
        <v>0.12987012987012986</v>
      </c>
      <c r="W82" s="325">
        <f>'EU Bus Gas'!$E72</f>
        <v>0.11411411411411412</v>
      </c>
      <c r="X82" s="325">
        <f>'EU Bus Hybrid'!$E71</f>
        <v>0.18571428571428572</v>
      </c>
    </row>
    <row r="83" spans="1:24" ht="14.4" thickBot="1">
      <c r="A83" s="65"/>
      <c r="B83" s="73"/>
      <c r="C83" s="72"/>
      <c r="D83" s="242"/>
      <c r="E83" s="242"/>
      <c r="F83" s="242"/>
      <c r="G83" s="242"/>
      <c r="H83" s="242"/>
      <c r="I83" s="72"/>
      <c r="J83" s="90"/>
      <c r="K83" s="65"/>
      <c r="L83" s="65"/>
      <c r="M83" s="65"/>
      <c r="N83" s="65"/>
      <c r="O83" s="65"/>
      <c r="P83" s="65"/>
      <c r="Q83" s="65"/>
      <c r="T83" s="165" t="s">
        <v>169</v>
      </c>
      <c r="U83" s="202" t="s">
        <v>170</v>
      </c>
      <c r="V83" s="324" t="e">
        <f>'EU Bus'!#REF!</f>
        <v>#REF!</v>
      </c>
      <c r="W83" s="324" t="e">
        <f>'EU Bus Gas'!#REF!</f>
        <v>#REF!</v>
      </c>
      <c r="X83" s="324" t="e">
        <f>'EU Bus Hybrid'!#REF!</f>
        <v>#REF!</v>
      </c>
    </row>
    <row r="84" spans="1:24">
      <c r="A84" s="65"/>
      <c r="B84" s="65"/>
      <c r="C84" s="65"/>
      <c r="D84" s="65"/>
      <c r="E84" s="65"/>
      <c r="F84" s="65"/>
      <c r="G84" s="65"/>
      <c r="I84" s="65"/>
      <c r="J84" s="65"/>
      <c r="K84" s="65"/>
      <c r="L84" s="65"/>
      <c r="M84" s="65"/>
      <c r="N84" s="65"/>
      <c r="O84" s="65"/>
      <c r="P84" s="65"/>
      <c r="Q84" s="65"/>
      <c r="T84" s="165" t="s">
        <v>165</v>
      </c>
      <c r="U84" s="202" t="s">
        <v>166</v>
      </c>
      <c r="V84" s="324" t="e">
        <f>'EU Bus'!#REF!</f>
        <v>#REF!</v>
      </c>
      <c r="W84" s="324" t="e">
        <f>'EU Bus Gas'!#REF!</f>
        <v>#REF!</v>
      </c>
      <c r="X84" s="324" t="e">
        <f>'EU Bus Hybrid'!#REF!</f>
        <v>#REF!</v>
      </c>
    </row>
    <row r="85" spans="1:24" ht="14.4" thickBot="1">
      <c r="A85" s="65"/>
      <c r="B85" s="154" t="s">
        <v>171</v>
      </c>
      <c r="C85" s="65"/>
      <c r="D85" s="65"/>
      <c r="E85" s="65"/>
      <c r="F85" s="65"/>
      <c r="G85" s="65"/>
      <c r="I85" s="65"/>
      <c r="J85" s="65"/>
      <c r="K85" s="65"/>
      <c r="L85" s="65"/>
      <c r="M85" s="65"/>
      <c r="N85" s="65"/>
      <c r="O85" s="65"/>
      <c r="P85" s="65"/>
      <c r="Q85" s="65"/>
      <c r="T85" s="248" t="s">
        <v>167</v>
      </c>
      <c r="U85" s="247" t="s">
        <v>168</v>
      </c>
      <c r="V85" s="323">
        <f>'EU Bus'!$E72</f>
        <v>0</v>
      </c>
      <c r="W85" s="323">
        <f>'EU Bus Gas'!$E73</f>
        <v>0</v>
      </c>
      <c r="X85" s="323">
        <f>'EU Bus Hybrid'!$E72</f>
        <v>5</v>
      </c>
    </row>
    <row r="86" spans="1:24">
      <c r="A86" s="65"/>
      <c r="B86" s="88"/>
      <c r="C86" s="85"/>
      <c r="D86" s="241">
        <v>2015</v>
      </c>
      <c r="E86" s="241">
        <v>2020</v>
      </c>
      <c r="F86" s="241">
        <v>2035</v>
      </c>
      <c r="G86" s="241">
        <v>2050</v>
      </c>
      <c r="H86" s="241"/>
      <c r="I86" s="65"/>
      <c r="J86" s="65"/>
      <c r="K86" s="65"/>
      <c r="L86" s="65"/>
      <c r="M86" s="65"/>
      <c r="N86" s="65"/>
      <c r="O86" s="65"/>
      <c r="P86" s="65"/>
      <c r="Q86" s="65"/>
    </row>
    <row r="87" spans="1:24">
      <c r="A87" s="65"/>
      <c r="B87" s="240" t="s">
        <v>20</v>
      </c>
      <c r="C87" s="135" t="s">
        <v>172</v>
      </c>
      <c r="D87" s="238"/>
      <c r="E87" s="238"/>
      <c r="F87" s="238"/>
      <c r="G87" s="238"/>
      <c r="H87" s="238"/>
      <c r="I87" s="65"/>
      <c r="J87" s="65"/>
      <c r="K87" s="65"/>
      <c r="L87" s="65"/>
      <c r="M87" s="65"/>
      <c r="N87" s="65"/>
      <c r="O87" s="65"/>
      <c r="P87" s="65"/>
      <c r="Q87" s="65"/>
      <c r="T87" s="322"/>
    </row>
    <row r="88" spans="1:24">
      <c r="A88" s="65"/>
      <c r="B88" s="240" t="s">
        <v>21</v>
      </c>
      <c r="C88" s="77" t="s">
        <v>172</v>
      </c>
      <c r="D88" s="239">
        <f>'EU Bus'!D106</f>
        <v>0.36492051807463749</v>
      </c>
      <c r="E88" s="239">
        <f>'EU Bus'!E106</f>
        <v>0.13657553703384775</v>
      </c>
      <c r="F88" s="239">
        <f>'EU Bus'!F106</f>
        <v>0.13657553703384775</v>
      </c>
      <c r="G88" s="239">
        <f>F88</f>
        <v>0.13657553703384775</v>
      </c>
      <c r="H88" s="239"/>
      <c r="I88" s="65"/>
      <c r="J88" s="65"/>
      <c r="K88" s="65"/>
      <c r="L88" s="65"/>
      <c r="M88" s="65"/>
      <c r="N88" s="65"/>
      <c r="O88" s="65"/>
      <c r="P88" s="65"/>
      <c r="Q88" s="65"/>
      <c r="T88" s="268"/>
    </row>
    <row r="89" spans="1:24">
      <c r="A89" s="65"/>
      <c r="B89" s="240" t="s">
        <v>22</v>
      </c>
      <c r="C89" s="77" t="s">
        <v>172</v>
      </c>
      <c r="D89" s="239">
        <f>'EU Bus'!D107</f>
        <v>2.8831426319335707</v>
      </c>
      <c r="E89" s="239">
        <f>'EU Bus'!E107</f>
        <v>3.8168443449451881</v>
      </c>
      <c r="F89" s="239">
        <f>'EU Bus'!F107</f>
        <v>3.8168443449451881</v>
      </c>
      <c r="G89" s="239">
        <f>F89</f>
        <v>3.8168443449451881</v>
      </c>
      <c r="H89" s="239"/>
      <c r="I89" s="65"/>
      <c r="J89" s="65"/>
      <c r="K89" s="65"/>
      <c r="L89" s="65"/>
      <c r="M89" s="65"/>
      <c r="N89" s="65"/>
      <c r="O89" s="65"/>
      <c r="P89" s="65"/>
      <c r="Q89" s="65"/>
      <c r="T89" s="268"/>
    </row>
    <row r="90" spans="1:24">
      <c r="A90" s="65"/>
      <c r="B90" s="240" t="s">
        <v>23</v>
      </c>
      <c r="C90" s="77" t="s">
        <v>172</v>
      </c>
      <c r="D90" s="239">
        <f>'EU Bus'!D108</f>
        <v>0.46837408023728805</v>
      </c>
      <c r="E90" s="239">
        <f>'EU Bus'!E108</f>
        <v>0.46837408023728799</v>
      </c>
      <c r="F90" s="239">
        <f>'EU Bus'!F108</f>
        <v>0.46837408023728799</v>
      </c>
      <c r="G90" s="239">
        <f>F90</f>
        <v>0.46837408023728799</v>
      </c>
      <c r="H90" s="239"/>
      <c r="I90" s="65"/>
      <c r="J90" s="65"/>
      <c r="K90" s="65"/>
      <c r="L90" s="65"/>
      <c r="M90" s="65"/>
      <c r="N90" s="65"/>
      <c r="O90" s="65"/>
      <c r="P90" s="65"/>
      <c r="Q90" s="65"/>
      <c r="T90" s="268"/>
    </row>
    <row r="91" spans="1:24">
      <c r="A91" s="65"/>
      <c r="B91" s="133" t="s">
        <v>37</v>
      </c>
      <c r="C91" s="77" t="s">
        <v>172</v>
      </c>
      <c r="D91" s="238">
        <f>'EU Bus'!D109</f>
        <v>421.20742294108487</v>
      </c>
      <c r="E91" s="238">
        <f>'EU Bus'!E109</f>
        <v>42.913588351117738</v>
      </c>
      <c r="F91" s="238">
        <f>'EU Bus'!F109</f>
        <v>42.913588351117738</v>
      </c>
      <c r="G91" s="238">
        <f>F91</f>
        <v>42.913588351117738</v>
      </c>
      <c r="H91" s="238"/>
      <c r="I91" s="65"/>
      <c r="J91" s="65"/>
      <c r="K91" s="65"/>
      <c r="L91" s="65"/>
      <c r="M91" s="65"/>
      <c r="N91" s="65"/>
      <c r="O91" s="65"/>
      <c r="P91" s="65"/>
      <c r="Q91" s="65"/>
      <c r="T91" s="268"/>
    </row>
    <row r="92" spans="1:24" ht="14.4" thickBot="1">
      <c r="A92" s="65"/>
      <c r="B92" s="237" t="s">
        <v>24</v>
      </c>
      <c r="C92" s="72" t="s">
        <v>172</v>
      </c>
      <c r="D92" s="236">
        <f>'EU Bus'!D110</f>
        <v>3.2868980174215006</v>
      </c>
      <c r="E92" s="236">
        <f>'EU Bus'!E110</f>
        <v>0.49158331190144505</v>
      </c>
      <c r="F92" s="236">
        <f>'EU Bus'!F110</f>
        <v>0.49158331190144505</v>
      </c>
      <c r="G92" s="236">
        <f>F92</f>
        <v>0.49158331190144505</v>
      </c>
      <c r="H92" s="236"/>
      <c r="I92" s="65"/>
      <c r="J92" s="65"/>
      <c r="K92" s="65"/>
      <c r="L92" s="65"/>
      <c r="M92" s="65"/>
      <c r="N92" s="65"/>
      <c r="O92" s="65"/>
      <c r="P92" s="65"/>
      <c r="Q92" s="65"/>
      <c r="T92" s="268"/>
    </row>
    <row r="93" spans="1:24">
      <c r="A93" s="65"/>
      <c r="B93" s="65"/>
      <c r="C93" s="65"/>
      <c r="D93" s="65"/>
      <c r="E93" s="65"/>
      <c r="F93" s="65"/>
      <c r="G93" s="65"/>
      <c r="I93" s="65"/>
      <c r="J93" s="65"/>
      <c r="K93" s="65"/>
      <c r="L93" s="65"/>
      <c r="M93" s="65"/>
      <c r="N93" s="65"/>
      <c r="O93" s="65"/>
      <c r="P93" s="65"/>
      <c r="Q93" s="65"/>
      <c r="T93" s="268"/>
    </row>
    <row r="94" spans="1:24">
      <c r="A94" s="65"/>
      <c r="B94" s="306"/>
      <c r="C94" s="306"/>
      <c r="D94" s="306"/>
      <c r="E94" s="306"/>
      <c r="F94" s="306"/>
      <c r="G94" s="65"/>
      <c r="I94" s="65"/>
      <c r="J94" s="65"/>
      <c r="K94" s="65"/>
      <c r="L94" s="65"/>
      <c r="M94" s="65"/>
      <c r="N94" s="65"/>
      <c r="O94" s="65"/>
      <c r="P94" s="65"/>
      <c r="Q94" s="65"/>
    </row>
    <row r="95" spans="1:24">
      <c r="A95" s="65"/>
      <c r="B95" s="321" t="s">
        <v>295</v>
      </c>
      <c r="C95" s="306"/>
      <c r="D95" s="306"/>
      <c r="E95" s="306"/>
      <c r="F95" s="306"/>
      <c r="G95" s="65"/>
      <c r="H95" s="68"/>
      <c r="I95" s="65"/>
      <c r="J95" s="65"/>
      <c r="K95" s="65"/>
      <c r="L95" s="65"/>
      <c r="M95" s="65"/>
      <c r="N95" s="65"/>
      <c r="O95" s="65"/>
      <c r="P95" s="65"/>
      <c r="Q95" s="65"/>
    </row>
    <row r="96" spans="1:24">
      <c r="A96" s="65"/>
      <c r="B96" s="318"/>
      <c r="C96" s="318"/>
      <c r="D96" s="320">
        <v>2015</v>
      </c>
      <c r="E96" s="320">
        <v>2020</v>
      </c>
      <c r="F96" s="320">
        <v>2035</v>
      </c>
      <c r="G96" s="65"/>
      <c r="H96" s="68"/>
      <c r="I96" s="65"/>
      <c r="J96" s="65"/>
      <c r="K96" s="65"/>
      <c r="L96" s="65"/>
      <c r="M96" s="65"/>
      <c r="N96" s="65"/>
      <c r="O96" s="65"/>
      <c r="P96" s="65"/>
      <c r="Q96" s="65"/>
    </row>
    <row r="97" spans="1:17">
      <c r="A97" s="65"/>
      <c r="B97" s="309"/>
      <c r="C97" s="309"/>
      <c r="D97" s="319" t="s">
        <v>269</v>
      </c>
      <c r="E97" s="319" t="s">
        <v>239</v>
      </c>
      <c r="F97" s="319" t="s">
        <v>239</v>
      </c>
      <c r="G97" s="65"/>
      <c r="H97" s="68"/>
      <c r="I97" s="65"/>
      <c r="J97" s="65"/>
      <c r="K97" s="65"/>
      <c r="L97" s="65"/>
      <c r="M97" s="65"/>
      <c r="N97" s="65"/>
      <c r="O97" s="65"/>
      <c r="P97" s="65"/>
      <c r="Q97" s="65"/>
    </row>
    <row r="98" spans="1:17">
      <c r="A98" s="65"/>
      <c r="B98" s="318" t="s">
        <v>268</v>
      </c>
      <c r="C98" s="318" t="s">
        <v>151</v>
      </c>
      <c r="D98" s="317">
        <v>10.405312476643097</v>
      </c>
      <c r="E98" s="317">
        <v>7.8598961049407992</v>
      </c>
      <c r="F98" s="317">
        <v>7.8598961049407992</v>
      </c>
      <c r="G98" s="65"/>
      <c r="H98" s="68"/>
      <c r="I98" s="65"/>
      <c r="J98" s="65"/>
      <c r="K98" s="65"/>
      <c r="L98" s="65"/>
      <c r="M98" s="65"/>
      <c r="N98" s="65"/>
      <c r="O98" s="65"/>
      <c r="P98" s="65"/>
      <c r="Q98" s="65"/>
    </row>
    <row r="99" spans="1:17">
      <c r="A99" s="65"/>
      <c r="B99" s="311" t="s">
        <v>20</v>
      </c>
      <c r="C99" s="311" t="s">
        <v>27</v>
      </c>
      <c r="D99" s="316">
        <v>769.99312327158918</v>
      </c>
      <c r="E99" s="316">
        <v>581.63231176561919</v>
      </c>
      <c r="F99" s="316">
        <v>581.63231176561919</v>
      </c>
      <c r="G99" s="65"/>
      <c r="H99" s="68"/>
      <c r="I99" s="65"/>
      <c r="J99" s="65"/>
      <c r="K99" s="65"/>
      <c r="L99" s="65"/>
      <c r="M99" s="65"/>
      <c r="N99" s="65"/>
      <c r="O99" s="65"/>
      <c r="P99" s="65"/>
      <c r="Q99" s="65"/>
    </row>
    <row r="100" spans="1:17">
      <c r="A100" s="65"/>
      <c r="B100" s="311" t="s">
        <v>21</v>
      </c>
      <c r="C100" s="311" t="s">
        <v>27</v>
      </c>
      <c r="D100" s="315">
        <v>3.7971120197050883E-3</v>
      </c>
      <c r="E100" s="315">
        <v>1.0734695315625378E-3</v>
      </c>
      <c r="F100" s="315">
        <v>1.0734695315625378E-3</v>
      </c>
      <c r="G100" s="65"/>
      <c r="I100" s="65"/>
      <c r="J100" s="65"/>
      <c r="K100" s="65"/>
      <c r="L100" s="65"/>
      <c r="M100" s="65"/>
      <c r="N100" s="65"/>
      <c r="O100" s="65"/>
      <c r="P100" s="65"/>
      <c r="Q100" s="65"/>
    </row>
    <row r="101" spans="1:17">
      <c r="A101" s="65"/>
      <c r="B101" s="311" t="s">
        <v>22</v>
      </c>
      <c r="C101" s="311" t="s">
        <v>27</v>
      </c>
      <c r="D101" s="315">
        <v>0.03</v>
      </c>
      <c r="E101" s="315">
        <v>0.03</v>
      </c>
      <c r="F101" s="315">
        <v>0.03</v>
      </c>
      <c r="G101" s="65"/>
      <c r="I101" s="65"/>
      <c r="J101" s="65"/>
      <c r="K101" s="65"/>
      <c r="L101" s="65"/>
      <c r="M101" s="65"/>
      <c r="N101" s="65"/>
      <c r="O101" s="65"/>
      <c r="P101" s="65"/>
      <c r="Q101" s="65"/>
    </row>
    <row r="102" spans="1:17">
      <c r="A102" s="65"/>
      <c r="B102" s="311" t="s">
        <v>23</v>
      </c>
      <c r="C102" s="311" t="s">
        <v>27</v>
      </c>
      <c r="D102" s="315">
        <v>4.8735786608292879E-3</v>
      </c>
      <c r="E102" s="315">
        <v>3.6813716089122896E-3</v>
      </c>
      <c r="F102" s="315">
        <v>3.6813716089122896E-3</v>
      </c>
      <c r="G102" s="65"/>
      <c r="I102" s="65"/>
      <c r="J102" s="65"/>
      <c r="K102" s="65"/>
      <c r="L102" s="65"/>
      <c r="M102" s="65"/>
      <c r="N102" s="65"/>
      <c r="O102" s="65"/>
      <c r="P102" s="65"/>
      <c r="Q102" s="65"/>
    </row>
    <row r="103" spans="1:17">
      <c r="A103" s="65"/>
      <c r="B103" s="311" t="s">
        <v>37</v>
      </c>
      <c r="C103" s="311" t="s">
        <v>27</v>
      </c>
      <c r="D103" s="315">
        <v>4.3827948531835563</v>
      </c>
      <c r="E103" s="315">
        <v>0.33729634592998314</v>
      </c>
      <c r="F103" s="315">
        <v>0.33729634592998314</v>
      </c>
      <c r="G103" s="65"/>
      <c r="I103" s="65"/>
      <c r="J103" s="65"/>
      <c r="K103" s="65"/>
      <c r="L103" s="65"/>
      <c r="M103" s="65"/>
      <c r="N103" s="65"/>
      <c r="O103" s="65"/>
      <c r="P103" s="65"/>
      <c r="Q103" s="65"/>
    </row>
    <row r="104" spans="1:17">
      <c r="A104" s="65"/>
      <c r="B104" s="309" t="s">
        <v>267</v>
      </c>
      <c r="C104" s="309" t="s">
        <v>27</v>
      </c>
      <c r="D104" s="314">
        <v>3.42012009501294E-2</v>
      </c>
      <c r="E104" s="314">
        <v>3.863793758468066E-3</v>
      </c>
      <c r="F104" s="314">
        <v>3.863793758468066E-3</v>
      </c>
      <c r="G104" s="65"/>
      <c r="I104" s="65"/>
      <c r="J104" s="65"/>
      <c r="K104" s="65"/>
      <c r="L104" s="65"/>
      <c r="M104" s="65"/>
      <c r="N104" s="65"/>
      <c r="O104" s="65"/>
      <c r="P104" s="65"/>
      <c r="Q104" s="65"/>
    </row>
    <row r="105" spans="1:17">
      <c r="A105" s="65"/>
      <c r="B105" s="311" t="s">
        <v>20</v>
      </c>
      <c r="C105" s="311" t="s">
        <v>172</v>
      </c>
      <c r="D105" s="313">
        <f t="shared" ref="D105:F110" si="3">1000*D99/D$98</f>
        <v>74000</v>
      </c>
      <c r="E105" s="313">
        <f t="shared" si="3"/>
        <v>74000.000000000015</v>
      </c>
      <c r="F105" s="313">
        <f t="shared" si="3"/>
        <v>74000.000000000015</v>
      </c>
      <c r="G105" s="65"/>
      <c r="I105" s="65"/>
      <c r="J105" s="65"/>
      <c r="K105" s="65"/>
      <c r="L105" s="65"/>
      <c r="M105" s="65"/>
      <c r="N105" s="65"/>
      <c r="O105" s="65"/>
      <c r="P105" s="65"/>
      <c r="Q105" s="65"/>
    </row>
    <row r="106" spans="1:17">
      <c r="A106" s="65"/>
      <c r="B106" s="311" t="s">
        <v>21</v>
      </c>
      <c r="C106" s="311" t="s">
        <v>172</v>
      </c>
      <c r="D106" s="312">
        <f t="shared" si="3"/>
        <v>0.36492051807463749</v>
      </c>
      <c r="E106" s="312">
        <f t="shared" si="3"/>
        <v>0.13657553703384775</v>
      </c>
      <c r="F106" s="312">
        <f t="shared" si="3"/>
        <v>0.13657553703384775</v>
      </c>
      <c r="G106" s="65"/>
      <c r="I106" s="65"/>
      <c r="J106" s="65"/>
      <c r="K106" s="65"/>
      <c r="L106" s="65"/>
      <c r="M106" s="65"/>
      <c r="N106" s="65"/>
      <c r="O106" s="65"/>
      <c r="P106" s="65"/>
      <c r="Q106" s="65"/>
    </row>
    <row r="107" spans="1:17">
      <c r="A107" s="65"/>
      <c r="B107" s="311" t="s">
        <v>22</v>
      </c>
      <c r="C107" s="311" t="s">
        <v>172</v>
      </c>
      <c r="D107" s="312">
        <f t="shared" si="3"/>
        <v>2.8831426319335707</v>
      </c>
      <c r="E107" s="312">
        <f t="shared" si="3"/>
        <v>3.8168443449451881</v>
      </c>
      <c r="F107" s="312">
        <f t="shared" si="3"/>
        <v>3.8168443449451881</v>
      </c>
      <c r="G107" s="65"/>
      <c r="I107" s="65"/>
      <c r="J107" s="65"/>
      <c r="K107" s="65"/>
      <c r="L107" s="65"/>
      <c r="M107" s="65"/>
      <c r="N107" s="65"/>
      <c r="O107" s="65"/>
      <c r="P107" s="65"/>
      <c r="Q107" s="65"/>
    </row>
    <row r="108" spans="1:17">
      <c r="A108" s="65"/>
      <c r="B108" s="311" t="s">
        <v>23</v>
      </c>
      <c r="C108" s="311" t="s">
        <v>172</v>
      </c>
      <c r="D108" s="312">
        <f t="shared" si="3"/>
        <v>0.46837408023728805</v>
      </c>
      <c r="E108" s="312">
        <f t="shared" si="3"/>
        <v>0.46837408023728799</v>
      </c>
      <c r="F108" s="312">
        <f t="shared" si="3"/>
        <v>0.46837408023728799</v>
      </c>
      <c r="G108" s="65"/>
      <c r="I108" s="65"/>
      <c r="J108" s="65"/>
      <c r="K108" s="65"/>
      <c r="L108" s="65"/>
      <c r="M108" s="65"/>
      <c r="N108" s="65"/>
      <c r="O108" s="65"/>
      <c r="P108" s="65"/>
      <c r="Q108" s="65"/>
    </row>
    <row r="109" spans="1:17">
      <c r="A109" s="65"/>
      <c r="B109" s="311" t="s">
        <v>37</v>
      </c>
      <c r="C109" s="311" t="s">
        <v>172</v>
      </c>
      <c r="D109" s="310">
        <f t="shared" si="3"/>
        <v>421.20742294108487</v>
      </c>
      <c r="E109" s="310">
        <f t="shared" si="3"/>
        <v>42.913588351117738</v>
      </c>
      <c r="F109" s="310">
        <f t="shared" si="3"/>
        <v>42.913588351117738</v>
      </c>
      <c r="G109" s="65"/>
      <c r="I109" s="65"/>
      <c r="J109" s="65"/>
      <c r="K109" s="65"/>
      <c r="L109" s="65"/>
      <c r="M109" s="65"/>
      <c r="N109" s="65"/>
      <c r="O109" s="65"/>
      <c r="P109" s="65"/>
      <c r="Q109" s="65"/>
    </row>
    <row r="110" spans="1:17">
      <c r="A110" s="65"/>
      <c r="B110" s="309" t="s">
        <v>267</v>
      </c>
      <c r="C110" s="309" t="s">
        <v>172</v>
      </c>
      <c r="D110" s="308">
        <f t="shared" si="3"/>
        <v>3.2868980174215006</v>
      </c>
      <c r="E110" s="308">
        <f t="shared" si="3"/>
        <v>0.49158331190144505</v>
      </c>
      <c r="F110" s="308">
        <f t="shared" si="3"/>
        <v>0.49158331190144505</v>
      </c>
      <c r="G110" s="65"/>
      <c r="I110" s="65"/>
      <c r="J110" s="65"/>
      <c r="K110" s="65"/>
      <c r="L110" s="65"/>
      <c r="M110" s="65"/>
      <c r="N110" s="65"/>
      <c r="O110" s="65"/>
      <c r="P110" s="65"/>
      <c r="Q110" s="65"/>
    </row>
    <row r="111" spans="1:17">
      <c r="A111" s="65"/>
      <c r="B111" s="307" t="s">
        <v>266</v>
      </c>
      <c r="C111" s="306"/>
      <c r="D111" s="306"/>
      <c r="E111" s="306"/>
      <c r="F111" s="306"/>
      <c r="G111" s="65"/>
      <c r="I111" s="65"/>
      <c r="J111" s="65"/>
      <c r="K111" s="65"/>
      <c r="L111" s="65"/>
      <c r="M111" s="65"/>
      <c r="N111" s="65"/>
      <c r="O111" s="65"/>
      <c r="P111" s="65"/>
      <c r="Q111" s="65"/>
    </row>
    <row r="112" spans="1:17">
      <c r="A112" s="65"/>
      <c r="B112" s="65"/>
      <c r="C112" s="65"/>
      <c r="D112" s="65"/>
      <c r="E112" s="65"/>
      <c r="F112" s="65"/>
      <c r="G112" s="65"/>
      <c r="I112" s="65"/>
      <c r="J112" s="65"/>
      <c r="K112" s="65"/>
      <c r="L112" s="65"/>
      <c r="M112" s="65"/>
      <c r="N112" s="65"/>
      <c r="O112" s="65"/>
      <c r="P112" s="65"/>
      <c r="Q112" s="65"/>
    </row>
    <row r="113" spans="1:17">
      <c r="A113" s="65"/>
      <c r="B113" s="65"/>
      <c r="C113" s="65"/>
      <c r="D113" s="65"/>
      <c r="E113" s="65"/>
      <c r="F113" s="65"/>
      <c r="G113" s="65"/>
      <c r="I113" s="65"/>
      <c r="J113" s="65"/>
      <c r="K113" s="65"/>
      <c r="L113" s="65"/>
      <c r="M113" s="65"/>
      <c r="N113" s="65"/>
      <c r="O113" s="65"/>
      <c r="P113" s="65"/>
      <c r="Q113" s="65"/>
    </row>
    <row r="114" spans="1:17">
      <c r="A114" s="65"/>
      <c r="B114" s="65"/>
      <c r="C114" s="65"/>
      <c r="D114" s="65"/>
      <c r="E114" s="65"/>
      <c r="F114" s="65"/>
      <c r="G114" s="65"/>
      <c r="I114" s="65"/>
      <c r="J114" s="65"/>
      <c r="K114" s="65"/>
      <c r="L114" s="65"/>
      <c r="M114" s="65"/>
      <c r="N114" s="65"/>
      <c r="O114" s="65"/>
      <c r="P114" s="65"/>
      <c r="Q114" s="65"/>
    </row>
    <row r="115" spans="1:17">
      <c r="A115" s="65"/>
      <c r="B115" s="65"/>
      <c r="C115" s="65"/>
      <c r="D115" s="65"/>
      <c r="E115" s="65"/>
      <c r="F115" s="65"/>
      <c r="G115" s="65"/>
      <c r="I115" s="65"/>
      <c r="J115" s="65"/>
      <c r="K115" s="65"/>
      <c r="L115" s="65"/>
      <c r="M115" s="65"/>
      <c r="N115" s="65"/>
      <c r="O115" s="65"/>
      <c r="P115" s="65"/>
      <c r="Q115" s="65"/>
    </row>
    <row r="116" spans="1:17">
      <c r="A116" s="65"/>
      <c r="B116" s="65"/>
      <c r="C116" s="65"/>
      <c r="D116" s="65"/>
      <c r="E116" s="65"/>
      <c r="F116" s="65"/>
      <c r="G116" s="65"/>
      <c r="I116" s="65"/>
      <c r="J116" s="65"/>
      <c r="K116" s="65"/>
      <c r="L116" s="65"/>
      <c r="M116" s="65"/>
      <c r="N116" s="65"/>
      <c r="O116" s="65"/>
      <c r="P116" s="65"/>
      <c r="Q116" s="65"/>
    </row>
    <row r="117" spans="1:17">
      <c r="A117" s="65"/>
      <c r="B117" s="65"/>
      <c r="C117" s="65"/>
      <c r="D117" s="65"/>
      <c r="E117" s="65"/>
      <c r="F117" s="65"/>
      <c r="G117" s="65"/>
      <c r="I117" s="65"/>
      <c r="J117" s="65"/>
      <c r="K117" s="65"/>
      <c r="L117" s="65"/>
      <c r="M117" s="65"/>
      <c r="N117" s="65"/>
      <c r="O117" s="65"/>
      <c r="P117" s="65"/>
      <c r="Q117" s="65"/>
    </row>
    <row r="118" spans="1:17">
      <c r="A118" s="65"/>
      <c r="B118" s="65"/>
      <c r="C118" s="65"/>
      <c r="D118" s="65"/>
      <c r="E118" s="65"/>
      <c r="F118" s="65"/>
      <c r="G118" s="65"/>
      <c r="I118" s="65"/>
      <c r="J118" s="65"/>
      <c r="K118" s="65"/>
      <c r="L118" s="65"/>
      <c r="M118" s="65"/>
      <c r="N118" s="65"/>
      <c r="O118" s="65"/>
      <c r="P118" s="65"/>
      <c r="Q118" s="65"/>
    </row>
    <row r="119" spans="1:17">
      <c r="A119" s="65"/>
      <c r="B119" s="65"/>
      <c r="C119" s="65"/>
      <c r="D119" s="65"/>
      <c r="E119" s="65"/>
      <c r="F119" s="65"/>
      <c r="G119" s="65"/>
      <c r="I119" s="65"/>
      <c r="J119" s="65"/>
      <c r="K119" s="65"/>
      <c r="L119" s="65"/>
      <c r="M119" s="65"/>
      <c r="N119" s="65"/>
      <c r="O119" s="65"/>
      <c r="P119" s="65"/>
      <c r="Q119" s="65"/>
    </row>
    <row r="120" spans="1:17">
      <c r="A120" s="65"/>
      <c r="B120" s="65"/>
      <c r="C120" s="65"/>
      <c r="D120" s="65"/>
      <c r="E120" s="65"/>
      <c r="F120" s="65"/>
      <c r="G120" s="65"/>
      <c r="I120" s="65"/>
      <c r="J120" s="65"/>
      <c r="K120" s="65"/>
      <c r="L120" s="65"/>
      <c r="M120" s="65"/>
      <c r="N120" s="65"/>
      <c r="O120" s="65"/>
      <c r="P120" s="65"/>
      <c r="Q120" s="65"/>
    </row>
    <row r="121" spans="1:17">
      <c r="A121" s="65"/>
      <c r="B121" s="65"/>
      <c r="C121" s="65"/>
      <c r="D121" s="65"/>
      <c r="E121" s="65"/>
      <c r="F121" s="65"/>
      <c r="G121" s="65"/>
      <c r="I121" s="65"/>
      <c r="J121" s="65"/>
      <c r="K121" s="65"/>
      <c r="L121" s="65"/>
      <c r="M121" s="65"/>
      <c r="N121" s="65"/>
      <c r="O121" s="65"/>
      <c r="P121" s="65"/>
      <c r="Q121" s="65"/>
    </row>
    <row r="122" spans="1:17">
      <c r="B122" s="65"/>
      <c r="C122" s="65"/>
      <c r="D122" s="65"/>
      <c r="E122"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tabColor rgb="FF002060"/>
  </sheetPr>
  <dimension ref="A1:S123"/>
  <sheetViews>
    <sheetView zoomScale="80" zoomScaleNormal="80" workbookViewId="0">
      <selection activeCell="D38" sqref="D38"/>
    </sheetView>
  </sheetViews>
  <sheetFormatPr defaultColWidth="9.109375" defaultRowHeight="13.8"/>
  <cols>
    <col min="1" max="1" width="2.88671875" style="267" customWidth="1"/>
    <col min="2" max="2" width="35" style="267" customWidth="1"/>
    <col min="3" max="3" width="18" style="267" customWidth="1"/>
    <col min="4" max="7" width="15.88671875" style="267" customWidth="1"/>
    <col min="8" max="8" width="15.88671875" style="65" customWidth="1"/>
    <col min="9" max="9" width="7.109375" style="267" customWidth="1"/>
    <col min="10" max="10" width="37.44140625" style="267" customWidth="1"/>
    <col min="11" max="16384" width="9.109375" style="267"/>
  </cols>
  <sheetData>
    <row r="1" spans="1:19" s="62" customFormat="1" ht="21">
      <c r="B1" s="62" t="s">
        <v>35</v>
      </c>
      <c r="Q1" s="62">
        <v>0</v>
      </c>
      <c r="R1" s="64">
        <v>0</v>
      </c>
      <c r="S1" s="63"/>
    </row>
    <row r="2" spans="1:19">
      <c r="A2" s="65"/>
      <c r="B2" s="65"/>
      <c r="C2" s="65"/>
      <c r="D2" s="65"/>
      <c r="E2" s="65"/>
      <c r="F2" s="65"/>
      <c r="G2" s="65"/>
      <c r="I2" s="65"/>
      <c r="J2" s="65"/>
      <c r="K2" s="65"/>
      <c r="L2" s="65"/>
      <c r="M2" s="65"/>
      <c r="N2" s="65"/>
      <c r="O2" s="65"/>
      <c r="P2" s="65"/>
      <c r="Q2" s="65"/>
      <c r="R2" s="275"/>
      <c r="S2" s="275"/>
    </row>
    <row r="3" spans="1:19">
      <c r="A3" s="65"/>
      <c r="B3" s="65"/>
      <c r="C3" s="65"/>
      <c r="D3" s="65"/>
      <c r="E3" s="65"/>
      <c r="F3" s="65"/>
      <c r="G3" s="65"/>
      <c r="I3" s="65"/>
      <c r="J3" s="65"/>
      <c r="K3" s="65"/>
      <c r="L3" s="65"/>
      <c r="M3" s="65"/>
      <c r="N3" s="65"/>
      <c r="O3" s="65"/>
      <c r="P3" s="65"/>
      <c r="Q3" s="65"/>
    </row>
    <row r="4" spans="1:19" ht="14.4" thickBot="1">
      <c r="A4" s="65"/>
      <c r="B4" s="154" t="s">
        <v>91</v>
      </c>
      <c r="C4" s="65"/>
      <c r="D4" s="65"/>
      <c r="E4" s="65"/>
      <c r="F4" s="65"/>
      <c r="G4" s="65"/>
      <c r="I4" s="65"/>
      <c r="J4" s="65"/>
      <c r="K4" s="65"/>
      <c r="L4" s="65"/>
      <c r="M4" s="65"/>
      <c r="N4" s="65"/>
      <c r="O4" s="65"/>
      <c r="P4" s="65"/>
      <c r="Q4" s="65"/>
    </row>
    <row r="5" spans="1:19">
      <c r="A5" s="65"/>
      <c r="B5" s="157" t="s">
        <v>92</v>
      </c>
      <c r="C5" s="85"/>
      <c r="D5" s="85"/>
      <c r="E5" s="85"/>
      <c r="F5" s="85"/>
      <c r="G5" s="85"/>
      <c r="H5" s="85"/>
      <c r="I5" s="85"/>
      <c r="J5" s="85"/>
      <c r="K5" s="85"/>
      <c r="L5" s="85"/>
      <c r="M5" s="85"/>
      <c r="N5" s="85"/>
      <c r="O5" s="83"/>
      <c r="P5" s="65"/>
      <c r="Q5" s="65"/>
    </row>
    <row r="6" spans="1:19">
      <c r="A6" s="65"/>
      <c r="B6" s="133" t="s">
        <v>297</v>
      </c>
      <c r="C6" s="77"/>
      <c r="D6" s="77"/>
      <c r="E6" s="77"/>
      <c r="F6" s="77"/>
      <c r="G6" s="77"/>
      <c r="H6" s="77"/>
      <c r="I6" s="77"/>
      <c r="J6" s="77"/>
      <c r="K6" s="77"/>
      <c r="L6" s="77"/>
      <c r="M6" s="77"/>
      <c r="N6" s="77"/>
      <c r="O6" s="74"/>
      <c r="P6" s="65"/>
      <c r="Q6" s="65"/>
    </row>
    <row r="7" spans="1:19">
      <c r="A7" s="65"/>
      <c r="B7" s="133"/>
      <c r="C7" s="77"/>
      <c r="D7" s="77"/>
      <c r="E7" s="77"/>
      <c r="F7" s="77"/>
      <c r="G7" s="77"/>
      <c r="H7" s="77"/>
      <c r="I7" s="77"/>
      <c r="J7" s="77"/>
      <c r="K7" s="77"/>
      <c r="L7" s="77"/>
      <c r="M7" s="77"/>
      <c r="N7" s="77"/>
      <c r="O7" s="74"/>
      <c r="P7" s="65"/>
      <c r="Q7" s="65"/>
    </row>
    <row r="8" spans="1:19">
      <c r="A8" s="65"/>
      <c r="B8" s="133"/>
      <c r="C8" s="77"/>
      <c r="D8" s="77"/>
      <c r="E8" s="77"/>
      <c r="F8" s="77"/>
      <c r="G8" s="77"/>
      <c r="H8" s="77"/>
      <c r="I8" s="77"/>
      <c r="J8" s="77"/>
      <c r="K8" s="77"/>
      <c r="L8" s="77"/>
      <c r="M8" s="77"/>
      <c r="N8" s="77"/>
      <c r="O8" s="74"/>
      <c r="P8" s="65"/>
      <c r="Q8" s="65"/>
    </row>
    <row r="9" spans="1:19">
      <c r="A9" s="65"/>
      <c r="B9" s="156" t="s">
        <v>232</v>
      </c>
      <c r="C9" s="61" t="s">
        <v>235</v>
      </c>
      <c r="D9" s="77"/>
      <c r="E9" s="77"/>
      <c r="F9" s="77"/>
      <c r="G9" s="77"/>
      <c r="H9" s="77"/>
      <c r="I9" s="77"/>
      <c r="J9" s="77"/>
      <c r="K9" s="77"/>
      <c r="L9" s="77"/>
      <c r="M9" s="77"/>
      <c r="N9" s="77"/>
      <c r="O9" s="74"/>
      <c r="P9" s="65"/>
      <c r="Q9" s="65"/>
    </row>
    <row r="10" spans="1:19">
      <c r="A10" s="65"/>
      <c r="B10" s="133"/>
      <c r="C10" s="77"/>
      <c r="D10" s="77"/>
      <c r="E10" s="77"/>
      <c r="F10" s="77"/>
      <c r="G10" s="77"/>
      <c r="H10" s="77"/>
      <c r="I10" s="77"/>
      <c r="J10" s="77"/>
      <c r="K10" s="77"/>
      <c r="L10" s="77"/>
      <c r="M10" s="77"/>
      <c r="N10" s="77"/>
      <c r="O10" s="74"/>
      <c r="P10" s="65"/>
      <c r="Q10" s="65"/>
    </row>
    <row r="11" spans="1:19">
      <c r="A11" s="65"/>
      <c r="B11" s="155" t="s">
        <v>93</v>
      </c>
      <c r="C11" s="77"/>
      <c r="D11" s="77"/>
      <c r="E11" s="77"/>
      <c r="F11" s="77"/>
      <c r="G11" s="77"/>
      <c r="H11" s="77"/>
      <c r="I11" s="77"/>
      <c r="J11" s="77"/>
      <c r="K11" s="77"/>
      <c r="L11" s="77"/>
      <c r="M11" s="77"/>
      <c r="N11" s="77"/>
      <c r="O11" s="74"/>
      <c r="P11" s="65"/>
      <c r="Q11" s="65"/>
    </row>
    <row r="12" spans="1:19">
      <c r="A12" s="65"/>
      <c r="B12" s="133"/>
      <c r="C12" s="77"/>
      <c r="D12" s="77"/>
      <c r="E12" s="77"/>
      <c r="F12" s="77"/>
      <c r="G12" s="77"/>
      <c r="H12" s="77"/>
      <c r="I12" s="77"/>
      <c r="J12" s="77"/>
      <c r="K12" s="77"/>
      <c r="L12" s="77"/>
      <c r="M12" s="77"/>
      <c r="N12" s="77"/>
      <c r="O12" s="74"/>
      <c r="P12" s="65"/>
      <c r="Q12" s="65"/>
    </row>
    <row r="13" spans="1:19">
      <c r="A13" s="65"/>
      <c r="B13" s="133"/>
      <c r="C13" s="77"/>
      <c r="D13" s="77"/>
      <c r="E13" s="77"/>
      <c r="F13" s="77"/>
      <c r="G13" s="77"/>
      <c r="H13" s="77"/>
      <c r="I13" s="77"/>
      <c r="J13" s="77"/>
      <c r="K13" s="77"/>
      <c r="L13" s="77"/>
      <c r="M13" s="77"/>
      <c r="N13" s="77"/>
      <c r="O13" s="74"/>
      <c r="P13" s="65"/>
      <c r="Q13" s="65"/>
    </row>
    <row r="14" spans="1:19">
      <c r="A14" s="65"/>
      <c r="B14" s="155" t="s">
        <v>94</v>
      </c>
      <c r="C14" s="77"/>
      <c r="D14" s="77"/>
      <c r="E14" s="77"/>
      <c r="F14" s="77"/>
      <c r="G14" s="77"/>
      <c r="H14" s="77"/>
      <c r="I14" s="77"/>
      <c r="J14" s="77"/>
      <c r="K14" s="77"/>
      <c r="L14" s="77"/>
      <c r="M14" s="77"/>
      <c r="N14" s="77"/>
      <c r="O14" s="74"/>
      <c r="P14" s="65"/>
      <c r="Q14" s="65"/>
    </row>
    <row r="15" spans="1:19">
      <c r="A15" s="65"/>
      <c r="B15" s="133"/>
      <c r="C15" s="77"/>
      <c r="D15" s="77"/>
      <c r="E15" s="77"/>
      <c r="F15" s="77"/>
      <c r="G15" s="77"/>
      <c r="H15" s="77"/>
      <c r="I15" s="77"/>
      <c r="J15" s="77"/>
      <c r="K15" s="77"/>
      <c r="L15" s="77"/>
      <c r="M15" s="77"/>
      <c r="N15" s="77"/>
      <c r="O15" s="74"/>
      <c r="P15" s="65"/>
      <c r="Q15" s="65"/>
    </row>
    <row r="16" spans="1:19">
      <c r="A16" s="65"/>
      <c r="B16" s="128"/>
      <c r="C16" s="77"/>
      <c r="D16" s="77"/>
      <c r="E16" s="77"/>
      <c r="F16" s="77"/>
      <c r="G16" s="77"/>
      <c r="H16" s="77"/>
      <c r="I16" s="77"/>
      <c r="J16" s="77"/>
      <c r="K16" s="77"/>
      <c r="L16" s="77"/>
      <c r="M16" s="77"/>
      <c r="N16" s="77"/>
      <c r="O16" s="74"/>
      <c r="P16" s="65"/>
      <c r="Q16" s="65"/>
    </row>
    <row r="17" spans="1:17" ht="14.4" thickBot="1">
      <c r="A17" s="65"/>
      <c r="B17" s="73"/>
      <c r="C17" s="72"/>
      <c r="D17" s="72"/>
      <c r="E17" s="72"/>
      <c r="F17" s="72"/>
      <c r="G17" s="72"/>
      <c r="H17" s="72"/>
      <c r="I17" s="72"/>
      <c r="J17" s="72"/>
      <c r="K17" s="72"/>
      <c r="L17" s="72"/>
      <c r="M17" s="72"/>
      <c r="N17" s="72"/>
      <c r="O17" s="90"/>
      <c r="P17" s="65"/>
      <c r="Q17" s="65"/>
    </row>
    <row r="18" spans="1:17">
      <c r="A18" s="65"/>
      <c r="B18" s="65"/>
      <c r="C18" s="65"/>
      <c r="D18" s="65"/>
      <c r="E18" s="65"/>
      <c r="F18" s="65"/>
      <c r="G18" s="65"/>
      <c r="I18" s="65"/>
      <c r="J18" s="65"/>
      <c r="K18" s="65"/>
      <c r="L18" s="65"/>
      <c r="M18" s="65"/>
      <c r="N18" s="65"/>
      <c r="O18" s="65"/>
      <c r="P18" s="65"/>
      <c r="Q18" s="65"/>
    </row>
    <row r="19" spans="1:17" ht="14.4" thickBot="1">
      <c r="A19" s="65"/>
      <c r="B19" s="154" t="s">
        <v>95</v>
      </c>
      <c r="C19" s="65"/>
      <c r="D19" s="65"/>
      <c r="E19" s="153"/>
      <c r="F19" s="153"/>
      <c r="G19" s="153"/>
      <c r="I19" s="65"/>
      <c r="J19" s="65"/>
      <c r="K19" s="65"/>
      <c r="L19" s="65"/>
      <c r="M19" s="65"/>
      <c r="N19" s="65"/>
      <c r="O19" s="65"/>
      <c r="P19" s="65"/>
      <c r="Q19" s="65"/>
    </row>
    <row r="20" spans="1:17">
      <c r="A20" s="65"/>
      <c r="B20" s="88"/>
      <c r="C20" s="110"/>
      <c r="D20" s="168"/>
      <c r="E20" s="85"/>
      <c r="F20" s="85"/>
      <c r="G20" s="85"/>
      <c r="H20" s="85"/>
      <c r="I20" s="85" t="s">
        <v>96</v>
      </c>
      <c r="J20" s="83" t="s">
        <v>97</v>
      </c>
      <c r="K20" s="65"/>
      <c r="L20" s="65"/>
      <c r="M20" s="65"/>
      <c r="N20" s="65"/>
      <c r="O20" s="65"/>
      <c r="P20" s="65"/>
      <c r="Q20" s="65"/>
    </row>
    <row r="21" spans="1:17">
      <c r="A21" s="65"/>
      <c r="B21" s="109"/>
      <c r="C21" s="108" t="s">
        <v>98</v>
      </c>
      <c r="D21" s="107">
        <v>2015</v>
      </c>
      <c r="E21" s="106">
        <v>2020</v>
      </c>
      <c r="F21" s="106">
        <v>2035</v>
      </c>
      <c r="G21" s="106"/>
      <c r="H21" s="106" t="s">
        <v>99</v>
      </c>
      <c r="I21" s="152"/>
      <c r="J21" s="104"/>
      <c r="K21" s="65"/>
      <c r="L21" s="65"/>
      <c r="M21" s="65"/>
      <c r="N21" s="65"/>
      <c r="O21" s="65"/>
      <c r="P21" s="65"/>
      <c r="Q21" s="65"/>
    </row>
    <row r="22" spans="1:17">
      <c r="A22" s="65"/>
      <c r="B22" s="128" t="s">
        <v>100</v>
      </c>
      <c r="C22" s="118"/>
      <c r="D22" s="180"/>
      <c r="E22" s="151"/>
      <c r="F22" s="151"/>
      <c r="G22" s="151"/>
      <c r="H22" s="151"/>
      <c r="I22" s="77"/>
      <c r="J22" s="74"/>
      <c r="K22" s="65"/>
      <c r="L22" s="65"/>
      <c r="M22" s="65"/>
      <c r="N22" s="65"/>
      <c r="O22" s="65"/>
      <c r="P22" s="65"/>
      <c r="Q22" s="65"/>
    </row>
    <row r="23" spans="1:17">
      <c r="A23" s="65"/>
      <c r="B23" s="145" t="s">
        <v>101</v>
      </c>
      <c r="C23" s="118" t="s">
        <v>173</v>
      </c>
      <c r="D23" s="274">
        <f>D72</f>
        <v>0.10078740157480315</v>
      </c>
      <c r="E23" s="273">
        <f>E72</f>
        <v>0.11411411411411412</v>
      </c>
      <c r="F23" s="273">
        <f>F72</f>
        <v>0.14039039039039039</v>
      </c>
      <c r="G23" s="273">
        <f>G72</f>
        <v>0.16444444444444445</v>
      </c>
      <c r="H23" s="147"/>
      <c r="I23" s="187"/>
      <c r="J23" s="74"/>
      <c r="K23" s="244"/>
      <c r="L23" s="65"/>
      <c r="M23" s="65"/>
      <c r="N23" s="65"/>
      <c r="O23" s="65"/>
      <c r="P23" s="65"/>
      <c r="Q23" s="65"/>
    </row>
    <row r="24" spans="1:17">
      <c r="A24" s="65"/>
      <c r="B24" s="145" t="s">
        <v>102</v>
      </c>
      <c r="C24" s="118" t="s">
        <v>173</v>
      </c>
      <c r="D24" s="144">
        <f>D23</f>
        <v>0.10078740157480315</v>
      </c>
      <c r="E24" s="143">
        <f>E23</f>
        <v>0.11411411411411412</v>
      </c>
      <c r="F24" s="143">
        <f>F23</f>
        <v>0.14039039039039039</v>
      </c>
      <c r="G24" s="143">
        <f>G23</f>
        <v>0.16444444444444445</v>
      </c>
      <c r="H24" s="147"/>
      <c r="I24" s="187"/>
      <c r="J24" s="74"/>
      <c r="K24" s="244"/>
      <c r="L24" s="65"/>
      <c r="M24" s="65"/>
      <c r="N24" s="65"/>
      <c r="O24" s="65"/>
      <c r="P24" s="65"/>
      <c r="Q24" s="65"/>
    </row>
    <row r="25" spans="1:17">
      <c r="A25" s="65"/>
      <c r="B25" s="145" t="s">
        <v>103</v>
      </c>
      <c r="C25" s="118" t="s">
        <v>104</v>
      </c>
      <c r="D25" s="144">
        <f>D76</f>
        <v>19.05</v>
      </c>
      <c r="E25" s="143">
        <f>E76</f>
        <v>16.649999999999999</v>
      </c>
      <c r="F25" s="143">
        <f>F76</f>
        <v>13.32</v>
      </c>
      <c r="G25" s="143">
        <f>G76</f>
        <v>11.25</v>
      </c>
      <c r="H25" s="142"/>
      <c r="I25" s="187"/>
      <c r="J25" s="74"/>
      <c r="K25" s="244"/>
      <c r="L25" s="65"/>
      <c r="M25" s="65"/>
      <c r="N25" s="65"/>
      <c r="O25" s="65"/>
      <c r="P25" s="65"/>
      <c r="Q25" s="65"/>
    </row>
    <row r="26" spans="1:17">
      <c r="A26" s="65"/>
      <c r="B26" s="145" t="s">
        <v>105</v>
      </c>
      <c r="C26" s="118" t="s">
        <v>104</v>
      </c>
      <c r="D26" s="144"/>
      <c r="E26" s="143"/>
      <c r="F26" s="143"/>
      <c r="G26" s="143"/>
      <c r="H26" s="142"/>
      <c r="I26" s="187"/>
      <c r="J26" s="74"/>
      <c r="K26" s="244"/>
      <c r="L26" s="65"/>
      <c r="M26" s="65"/>
      <c r="N26" s="65"/>
      <c r="O26" s="65"/>
      <c r="P26" s="65"/>
      <c r="Q26" s="65"/>
    </row>
    <row r="27" spans="1:17">
      <c r="A27" s="65"/>
      <c r="B27" s="133" t="s">
        <v>106</v>
      </c>
      <c r="C27" s="118" t="s">
        <v>107</v>
      </c>
      <c r="D27" s="341">
        <v>6</v>
      </c>
      <c r="E27" s="340">
        <v>6</v>
      </c>
      <c r="F27" s="340">
        <v>6</v>
      </c>
      <c r="G27" s="340">
        <v>6</v>
      </c>
      <c r="H27" s="125"/>
      <c r="I27" s="99" t="s">
        <v>645</v>
      </c>
      <c r="J27" s="119"/>
      <c r="K27" s="244"/>
      <c r="L27" s="65"/>
      <c r="M27" s="65"/>
      <c r="N27" s="65"/>
      <c r="O27" s="65"/>
      <c r="P27" s="65"/>
      <c r="Q27" s="65"/>
    </row>
    <row r="28" spans="1:17">
      <c r="A28" s="65"/>
      <c r="B28" s="133" t="s">
        <v>108</v>
      </c>
      <c r="C28" s="118" t="s">
        <v>109</v>
      </c>
      <c r="D28" s="177">
        <f>+D67*D69/1000</f>
        <v>128.63999999999999</v>
      </c>
      <c r="E28" s="139">
        <f>+E67*E69/1000</f>
        <v>127.3</v>
      </c>
      <c r="F28" s="139">
        <f>+F67*F69/1000</f>
        <v>125.29</v>
      </c>
      <c r="G28" s="139">
        <f>+G67*G69/1000</f>
        <v>123.95</v>
      </c>
      <c r="H28" s="138"/>
      <c r="I28" s="187"/>
      <c r="J28" s="74"/>
      <c r="K28" s="244"/>
      <c r="L28" s="65"/>
      <c r="M28" s="65"/>
      <c r="N28" s="65"/>
      <c r="O28" s="65"/>
      <c r="P28" s="65"/>
      <c r="Q28" s="65"/>
    </row>
    <row r="29" spans="1:17">
      <c r="A29" s="65"/>
      <c r="B29" s="78"/>
      <c r="C29" s="137"/>
      <c r="D29" s="134"/>
      <c r="E29" s="98"/>
      <c r="F29" s="98"/>
      <c r="G29" s="98"/>
      <c r="H29" s="98"/>
      <c r="I29" s="77"/>
      <c r="J29" s="74"/>
      <c r="K29" s="244"/>
      <c r="L29" s="65"/>
      <c r="M29" s="65"/>
      <c r="N29" s="65"/>
      <c r="O29" s="65"/>
      <c r="P29" s="65"/>
      <c r="Q29" s="65"/>
    </row>
    <row r="30" spans="1:17">
      <c r="A30" s="65"/>
      <c r="B30" s="128" t="s">
        <v>110</v>
      </c>
      <c r="C30" s="118"/>
      <c r="D30" s="134"/>
      <c r="E30" s="98"/>
      <c r="F30" s="98"/>
      <c r="G30" s="98"/>
      <c r="H30" s="98"/>
      <c r="I30" s="77"/>
      <c r="J30" s="74"/>
      <c r="K30" s="244"/>
      <c r="L30" s="65"/>
      <c r="M30" s="65"/>
      <c r="N30" s="65"/>
      <c r="O30" s="65"/>
      <c r="P30" s="65"/>
      <c r="Q30" s="65"/>
    </row>
    <row r="31" spans="1:17" s="65" customFormat="1">
      <c r="B31" s="133" t="s">
        <v>111</v>
      </c>
      <c r="C31" s="118" t="s">
        <v>15</v>
      </c>
      <c r="D31" s="136">
        <v>1562635.8481684364</v>
      </c>
      <c r="E31" s="136">
        <v>1562635.8481684364</v>
      </c>
      <c r="F31" s="136">
        <v>1562635.8481684364</v>
      </c>
      <c r="G31" s="136">
        <v>1562635.8481684364</v>
      </c>
      <c r="H31" s="135">
        <v>2015</v>
      </c>
      <c r="I31" s="79"/>
      <c r="J31" s="74"/>
    </row>
    <row r="32" spans="1:17" s="65" customFormat="1">
      <c r="B32" s="78" t="s">
        <v>16</v>
      </c>
      <c r="C32" s="118" t="s">
        <v>17</v>
      </c>
      <c r="D32" s="136">
        <v>3393.828959599186</v>
      </c>
      <c r="E32" s="136">
        <v>3429.5534749633885</v>
      </c>
      <c r="F32" s="136">
        <v>3484.5730494280419</v>
      </c>
      <c r="G32" s="136">
        <v>3522.2441094218584</v>
      </c>
      <c r="H32" s="135">
        <v>2015</v>
      </c>
      <c r="I32" s="79"/>
      <c r="J32" s="74"/>
    </row>
    <row r="33" spans="1:17" s="65" customFormat="1">
      <c r="B33" s="129" t="s">
        <v>18</v>
      </c>
      <c r="C33" s="118" t="s">
        <v>17</v>
      </c>
      <c r="D33" s="136">
        <v>2393.2412809729631</v>
      </c>
      <c r="E33" s="136">
        <v>2418.4332944568891</v>
      </c>
      <c r="F33" s="136">
        <v>2457.2316895551276</v>
      </c>
      <c r="G33" s="136">
        <v>2483.7963564692373</v>
      </c>
      <c r="H33" s="135">
        <v>2015</v>
      </c>
      <c r="I33" s="79"/>
      <c r="J33" s="74"/>
    </row>
    <row r="34" spans="1:17" s="65" customFormat="1">
      <c r="B34" s="129" t="s">
        <v>19</v>
      </c>
      <c r="C34" s="118" t="s">
        <v>17</v>
      </c>
      <c r="D34" s="136">
        <v>1000.5876786262235</v>
      </c>
      <c r="E34" s="136">
        <v>1011.1201805064995</v>
      </c>
      <c r="F34" s="136">
        <v>1027.3413598729137</v>
      </c>
      <c r="G34" s="136">
        <v>1038.4477529526209</v>
      </c>
      <c r="H34" s="135">
        <v>2015</v>
      </c>
      <c r="I34" s="79"/>
      <c r="J34" s="74"/>
    </row>
    <row r="35" spans="1:17" s="65" customFormat="1">
      <c r="B35" s="129"/>
      <c r="C35" s="118"/>
      <c r="D35" s="136"/>
      <c r="E35" s="136"/>
      <c r="F35" s="136"/>
      <c r="G35" s="136"/>
      <c r="H35" s="135"/>
      <c r="I35" s="79"/>
      <c r="J35" s="74"/>
    </row>
    <row r="36" spans="1:17" s="65" customFormat="1">
      <c r="B36" s="129" t="s">
        <v>112</v>
      </c>
      <c r="C36" s="118" t="s">
        <v>17</v>
      </c>
      <c r="D36" s="136">
        <v>0</v>
      </c>
      <c r="E36" s="136">
        <v>0</v>
      </c>
      <c r="F36" s="136">
        <v>0</v>
      </c>
      <c r="G36" s="136">
        <v>0</v>
      </c>
      <c r="H36" s="135">
        <v>2015</v>
      </c>
      <c r="I36" s="79"/>
      <c r="J36" s="74"/>
    </row>
    <row r="37" spans="1:17" s="65" customFormat="1">
      <c r="B37" s="128"/>
      <c r="C37" s="118"/>
      <c r="D37" s="134"/>
      <c r="E37" s="98"/>
      <c r="F37" s="98"/>
      <c r="G37" s="98"/>
      <c r="H37" s="98"/>
      <c r="I37" s="79"/>
      <c r="J37" s="74"/>
    </row>
    <row r="38" spans="1:17">
      <c r="A38" s="65"/>
      <c r="B38" s="133" t="s">
        <v>111</v>
      </c>
      <c r="C38" s="118" t="s">
        <v>15</v>
      </c>
      <c r="D38" s="329">
        <v>1504780.4222459821</v>
      </c>
      <c r="E38" s="329">
        <v>1504780.4222459821</v>
      </c>
      <c r="F38" s="329">
        <v>1504780.4222459821</v>
      </c>
      <c r="G38" s="329">
        <v>1504780.4222459821</v>
      </c>
      <c r="H38" s="130">
        <v>2013</v>
      </c>
      <c r="I38" s="99" t="s">
        <v>645</v>
      </c>
      <c r="J38" s="339"/>
      <c r="K38" s="244"/>
      <c r="L38" s="65"/>
      <c r="M38" s="65"/>
      <c r="N38" s="65"/>
      <c r="O38" s="65"/>
      <c r="P38" s="65"/>
      <c r="Q38" s="65"/>
    </row>
    <row r="39" spans="1:17">
      <c r="A39" s="65"/>
      <c r="B39" s="78" t="s">
        <v>16</v>
      </c>
      <c r="C39" s="118" t="s">
        <v>17</v>
      </c>
      <c r="D39" s="257">
        <f>+SUM(D40:D43)</f>
        <v>3268.1749755339197</v>
      </c>
      <c r="E39" s="258">
        <f>+SUM(E40:E43)</f>
        <v>3302.5768173816455</v>
      </c>
      <c r="F39" s="258">
        <f>+SUM(F40:F43)</f>
        <v>3355.5593331685168</v>
      </c>
      <c r="G39" s="258">
        <f>+SUM(G40:G43)</f>
        <v>3391.8356502838519</v>
      </c>
      <c r="H39" s="130">
        <v>2013</v>
      </c>
      <c r="I39" s="187"/>
      <c r="J39" s="74"/>
      <c r="K39" s="244"/>
      <c r="L39" s="65"/>
      <c r="M39" s="65"/>
      <c r="N39" s="65"/>
      <c r="O39" s="65"/>
      <c r="P39" s="65"/>
      <c r="Q39" s="65"/>
    </row>
    <row r="40" spans="1:17">
      <c r="A40" s="65"/>
      <c r="B40" s="129" t="s">
        <v>18</v>
      </c>
      <c r="C40" s="118" t="s">
        <v>17</v>
      </c>
      <c r="D40" s="257">
        <v>2304.6333088672532</v>
      </c>
      <c r="E40" s="258">
        <v>2328.8926068553296</v>
      </c>
      <c r="F40" s="258">
        <v>2366.254520334292</v>
      </c>
      <c r="G40" s="258">
        <v>2391.8356502838519</v>
      </c>
      <c r="H40" s="130">
        <v>2013</v>
      </c>
      <c r="I40" s="187"/>
      <c r="J40" s="74"/>
      <c r="K40" s="244"/>
      <c r="L40" s="65"/>
      <c r="M40" s="65"/>
      <c r="N40" s="65"/>
      <c r="O40" s="65"/>
      <c r="P40" s="65"/>
      <c r="Q40" s="65"/>
    </row>
    <row r="41" spans="1:17">
      <c r="A41" s="65"/>
      <c r="B41" s="129" t="s">
        <v>19</v>
      </c>
      <c r="C41" s="118" t="s">
        <v>17</v>
      </c>
      <c r="D41" s="257">
        <f>(D69*D70)/D28</f>
        <v>963.54166666666674</v>
      </c>
      <c r="E41" s="258">
        <f>(E69*E70)/E28</f>
        <v>973.68421052631584</v>
      </c>
      <c r="F41" s="258">
        <f>(F69*F70)/F28</f>
        <v>989.30481283422455</v>
      </c>
      <c r="G41" s="258">
        <f>(G69*G70)/G28</f>
        <v>1000</v>
      </c>
      <c r="H41" s="130">
        <v>2013</v>
      </c>
      <c r="I41" s="187"/>
      <c r="J41" s="119" t="s">
        <v>155</v>
      </c>
      <c r="K41" s="244"/>
      <c r="L41" s="65"/>
      <c r="M41" s="65"/>
      <c r="N41" s="65"/>
      <c r="O41" s="65"/>
      <c r="P41" s="65"/>
      <c r="Q41" s="65"/>
    </row>
    <row r="42" spans="1:17">
      <c r="A42" s="65"/>
      <c r="B42" s="129"/>
      <c r="C42" s="118"/>
      <c r="D42" s="134"/>
      <c r="E42" s="98"/>
      <c r="F42" s="98"/>
      <c r="G42" s="98"/>
      <c r="H42" s="130"/>
      <c r="I42" s="187"/>
      <c r="J42" s="74"/>
      <c r="K42" s="244"/>
      <c r="L42" s="65"/>
      <c r="M42" s="65"/>
      <c r="N42" s="65"/>
      <c r="O42" s="65"/>
      <c r="P42" s="65"/>
      <c r="Q42" s="65"/>
    </row>
    <row r="43" spans="1:17">
      <c r="A43" s="65"/>
      <c r="B43" s="129" t="s">
        <v>112</v>
      </c>
      <c r="C43" s="118" t="s">
        <v>17</v>
      </c>
      <c r="D43" s="257">
        <v>0</v>
      </c>
      <c r="E43" s="256">
        <v>0</v>
      </c>
      <c r="F43" s="256">
        <v>0</v>
      </c>
      <c r="G43" s="256">
        <v>0</v>
      </c>
      <c r="H43" s="130">
        <v>2013</v>
      </c>
      <c r="I43" s="187"/>
      <c r="J43" s="119"/>
      <c r="K43" s="244"/>
      <c r="L43" s="65"/>
      <c r="M43" s="65"/>
      <c r="N43" s="65"/>
      <c r="O43" s="65"/>
      <c r="P43" s="65"/>
      <c r="Q43" s="65"/>
    </row>
    <row r="44" spans="1:17">
      <c r="A44" s="65"/>
      <c r="B44" s="129"/>
      <c r="C44" s="118"/>
      <c r="D44" s="134"/>
      <c r="E44" s="98"/>
      <c r="F44" s="98"/>
      <c r="G44" s="98"/>
      <c r="H44" s="98"/>
      <c r="I44" s="187"/>
      <c r="J44" s="74"/>
      <c r="K44" s="244"/>
      <c r="L44" s="65"/>
      <c r="M44" s="65"/>
      <c r="N44" s="65"/>
      <c r="O44" s="65"/>
      <c r="P44" s="65"/>
      <c r="Q44" s="65"/>
    </row>
    <row r="45" spans="1:17">
      <c r="A45" s="65"/>
      <c r="B45" s="128" t="s">
        <v>113</v>
      </c>
      <c r="C45" s="118"/>
      <c r="D45" s="134"/>
      <c r="E45" s="98"/>
      <c r="F45" s="98"/>
      <c r="G45" s="98"/>
      <c r="H45" s="127"/>
      <c r="I45" s="187"/>
      <c r="J45" s="74"/>
      <c r="K45" s="244"/>
      <c r="L45" s="65"/>
      <c r="M45" s="65"/>
      <c r="N45" s="65"/>
      <c r="O45" s="65"/>
      <c r="P45" s="65"/>
      <c r="Q45" s="65"/>
    </row>
    <row r="46" spans="1:17">
      <c r="A46" s="65"/>
      <c r="B46" s="123" t="s">
        <v>30</v>
      </c>
      <c r="C46" s="118"/>
      <c r="D46" s="134"/>
      <c r="E46" s="98"/>
      <c r="F46" s="98"/>
      <c r="G46" s="98"/>
      <c r="H46" s="126"/>
      <c r="I46" s="187"/>
      <c r="J46" s="74"/>
      <c r="K46" s="244"/>
      <c r="L46" s="65"/>
      <c r="M46" s="65"/>
      <c r="N46" s="65"/>
      <c r="O46" s="65"/>
      <c r="P46" s="65"/>
      <c r="Q46" s="65"/>
    </row>
    <row r="47" spans="1:17">
      <c r="A47" s="65"/>
      <c r="B47" s="78" t="s">
        <v>20</v>
      </c>
      <c r="C47" s="118" t="s">
        <v>174</v>
      </c>
      <c r="D47" s="255"/>
      <c r="E47" s="121"/>
      <c r="F47" s="121"/>
      <c r="G47" s="121"/>
      <c r="H47" s="126"/>
      <c r="I47" s="187"/>
      <c r="J47" s="119" t="s">
        <v>114</v>
      </c>
      <c r="K47" s="244"/>
      <c r="L47" s="65"/>
      <c r="M47" s="65"/>
      <c r="N47" s="65"/>
      <c r="O47" s="65"/>
      <c r="P47" s="65"/>
      <c r="Q47" s="65"/>
    </row>
    <row r="48" spans="1:17">
      <c r="A48" s="65"/>
      <c r="B48" s="78" t="s">
        <v>21</v>
      </c>
      <c r="C48" s="118" t="s">
        <v>174</v>
      </c>
      <c r="D48" s="124">
        <f t="shared" ref="D48:G52" si="0">D79/D$76</f>
        <v>3.079615048118985E-2</v>
      </c>
      <c r="E48" s="124">
        <f t="shared" si="0"/>
        <v>1.5849182515849183E-2</v>
      </c>
      <c r="F48" s="124">
        <f t="shared" si="0"/>
        <v>1.9498665331998667E-2</v>
      </c>
      <c r="G48" s="124">
        <f t="shared" si="0"/>
        <v>2.2839506172839509E-2</v>
      </c>
      <c r="H48" s="120"/>
      <c r="I48" s="187"/>
      <c r="J48" s="74"/>
      <c r="K48" s="244"/>
      <c r="L48" s="65"/>
      <c r="M48" s="65"/>
      <c r="N48" s="65"/>
      <c r="O48" s="65"/>
      <c r="P48" s="65"/>
      <c r="Q48" s="65"/>
    </row>
    <row r="49" spans="1:17">
      <c r="A49" s="65"/>
      <c r="B49" s="78" t="s">
        <v>22</v>
      </c>
      <c r="C49" s="118" t="s">
        <v>174</v>
      </c>
      <c r="D49" s="124">
        <f t="shared" si="0"/>
        <v>2.8831426319335706E-3</v>
      </c>
      <c r="E49" s="124">
        <f t="shared" si="0"/>
        <v>3.8168443449451881E-3</v>
      </c>
      <c r="F49" s="124">
        <f t="shared" si="0"/>
        <v>3.8168443449451881E-3</v>
      </c>
      <c r="G49" s="124">
        <f t="shared" si="0"/>
        <v>3.8168443449451881E-3</v>
      </c>
      <c r="H49" s="98"/>
      <c r="I49" s="187"/>
      <c r="J49" s="74"/>
      <c r="K49" s="244"/>
      <c r="L49" s="65"/>
      <c r="M49" s="65"/>
      <c r="N49" s="65"/>
      <c r="O49" s="65"/>
      <c r="P49" s="65"/>
      <c r="Q49" s="65"/>
    </row>
    <row r="50" spans="1:17">
      <c r="A50" s="65"/>
      <c r="B50" s="78" t="s">
        <v>23</v>
      </c>
      <c r="C50" s="118" t="s">
        <v>174</v>
      </c>
      <c r="D50" s="124">
        <f t="shared" si="0"/>
        <v>4.6837408023728808E-4</v>
      </c>
      <c r="E50" s="124">
        <f t="shared" si="0"/>
        <v>4.6837408023728798E-4</v>
      </c>
      <c r="F50" s="124">
        <f t="shared" si="0"/>
        <v>4.6837408023728798E-4</v>
      </c>
      <c r="G50" s="124">
        <f t="shared" si="0"/>
        <v>4.6837408023728798E-4</v>
      </c>
      <c r="H50" s="125"/>
      <c r="I50" s="187"/>
      <c r="J50" s="74"/>
      <c r="K50" s="244"/>
      <c r="L50" s="65"/>
      <c r="M50" s="65"/>
      <c r="N50" s="65"/>
      <c r="O50" s="65"/>
      <c r="P50" s="65"/>
      <c r="Q50" s="65"/>
    </row>
    <row r="51" spans="1:17">
      <c r="A51" s="65"/>
      <c r="B51" s="78" t="s">
        <v>115</v>
      </c>
      <c r="C51" s="118" t="s">
        <v>174</v>
      </c>
      <c r="D51" s="124">
        <f t="shared" si="0"/>
        <v>0.42120742294108487</v>
      </c>
      <c r="E51" s="124">
        <f t="shared" si="0"/>
        <v>4.2913588351117742E-2</v>
      </c>
      <c r="F51" s="124">
        <f t="shared" si="0"/>
        <v>4.2913588351117742E-2</v>
      </c>
      <c r="G51" s="124">
        <f t="shared" si="0"/>
        <v>4.2913588351117742E-2</v>
      </c>
      <c r="H51" s="98"/>
      <c r="I51" s="187"/>
      <c r="J51" s="74"/>
      <c r="K51" s="244"/>
      <c r="L51" s="65"/>
      <c r="M51" s="65"/>
      <c r="N51" s="65"/>
      <c r="O51" s="65"/>
      <c r="P51" s="65"/>
      <c r="Q51" s="65"/>
    </row>
    <row r="52" spans="1:17">
      <c r="A52" s="65"/>
      <c r="B52" s="78" t="s">
        <v>24</v>
      </c>
      <c r="C52" s="118" t="s">
        <v>174</v>
      </c>
      <c r="D52" s="124">
        <f t="shared" si="0"/>
        <v>3.2868980174215012E-3</v>
      </c>
      <c r="E52" s="124">
        <f t="shared" si="0"/>
        <v>4.9158331190144507E-4</v>
      </c>
      <c r="F52" s="124">
        <f t="shared" si="0"/>
        <v>4.9158331190144507E-4</v>
      </c>
      <c r="G52" s="124">
        <f t="shared" si="0"/>
        <v>4.9158331190144507E-4</v>
      </c>
      <c r="H52" s="98"/>
      <c r="I52" s="187"/>
      <c r="J52" s="74"/>
      <c r="K52" s="244"/>
      <c r="L52" s="65"/>
      <c r="M52" s="65"/>
      <c r="N52" s="65"/>
      <c r="O52" s="65"/>
      <c r="P52" s="65"/>
      <c r="Q52" s="65"/>
    </row>
    <row r="53" spans="1:17">
      <c r="A53" s="65"/>
      <c r="B53" s="78"/>
      <c r="C53" s="118"/>
      <c r="D53" s="122"/>
      <c r="E53" s="77"/>
      <c r="F53" s="77"/>
      <c r="G53" s="77"/>
      <c r="H53" s="98"/>
      <c r="I53" s="187"/>
      <c r="J53" s="74"/>
      <c r="K53" s="244"/>
      <c r="L53" s="65"/>
      <c r="M53" s="65"/>
      <c r="N53" s="65"/>
      <c r="O53" s="65"/>
      <c r="P53" s="65"/>
      <c r="Q53" s="65"/>
    </row>
    <row r="54" spans="1:17">
      <c r="A54" s="65"/>
      <c r="B54" s="123" t="s">
        <v>31</v>
      </c>
      <c r="C54" s="118"/>
      <c r="D54" s="134"/>
      <c r="E54" s="98"/>
      <c r="F54" s="98"/>
      <c r="G54" s="98"/>
      <c r="H54" s="120"/>
      <c r="I54" s="187"/>
      <c r="J54" s="74"/>
      <c r="K54" s="244"/>
      <c r="L54" s="65"/>
      <c r="M54" s="65"/>
      <c r="N54" s="65"/>
      <c r="O54" s="65"/>
      <c r="P54" s="65"/>
      <c r="Q54" s="65"/>
    </row>
    <row r="55" spans="1:17">
      <c r="A55" s="65"/>
      <c r="B55" s="78" t="s">
        <v>20</v>
      </c>
      <c r="C55" s="118" t="s">
        <v>174</v>
      </c>
      <c r="D55" s="255"/>
      <c r="E55" s="121"/>
      <c r="F55" s="121"/>
      <c r="G55" s="121"/>
      <c r="H55" s="197"/>
      <c r="I55" s="187"/>
      <c r="J55" s="119" t="s">
        <v>114</v>
      </c>
      <c r="K55" s="244"/>
      <c r="L55" s="65"/>
      <c r="M55" s="65"/>
      <c r="N55" s="65"/>
      <c r="O55" s="65"/>
      <c r="P55" s="65"/>
      <c r="Q55" s="65"/>
    </row>
    <row r="56" spans="1:17">
      <c r="A56" s="65"/>
      <c r="B56" s="78" t="s">
        <v>21</v>
      </c>
      <c r="C56" s="118" t="s">
        <v>174</v>
      </c>
      <c r="D56" s="117">
        <f t="shared" ref="D56:G60" si="1">D48</f>
        <v>3.079615048118985E-2</v>
      </c>
      <c r="E56" s="117">
        <f t="shared" si="1"/>
        <v>1.5849182515849183E-2</v>
      </c>
      <c r="F56" s="117">
        <f t="shared" si="1"/>
        <v>1.9498665331998667E-2</v>
      </c>
      <c r="G56" s="117">
        <f t="shared" si="1"/>
        <v>2.2839506172839509E-2</v>
      </c>
      <c r="H56" s="197"/>
      <c r="I56" s="187"/>
      <c r="J56" s="74"/>
      <c r="K56" s="244"/>
      <c r="L56" s="65"/>
      <c r="M56" s="65"/>
      <c r="N56" s="65"/>
      <c r="O56" s="65"/>
      <c r="P56" s="65"/>
      <c r="Q56" s="65"/>
    </row>
    <row r="57" spans="1:17">
      <c r="A57" s="65"/>
      <c r="B57" s="78" t="s">
        <v>22</v>
      </c>
      <c r="C57" s="118" t="s">
        <v>174</v>
      </c>
      <c r="D57" s="117">
        <f t="shared" si="1"/>
        <v>2.8831426319335706E-3</v>
      </c>
      <c r="E57" s="117">
        <f t="shared" si="1"/>
        <v>3.8168443449451881E-3</v>
      </c>
      <c r="F57" s="117">
        <f t="shared" si="1"/>
        <v>3.8168443449451881E-3</v>
      </c>
      <c r="G57" s="117">
        <f t="shared" si="1"/>
        <v>3.8168443449451881E-3</v>
      </c>
      <c r="H57" s="197"/>
      <c r="I57" s="187"/>
      <c r="J57" s="74"/>
      <c r="K57" s="244"/>
      <c r="L57" s="65"/>
      <c r="M57" s="65"/>
      <c r="N57" s="65"/>
      <c r="O57" s="65"/>
      <c r="P57" s="65"/>
      <c r="Q57" s="65"/>
    </row>
    <row r="58" spans="1:17">
      <c r="A58" s="65"/>
      <c r="B58" s="78" t="s">
        <v>23</v>
      </c>
      <c r="C58" s="118" t="s">
        <v>174</v>
      </c>
      <c r="D58" s="117">
        <f t="shared" si="1"/>
        <v>4.6837408023728808E-4</v>
      </c>
      <c r="E58" s="117">
        <f t="shared" si="1"/>
        <v>4.6837408023728798E-4</v>
      </c>
      <c r="F58" s="117">
        <f t="shared" si="1"/>
        <v>4.6837408023728798E-4</v>
      </c>
      <c r="G58" s="117">
        <f t="shared" si="1"/>
        <v>4.6837408023728798E-4</v>
      </c>
      <c r="H58" s="197"/>
      <c r="I58" s="187"/>
      <c r="J58" s="74"/>
      <c r="K58" s="244"/>
      <c r="L58" s="65"/>
      <c r="M58" s="65"/>
      <c r="N58" s="65"/>
      <c r="O58" s="65"/>
      <c r="P58" s="65"/>
      <c r="Q58" s="65"/>
    </row>
    <row r="59" spans="1:17">
      <c r="A59" s="65"/>
      <c r="B59" s="78" t="s">
        <v>115</v>
      </c>
      <c r="C59" s="118" t="s">
        <v>174</v>
      </c>
      <c r="D59" s="117">
        <f t="shared" si="1"/>
        <v>0.42120742294108487</v>
      </c>
      <c r="E59" s="117">
        <f t="shared" si="1"/>
        <v>4.2913588351117742E-2</v>
      </c>
      <c r="F59" s="117">
        <f t="shared" si="1"/>
        <v>4.2913588351117742E-2</v>
      </c>
      <c r="G59" s="117">
        <f t="shared" si="1"/>
        <v>4.2913588351117742E-2</v>
      </c>
      <c r="H59" s="197"/>
      <c r="I59" s="187"/>
      <c r="J59" s="74"/>
      <c r="K59" s="244"/>
      <c r="L59" s="65"/>
      <c r="M59" s="65"/>
      <c r="N59" s="65"/>
      <c r="O59" s="65"/>
      <c r="P59" s="65"/>
      <c r="Q59" s="65"/>
    </row>
    <row r="60" spans="1:17">
      <c r="A60" s="65"/>
      <c r="B60" s="78" t="s">
        <v>24</v>
      </c>
      <c r="C60" s="118" t="s">
        <v>174</v>
      </c>
      <c r="D60" s="117">
        <f t="shared" si="1"/>
        <v>3.2868980174215012E-3</v>
      </c>
      <c r="E60" s="117">
        <f t="shared" si="1"/>
        <v>4.9158331190144507E-4</v>
      </c>
      <c r="F60" s="117">
        <f t="shared" si="1"/>
        <v>4.9158331190144507E-4</v>
      </c>
      <c r="G60" s="117">
        <f t="shared" si="1"/>
        <v>4.9158331190144507E-4</v>
      </c>
      <c r="H60" s="135"/>
      <c r="I60" s="187"/>
      <c r="J60" s="74"/>
      <c r="K60" s="244"/>
      <c r="L60" s="65"/>
      <c r="M60" s="65"/>
      <c r="N60" s="65"/>
      <c r="O60" s="65"/>
      <c r="P60" s="65"/>
      <c r="Q60" s="65"/>
    </row>
    <row r="61" spans="1:17" ht="14.4" thickBot="1">
      <c r="A61" s="65"/>
      <c r="B61" s="115"/>
      <c r="C61" s="114"/>
      <c r="D61" s="113"/>
      <c r="E61" s="72"/>
      <c r="F61" s="72"/>
      <c r="G61" s="72"/>
      <c r="H61" s="72"/>
      <c r="I61" s="193"/>
      <c r="J61" s="90"/>
      <c r="K61" s="244"/>
      <c r="L61" s="65"/>
      <c r="M61" s="65"/>
      <c r="N61" s="65"/>
      <c r="O61" s="65"/>
      <c r="P61" s="65"/>
      <c r="Q61" s="65"/>
    </row>
    <row r="62" spans="1:17">
      <c r="A62" s="65"/>
      <c r="B62" s="65"/>
      <c r="C62" s="65"/>
      <c r="D62" s="65"/>
      <c r="E62" s="65"/>
      <c r="F62" s="65"/>
      <c r="G62" s="65"/>
      <c r="I62" s="65"/>
      <c r="J62" s="65"/>
      <c r="K62" s="244"/>
      <c r="L62" s="65"/>
      <c r="M62" s="65"/>
      <c r="N62" s="65"/>
      <c r="O62" s="65"/>
      <c r="P62" s="65"/>
      <c r="Q62" s="65"/>
    </row>
    <row r="63" spans="1:17">
      <c r="A63" s="65"/>
      <c r="B63" s="65"/>
      <c r="C63" s="65"/>
      <c r="D63" s="65"/>
      <c r="E63" s="65"/>
      <c r="F63" s="65"/>
      <c r="G63" s="65"/>
      <c r="I63" s="65"/>
      <c r="J63" s="65"/>
      <c r="K63" s="244"/>
      <c r="L63" s="65"/>
      <c r="M63" s="65"/>
      <c r="N63" s="65"/>
      <c r="O63" s="65"/>
      <c r="P63" s="65"/>
      <c r="Q63" s="65"/>
    </row>
    <row r="64" spans="1:17" ht="16.2" thickBot="1">
      <c r="A64" s="65"/>
      <c r="B64" s="89" t="s">
        <v>116</v>
      </c>
      <c r="C64" s="65"/>
      <c r="D64" s="65"/>
      <c r="E64" s="65"/>
      <c r="F64" s="65"/>
      <c r="G64" s="65"/>
      <c r="I64" s="65"/>
      <c r="J64" s="65"/>
      <c r="K64" s="244"/>
      <c r="L64" s="65"/>
      <c r="M64" s="65"/>
      <c r="N64" s="65"/>
      <c r="O64" s="65"/>
      <c r="P64" s="65"/>
      <c r="Q64" s="65"/>
    </row>
    <row r="65" spans="1:17">
      <c r="A65" s="65"/>
      <c r="B65" s="88"/>
      <c r="C65" s="110"/>
      <c r="D65" s="85"/>
      <c r="E65" s="85"/>
      <c r="F65" s="85"/>
      <c r="G65" s="85"/>
      <c r="H65" s="85"/>
      <c r="I65" s="85"/>
      <c r="J65" s="83"/>
      <c r="K65" s="244"/>
      <c r="L65" s="65"/>
      <c r="M65" s="65"/>
      <c r="N65" s="65"/>
      <c r="O65" s="65"/>
      <c r="P65" s="65"/>
      <c r="Q65" s="65"/>
    </row>
    <row r="66" spans="1:17">
      <c r="A66" s="65"/>
      <c r="B66" s="109"/>
      <c r="C66" s="108" t="s">
        <v>98</v>
      </c>
      <c r="D66" s="107">
        <v>2015</v>
      </c>
      <c r="E66" s="106">
        <v>2020</v>
      </c>
      <c r="F66" s="106">
        <v>2035</v>
      </c>
      <c r="G66" s="106">
        <v>2050</v>
      </c>
      <c r="H66" s="106"/>
      <c r="I66" s="152"/>
      <c r="J66" s="104"/>
      <c r="K66" s="244"/>
      <c r="L66" s="65"/>
      <c r="M66" s="65"/>
      <c r="N66" s="65"/>
      <c r="O66" s="65"/>
      <c r="P66" s="65"/>
      <c r="Q66" s="65"/>
    </row>
    <row r="67" spans="1:17">
      <c r="A67" s="65"/>
      <c r="B67" s="78" t="s">
        <v>25</v>
      </c>
      <c r="C67" s="95" t="s">
        <v>151</v>
      </c>
      <c r="D67" s="254">
        <v>1.92</v>
      </c>
      <c r="E67" s="254">
        <v>1.9</v>
      </c>
      <c r="F67" s="254">
        <v>1.87</v>
      </c>
      <c r="G67" s="254">
        <v>1.85</v>
      </c>
      <c r="H67" s="254"/>
      <c r="I67" s="77" t="s">
        <v>643</v>
      </c>
      <c r="J67" s="74"/>
      <c r="K67" s="244"/>
      <c r="L67" s="65"/>
      <c r="M67" s="65"/>
      <c r="N67" s="65"/>
      <c r="O67" s="65"/>
      <c r="P67" s="65"/>
      <c r="Q67" s="65"/>
    </row>
    <row r="68" spans="1:17">
      <c r="A68" s="65"/>
      <c r="B68" s="78" t="s">
        <v>175</v>
      </c>
      <c r="C68" s="95" t="s">
        <v>26</v>
      </c>
      <c r="D68" s="303">
        <f>D76/'EU Bus'!D75-1</f>
        <v>0.18988132417239223</v>
      </c>
      <c r="E68" s="303">
        <f>(D68+F68)/2</f>
        <v>0.18994066208619612</v>
      </c>
      <c r="F68" s="303">
        <v>0.19</v>
      </c>
      <c r="G68" s="303">
        <v>0.19</v>
      </c>
      <c r="H68" s="249"/>
      <c r="I68" s="77" t="s">
        <v>176</v>
      </c>
      <c r="J68" s="119"/>
      <c r="K68" s="244"/>
      <c r="L68" s="65"/>
      <c r="M68" s="65"/>
      <c r="N68" s="65"/>
      <c r="O68" s="65"/>
      <c r="P68" s="65"/>
      <c r="Q68" s="65"/>
    </row>
    <row r="69" spans="1:17">
      <c r="A69" s="65"/>
      <c r="B69" s="78" t="s">
        <v>120</v>
      </c>
      <c r="C69" s="95" t="s">
        <v>121</v>
      </c>
      <c r="D69" s="253">
        <v>67000</v>
      </c>
      <c r="E69" s="253">
        <v>67000</v>
      </c>
      <c r="F69" s="253">
        <v>67000</v>
      </c>
      <c r="G69" s="253">
        <v>67000</v>
      </c>
      <c r="H69" s="253"/>
      <c r="I69" s="77" t="s">
        <v>645</v>
      </c>
      <c r="J69" s="119"/>
      <c r="K69" s="244"/>
      <c r="L69" s="65"/>
      <c r="M69" s="65"/>
      <c r="N69" s="65"/>
      <c r="O69" s="65"/>
      <c r="P69" s="65"/>
      <c r="Q69" s="65"/>
    </row>
    <row r="70" spans="1:17">
      <c r="A70" s="65"/>
      <c r="B70" s="78" t="s">
        <v>123</v>
      </c>
      <c r="C70" s="202" t="s">
        <v>36</v>
      </c>
      <c r="D70" s="271">
        <f>123950/D69</f>
        <v>1.85</v>
      </c>
      <c r="E70" s="271">
        <f>123950/E69</f>
        <v>1.85</v>
      </c>
      <c r="F70" s="271">
        <f>123950/F69</f>
        <v>1.85</v>
      </c>
      <c r="G70" s="271">
        <f>123950/G69</f>
        <v>1.85</v>
      </c>
      <c r="H70" s="271"/>
      <c r="I70" s="77" t="s">
        <v>645</v>
      </c>
      <c r="J70" s="339"/>
      <c r="K70" s="244"/>
      <c r="L70" s="65"/>
      <c r="M70" s="65"/>
      <c r="N70" s="65"/>
      <c r="O70" s="65"/>
      <c r="P70" s="65"/>
      <c r="Q70" s="65"/>
    </row>
    <row r="71" spans="1:17">
      <c r="A71" s="65"/>
      <c r="B71" s="165" t="s">
        <v>162</v>
      </c>
      <c r="C71" s="202" t="s">
        <v>177</v>
      </c>
      <c r="D71" s="344">
        <v>2.0713910761154857</v>
      </c>
      <c r="E71" s="344">
        <v>2.3699699699699703</v>
      </c>
      <c r="F71" s="344">
        <v>2.9624624624624625</v>
      </c>
      <c r="G71" s="344">
        <v>3.5075555555555558</v>
      </c>
      <c r="H71" s="344"/>
      <c r="I71" s="77" t="s">
        <v>296</v>
      </c>
      <c r="J71" s="119"/>
      <c r="K71" s="244"/>
      <c r="L71" s="65"/>
      <c r="M71" s="67"/>
      <c r="N71" s="188"/>
      <c r="O71" s="188"/>
      <c r="P71" s="65"/>
      <c r="Q71" s="65"/>
    </row>
    <row r="72" spans="1:17">
      <c r="A72" s="65"/>
      <c r="B72" s="165" t="s">
        <v>164</v>
      </c>
      <c r="C72" s="202" t="s">
        <v>26</v>
      </c>
      <c r="D72" s="343">
        <f>D67/D76</f>
        <v>0.10078740157480315</v>
      </c>
      <c r="E72" s="343">
        <f>E67/E76</f>
        <v>0.11411411411411412</v>
      </c>
      <c r="F72" s="343">
        <f>F67/F76</f>
        <v>0.14039039039039039</v>
      </c>
      <c r="G72" s="343">
        <f>G67/G76</f>
        <v>0.16444444444444445</v>
      </c>
      <c r="H72" s="302"/>
      <c r="I72" s="77"/>
      <c r="J72" s="119"/>
      <c r="K72" s="244"/>
      <c r="L72" s="65"/>
      <c r="M72" s="65"/>
      <c r="N72" s="65"/>
      <c r="O72" s="65"/>
      <c r="P72" s="65"/>
      <c r="Q72" s="65"/>
    </row>
    <row r="73" spans="1:17" ht="14.4" thickBot="1">
      <c r="A73" s="65"/>
      <c r="B73" s="248"/>
      <c r="C73" s="247"/>
      <c r="D73" s="337"/>
      <c r="E73" s="337"/>
      <c r="F73" s="337"/>
      <c r="G73" s="337"/>
      <c r="H73" s="337"/>
      <c r="I73" s="337"/>
      <c r="J73" s="70"/>
      <c r="K73" s="244"/>
      <c r="L73" s="65"/>
      <c r="M73" s="65"/>
      <c r="N73" s="65"/>
      <c r="O73" s="65"/>
      <c r="P73" s="65"/>
      <c r="Q73" s="65"/>
    </row>
    <row r="74" spans="1:17">
      <c r="A74" s="65"/>
      <c r="B74" s="65"/>
      <c r="C74" s="65"/>
      <c r="D74" s="192"/>
      <c r="E74" s="192"/>
      <c r="F74" s="192"/>
      <c r="G74" s="192"/>
      <c r="H74" s="192"/>
      <c r="I74" s="192"/>
      <c r="J74" s="65"/>
      <c r="K74" s="244"/>
      <c r="L74" s="65"/>
      <c r="M74" s="65"/>
      <c r="N74" s="65"/>
      <c r="O74" s="65"/>
      <c r="P74" s="65"/>
      <c r="Q74" s="65"/>
    </row>
    <row r="75" spans="1:17" ht="16.2" thickBot="1">
      <c r="A75" s="65"/>
      <c r="B75" s="89" t="s">
        <v>125</v>
      </c>
      <c r="C75" s="65"/>
      <c r="D75" s="65"/>
      <c r="E75" s="65"/>
      <c r="F75" s="188"/>
      <c r="G75" s="65"/>
      <c r="I75" s="65"/>
      <c r="J75" s="65"/>
      <c r="K75" s="244"/>
      <c r="L75" s="65"/>
      <c r="M75" s="65"/>
      <c r="N75" s="65"/>
      <c r="O75" s="65"/>
      <c r="P75" s="65"/>
      <c r="Q75" s="65"/>
    </row>
    <row r="76" spans="1:17">
      <c r="A76" s="65"/>
      <c r="B76" s="88" t="s">
        <v>149</v>
      </c>
      <c r="C76" s="85"/>
      <c r="D76" s="182">
        <v>19.05</v>
      </c>
      <c r="E76" s="182">
        <v>16.649999999999999</v>
      </c>
      <c r="F76" s="182">
        <v>13.32</v>
      </c>
      <c r="G76" s="182">
        <v>11.25</v>
      </c>
      <c r="H76" s="182"/>
      <c r="I76" s="182" t="s">
        <v>643</v>
      </c>
      <c r="J76" s="83"/>
      <c r="K76" s="244"/>
      <c r="L76" s="65"/>
      <c r="M76" s="65"/>
      <c r="N76" s="65"/>
      <c r="O76" s="65"/>
      <c r="P76" s="65"/>
      <c r="Q76" s="65"/>
    </row>
    <row r="77" spans="1:17">
      <c r="A77" s="65"/>
      <c r="B77" s="78"/>
      <c r="C77" s="77"/>
      <c r="D77" s="245"/>
      <c r="E77" s="245"/>
      <c r="F77" s="245"/>
      <c r="G77" s="245"/>
      <c r="H77" s="245"/>
      <c r="I77" s="77"/>
      <c r="J77" s="74"/>
      <c r="K77" s="244"/>
      <c r="L77" s="65"/>
      <c r="M77" s="65"/>
      <c r="N77" s="65"/>
      <c r="O77" s="65"/>
      <c r="P77" s="65"/>
      <c r="Q77" s="65"/>
    </row>
    <row r="78" spans="1:17">
      <c r="A78" s="65"/>
      <c r="B78" s="78" t="s">
        <v>20</v>
      </c>
      <c r="C78" s="77" t="s">
        <v>27</v>
      </c>
      <c r="D78" s="326"/>
      <c r="E78" s="326"/>
      <c r="F78" s="326"/>
      <c r="G78" s="326"/>
      <c r="H78" s="326"/>
      <c r="I78" s="77"/>
      <c r="J78" s="74"/>
      <c r="K78" s="244"/>
      <c r="L78" s="65"/>
      <c r="M78" s="65"/>
      <c r="N78" s="65"/>
      <c r="O78" s="65"/>
      <c r="P78" s="65"/>
      <c r="Q78" s="65"/>
    </row>
    <row r="79" spans="1:17">
      <c r="A79" s="65"/>
      <c r="B79" s="78" t="s">
        <v>21</v>
      </c>
      <c r="C79" s="77" t="s">
        <v>27</v>
      </c>
      <c r="D79" s="342">
        <f>D89/1000*D$67</f>
        <v>0.58666666666666667</v>
      </c>
      <c r="E79" s="342">
        <f>E89/1000*E$67</f>
        <v>0.2638888888888889</v>
      </c>
      <c r="F79" s="342">
        <f>F89/1000*F$67</f>
        <v>0.25972222222222224</v>
      </c>
      <c r="G79" s="342">
        <f>G89/1000*G$67</f>
        <v>0.25694444444444448</v>
      </c>
      <c r="H79" s="342"/>
      <c r="I79" s="77"/>
      <c r="J79" s="74" t="s">
        <v>178</v>
      </c>
      <c r="K79" s="244"/>
      <c r="L79" s="65"/>
      <c r="M79" s="65"/>
      <c r="N79" s="65"/>
      <c r="O79" s="65"/>
      <c r="P79" s="65"/>
      <c r="Q79" s="65"/>
    </row>
    <row r="80" spans="1:17">
      <c r="A80" s="65"/>
      <c r="B80" s="78" t="s">
        <v>22</v>
      </c>
      <c r="C80" s="77" t="s">
        <v>27</v>
      </c>
      <c r="D80" s="326">
        <f t="shared" ref="D80:G83" si="2">D90/1000*D$76</f>
        <v>5.4923867138334519E-2</v>
      </c>
      <c r="E80" s="326">
        <f t="shared" si="2"/>
        <v>6.3550458343337377E-2</v>
      </c>
      <c r="F80" s="326">
        <f t="shared" si="2"/>
        <v>5.0840366674669908E-2</v>
      </c>
      <c r="G80" s="326">
        <f t="shared" si="2"/>
        <v>4.2939498880633364E-2</v>
      </c>
      <c r="H80" s="326"/>
      <c r="I80" s="77"/>
      <c r="J80" s="74"/>
      <c r="K80" s="244"/>
      <c r="L80" s="65"/>
      <c r="M80" s="65"/>
      <c r="N80" s="65"/>
      <c r="O80" s="65"/>
      <c r="P80" s="65"/>
      <c r="Q80" s="65"/>
    </row>
    <row r="81" spans="1:17">
      <c r="A81" s="65"/>
      <c r="B81" s="78" t="s">
        <v>23</v>
      </c>
      <c r="C81" s="77" t="s">
        <v>27</v>
      </c>
      <c r="D81" s="326">
        <f t="shared" si="2"/>
        <v>8.9225262285203381E-3</v>
      </c>
      <c r="E81" s="326">
        <f t="shared" si="2"/>
        <v>7.7984284359508445E-3</v>
      </c>
      <c r="F81" s="326">
        <f t="shared" si="2"/>
        <v>6.2387427487606761E-3</v>
      </c>
      <c r="G81" s="326">
        <f t="shared" si="2"/>
        <v>5.2692084026694898E-3</v>
      </c>
      <c r="H81" s="326"/>
      <c r="I81" s="77"/>
      <c r="J81" s="119"/>
      <c r="K81" s="269"/>
      <c r="L81" s="65"/>
      <c r="M81" s="65"/>
      <c r="N81" s="65"/>
      <c r="O81" s="65"/>
      <c r="P81" s="65"/>
      <c r="Q81" s="65"/>
    </row>
    <row r="82" spans="1:17">
      <c r="A82" s="65"/>
      <c r="B82" s="165" t="s">
        <v>37</v>
      </c>
      <c r="C82" s="77" t="s">
        <v>27</v>
      </c>
      <c r="D82" s="326">
        <f t="shared" si="2"/>
        <v>8.0240014070276668</v>
      </c>
      <c r="E82" s="326">
        <f t="shared" si="2"/>
        <v>0.71451124604611038</v>
      </c>
      <c r="F82" s="326">
        <f t="shared" si="2"/>
        <v>0.57160899683688837</v>
      </c>
      <c r="G82" s="326">
        <f t="shared" si="2"/>
        <v>0.48277786895007457</v>
      </c>
      <c r="H82" s="326"/>
      <c r="I82" s="77"/>
      <c r="J82" s="119"/>
      <c r="K82" s="244"/>
      <c r="L82" s="65"/>
      <c r="M82" s="65"/>
      <c r="N82" s="65"/>
      <c r="O82" s="65"/>
      <c r="P82" s="65"/>
      <c r="Q82" s="65"/>
    </row>
    <row r="83" spans="1:17">
      <c r="A83" s="65"/>
      <c r="B83" s="78" t="s">
        <v>24</v>
      </c>
      <c r="C83" s="77" t="s">
        <v>27</v>
      </c>
      <c r="D83" s="326">
        <f t="shared" si="2"/>
        <v>6.2615407231879597E-2</v>
      </c>
      <c r="E83" s="326">
        <f t="shared" si="2"/>
        <v>8.1848621431590603E-3</v>
      </c>
      <c r="F83" s="326">
        <f t="shared" si="2"/>
        <v>6.5478897145272484E-3</v>
      </c>
      <c r="G83" s="326">
        <f t="shared" si="2"/>
        <v>5.5303122588912573E-3</v>
      </c>
      <c r="H83" s="326"/>
      <c r="I83" s="77"/>
      <c r="J83" s="119"/>
      <c r="K83" s="269"/>
      <c r="L83" s="65"/>
      <c r="M83" s="65"/>
      <c r="N83" s="65"/>
      <c r="O83" s="65"/>
      <c r="P83" s="65"/>
      <c r="Q83" s="65"/>
    </row>
    <row r="84" spans="1:17" ht="14.4" thickBot="1">
      <c r="A84" s="65"/>
      <c r="B84" s="73"/>
      <c r="C84" s="72"/>
      <c r="D84" s="242"/>
      <c r="E84" s="242"/>
      <c r="F84" s="242"/>
      <c r="G84" s="242"/>
      <c r="H84" s="242"/>
      <c r="I84" s="72"/>
      <c r="J84" s="90"/>
      <c r="K84" s="65"/>
      <c r="L84" s="65"/>
      <c r="M84" s="65"/>
      <c r="N84" s="65"/>
      <c r="O84" s="65"/>
      <c r="P84" s="65"/>
      <c r="Q84" s="65"/>
    </row>
    <row r="85" spans="1:17">
      <c r="A85" s="65"/>
      <c r="B85" s="65"/>
      <c r="C85" s="65"/>
      <c r="D85" s="65"/>
      <c r="E85" s="65"/>
      <c r="F85" s="65"/>
      <c r="G85" s="65"/>
      <c r="I85" s="65"/>
      <c r="J85" s="65"/>
      <c r="K85" s="65"/>
      <c r="L85" s="65"/>
      <c r="M85" s="65"/>
      <c r="N85" s="65"/>
      <c r="O85" s="65"/>
      <c r="P85" s="65"/>
      <c r="Q85" s="65"/>
    </row>
    <row r="86" spans="1:17" ht="14.4" thickBot="1">
      <c r="A86" s="65"/>
      <c r="B86" s="154" t="s">
        <v>171</v>
      </c>
      <c r="C86" s="65"/>
      <c r="D86" s="65"/>
      <c r="E86" s="65"/>
      <c r="F86" s="65"/>
      <c r="G86" s="65"/>
      <c r="I86" s="65"/>
      <c r="J86" s="65"/>
      <c r="K86" s="65"/>
      <c r="L86" s="65"/>
      <c r="M86" s="65"/>
      <c r="N86" s="65"/>
      <c r="O86" s="65"/>
      <c r="P86" s="65"/>
      <c r="Q86" s="65"/>
    </row>
    <row r="87" spans="1:17">
      <c r="A87" s="65"/>
      <c r="B87" s="88"/>
      <c r="C87" s="85"/>
      <c r="D87" s="241">
        <v>2015</v>
      </c>
      <c r="E87" s="241">
        <v>2020</v>
      </c>
      <c r="F87" s="241">
        <v>2035</v>
      </c>
      <c r="G87" s="241"/>
      <c r="H87" s="241"/>
      <c r="I87" s="85"/>
      <c r="J87" s="83"/>
      <c r="K87" s="65"/>
      <c r="L87" s="65"/>
      <c r="M87" s="65"/>
      <c r="N87" s="65"/>
      <c r="O87" s="65"/>
      <c r="P87" s="65"/>
      <c r="Q87" s="65"/>
    </row>
    <row r="88" spans="1:17">
      <c r="A88" s="65"/>
      <c r="B88" s="240" t="s">
        <v>20</v>
      </c>
      <c r="C88" s="135" t="s">
        <v>172</v>
      </c>
      <c r="D88" s="238"/>
      <c r="E88" s="238"/>
      <c r="F88" s="238"/>
      <c r="G88" s="238"/>
      <c r="H88" s="238"/>
      <c r="I88" s="77"/>
      <c r="J88" s="74"/>
      <c r="K88" s="65"/>
      <c r="L88" s="65"/>
      <c r="M88" s="65"/>
      <c r="N88" s="65"/>
      <c r="O88" s="65"/>
      <c r="P88" s="65"/>
      <c r="Q88" s="65"/>
    </row>
    <row r="89" spans="1:17">
      <c r="A89" s="65"/>
      <c r="B89" s="240" t="s">
        <v>21</v>
      </c>
      <c r="C89" s="77" t="s">
        <v>172</v>
      </c>
      <c r="D89" s="298">
        <f>'EU Lastbil Gas'!D89</f>
        <v>305.5555555555556</v>
      </c>
      <c r="E89" s="298">
        <f>'EU Lastbil Gas'!E89</f>
        <v>138.88888888888889</v>
      </c>
      <c r="F89" s="298">
        <f>'EU Lastbil Gas'!F89</f>
        <v>138.88888888888889</v>
      </c>
      <c r="G89" s="298">
        <f>'EU Lastbil Gas'!G89</f>
        <v>138.88888888888889</v>
      </c>
      <c r="H89" s="298"/>
      <c r="I89" s="77" t="s">
        <v>646</v>
      </c>
      <c r="J89" s="119" t="s">
        <v>179</v>
      </c>
      <c r="K89" s="65"/>
      <c r="L89" s="65"/>
      <c r="M89" s="65"/>
      <c r="N89" s="65"/>
      <c r="O89" s="65"/>
      <c r="P89" s="65"/>
      <c r="Q89" s="65"/>
    </row>
    <row r="90" spans="1:17">
      <c r="A90" s="65"/>
      <c r="B90" s="240" t="s">
        <v>22</v>
      </c>
      <c r="C90" s="77" t="s">
        <v>172</v>
      </c>
      <c r="D90" s="239">
        <f>'EU Bus'!D89</f>
        <v>2.8831426319335707</v>
      </c>
      <c r="E90" s="239">
        <f>'EU Bus'!E89</f>
        <v>3.8168443449451881</v>
      </c>
      <c r="F90" s="239">
        <f>'EU Bus'!F89</f>
        <v>3.8168443449451881</v>
      </c>
      <c r="G90" s="239">
        <f>'EU Bus'!G89</f>
        <v>3.8168443449451881</v>
      </c>
      <c r="H90" s="239"/>
      <c r="I90" s="77"/>
      <c r="J90" s="74"/>
      <c r="K90" s="65"/>
      <c r="L90" s="65"/>
      <c r="M90" s="65"/>
      <c r="N90" s="65"/>
      <c r="O90" s="65"/>
      <c r="P90" s="65"/>
      <c r="Q90" s="65"/>
    </row>
    <row r="91" spans="1:17">
      <c r="A91" s="65"/>
      <c r="B91" s="240" t="s">
        <v>23</v>
      </c>
      <c r="C91" s="77" t="s">
        <v>172</v>
      </c>
      <c r="D91" s="239">
        <f>'EU Bus'!D90</f>
        <v>0.46837408023728805</v>
      </c>
      <c r="E91" s="239">
        <f>'EU Bus'!E90</f>
        <v>0.46837408023728799</v>
      </c>
      <c r="F91" s="239">
        <f>'EU Bus'!F90</f>
        <v>0.46837408023728799</v>
      </c>
      <c r="G91" s="239">
        <f>'EU Bus'!G90</f>
        <v>0.46837408023728799</v>
      </c>
      <c r="H91" s="239"/>
      <c r="I91" s="77"/>
      <c r="J91" s="74" t="s">
        <v>180</v>
      </c>
      <c r="K91" s="65"/>
      <c r="L91" s="65"/>
      <c r="M91" s="65"/>
      <c r="N91" s="65"/>
      <c r="O91" s="65"/>
      <c r="P91" s="65"/>
      <c r="Q91" s="65"/>
    </row>
    <row r="92" spans="1:17">
      <c r="A92" s="65"/>
      <c r="B92" s="133" t="s">
        <v>37</v>
      </c>
      <c r="C92" s="77" t="s">
        <v>172</v>
      </c>
      <c r="D92" s="238">
        <f>'EU Bus'!D91</f>
        <v>421.20742294108487</v>
      </c>
      <c r="E92" s="238">
        <f>'EU Bus'!E91</f>
        <v>42.913588351117738</v>
      </c>
      <c r="F92" s="238">
        <f>'EU Bus'!F91</f>
        <v>42.913588351117738</v>
      </c>
      <c r="G92" s="238">
        <f>'EU Bus'!G91</f>
        <v>42.913588351117738</v>
      </c>
      <c r="H92" s="238"/>
      <c r="I92" s="77"/>
      <c r="J92" s="74"/>
      <c r="K92" s="65"/>
      <c r="L92" s="65"/>
      <c r="M92" s="65"/>
      <c r="N92" s="65"/>
      <c r="O92" s="65"/>
      <c r="P92" s="65"/>
      <c r="Q92" s="65"/>
    </row>
    <row r="93" spans="1:17" ht="14.4" thickBot="1">
      <c r="A93" s="65"/>
      <c r="B93" s="237" t="s">
        <v>24</v>
      </c>
      <c r="C93" s="72" t="s">
        <v>172</v>
      </c>
      <c r="D93" s="236">
        <f>'EU Bus'!D92</f>
        <v>3.2868980174215006</v>
      </c>
      <c r="E93" s="236">
        <f>'EU Bus'!E92</f>
        <v>0.49158331190144505</v>
      </c>
      <c r="F93" s="236">
        <f>'EU Bus'!F92</f>
        <v>0.49158331190144505</v>
      </c>
      <c r="G93" s="236">
        <f>'EU Bus'!G92</f>
        <v>0.49158331190144505</v>
      </c>
      <c r="H93" s="236"/>
      <c r="I93" s="72"/>
      <c r="J93" s="90"/>
      <c r="K93" s="65"/>
      <c r="L93" s="65"/>
      <c r="M93" s="65"/>
      <c r="N93" s="65"/>
      <c r="O93" s="65"/>
      <c r="P93" s="65"/>
      <c r="Q93" s="65"/>
    </row>
    <row r="94" spans="1:17">
      <c r="A94" s="65"/>
      <c r="B94" s="65"/>
      <c r="C94" s="65"/>
      <c r="D94" s="65"/>
      <c r="E94" s="65"/>
      <c r="F94" s="65"/>
      <c r="G94" s="65"/>
      <c r="I94" s="65"/>
      <c r="J94" s="65"/>
      <c r="K94" s="65"/>
      <c r="L94" s="65"/>
      <c r="M94" s="65"/>
      <c r="N94" s="65"/>
      <c r="O94" s="65"/>
      <c r="P94" s="65"/>
      <c r="Q94" s="65"/>
    </row>
    <row r="95" spans="1:17">
      <c r="A95" s="65"/>
      <c r="B95" s="65"/>
      <c r="C95" s="65"/>
      <c r="D95" s="65"/>
      <c r="E95" s="65"/>
      <c r="F95" s="65"/>
      <c r="G95" s="65"/>
      <c r="H95" s="68"/>
      <c r="I95" s="65"/>
      <c r="J95" s="65"/>
      <c r="K95" s="65"/>
      <c r="L95" s="65"/>
      <c r="M95" s="65"/>
      <c r="N95" s="65"/>
      <c r="O95" s="65"/>
      <c r="P95" s="65"/>
      <c r="Q95" s="65"/>
    </row>
    <row r="96" spans="1:17">
      <c r="A96" s="65"/>
      <c r="B96" s="65"/>
      <c r="C96" s="65"/>
      <c r="D96" s="65"/>
      <c r="E96" s="65"/>
      <c r="F96" s="65"/>
      <c r="G96" s="65"/>
      <c r="H96" s="68"/>
      <c r="I96" s="65"/>
      <c r="J96" s="65"/>
      <c r="K96" s="65"/>
      <c r="L96" s="65"/>
      <c r="M96" s="65"/>
      <c r="N96" s="65"/>
      <c r="O96" s="65"/>
      <c r="P96" s="65"/>
      <c r="Q96" s="65"/>
    </row>
    <row r="97" spans="1:17">
      <c r="A97" s="65"/>
      <c r="B97" s="65"/>
      <c r="C97" s="65"/>
      <c r="D97" s="65"/>
      <c r="E97" s="65"/>
      <c r="F97" s="65"/>
      <c r="G97" s="65"/>
      <c r="H97" s="68"/>
      <c r="I97" s="65"/>
      <c r="J97" s="65"/>
      <c r="K97" s="65"/>
      <c r="L97" s="65"/>
      <c r="M97" s="65"/>
      <c r="N97" s="65"/>
      <c r="O97" s="65"/>
      <c r="P97" s="65"/>
      <c r="Q97" s="65"/>
    </row>
    <row r="98" spans="1:17">
      <c r="A98" s="65"/>
      <c r="B98" s="65"/>
      <c r="C98" s="65"/>
      <c r="D98" s="65"/>
      <c r="E98" s="65"/>
      <c r="F98" s="65"/>
      <c r="G98" s="65"/>
      <c r="H98" s="68"/>
      <c r="I98" s="65"/>
      <c r="J98" s="65"/>
      <c r="K98" s="65"/>
      <c r="L98" s="65"/>
      <c r="M98" s="65"/>
      <c r="N98" s="65"/>
      <c r="O98" s="65"/>
      <c r="P98" s="65"/>
      <c r="Q98" s="65"/>
    </row>
    <row r="99" spans="1:17">
      <c r="A99" s="65"/>
      <c r="B99" s="65"/>
      <c r="C99" s="65"/>
      <c r="D99" s="65"/>
      <c r="E99" s="65"/>
      <c r="F99" s="65"/>
      <c r="G99" s="65"/>
      <c r="H99" s="68"/>
      <c r="I99" s="65"/>
      <c r="J99" s="65"/>
      <c r="K99" s="65"/>
      <c r="L99" s="65"/>
      <c r="M99" s="65"/>
      <c r="N99" s="65"/>
      <c r="O99" s="65"/>
      <c r="P99" s="65"/>
      <c r="Q99" s="65"/>
    </row>
    <row r="100" spans="1:17">
      <c r="A100" s="65"/>
      <c r="B100" s="65"/>
      <c r="C100" s="65"/>
      <c r="D100" s="65"/>
      <c r="E100" s="65"/>
      <c r="F100" s="65"/>
      <c r="G100" s="65"/>
      <c r="I100" s="65"/>
      <c r="J100" s="65"/>
      <c r="K100" s="65"/>
      <c r="L100" s="65"/>
      <c r="M100" s="65"/>
      <c r="N100" s="65"/>
      <c r="O100" s="65"/>
      <c r="P100" s="65"/>
      <c r="Q100" s="65"/>
    </row>
    <row r="101" spans="1:17">
      <c r="A101" s="65"/>
      <c r="B101" s="65"/>
      <c r="C101" s="65"/>
      <c r="D101" s="65"/>
      <c r="E101" s="65"/>
      <c r="F101" s="65"/>
      <c r="G101" s="65"/>
      <c r="I101" s="65"/>
      <c r="J101" s="65"/>
      <c r="K101" s="65"/>
      <c r="L101" s="65"/>
      <c r="M101" s="65"/>
      <c r="N101" s="65"/>
      <c r="O101" s="65"/>
      <c r="P101" s="65"/>
      <c r="Q101" s="65"/>
    </row>
    <row r="102" spans="1:17">
      <c r="A102" s="65"/>
      <c r="B102" s="65"/>
      <c r="C102" s="65"/>
      <c r="D102" s="65"/>
      <c r="E102" s="65"/>
      <c r="F102" s="65"/>
      <c r="G102" s="65"/>
      <c r="I102" s="65"/>
      <c r="J102" s="65"/>
      <c r="K102" s="65"/>
      <c r="L102" s="65"/>
      <c r="M102" s="65"/>
      <c r="N102" s="65"/>
      <c r="O102" s="65"/>
      <c r="P102" s="65"/>
      <c r="Q102" s="65"/>
    </row>
    <row r="103" spans="1:17">
      <c r="A103" s="65"/>
      <c r="B103" s="65"/>
      <c r="C103" s="65"/>
      <c r="D103" s="65"/>
      <c r="E103" s="65"/>
      <c r="F103" s="65"/>
      <c r="G103" s="65"/>
      <c r="I103" s="65"/>
      <c r="J103" s="65"/>
      <c r="K103" s="65"/>
      <c r="L103" s="65"/>
      <c r="M103" s="65"/>
      <c r="N103" s="65"/>
      <c r="O103" s="65"/>
      <c r="P103" s="65"/>
      <c r="Q103" s="65"/>
    </row>
    <row r="104" spans="1:17">
      <c r="A104" s="65"/>
      <c r="B104" s="65"/>
      <c r="C104" s="65"/>
      <c r="D104" s="65"/>
      <c r="E104" s="65"/>
      <c r="F104" s="65"/>
      <c r="G104" s="65"/>
      <c r="I104" s="65"/>
      <c r="J104" s="65"/>
      <c r="K104" s="65"/>
      <c r="L104" s="65"/>
      <c r="M104" s="65"/>
      <c r="N104" s="65"/>
      <c r="O104" s="65"/>
      <c r="P104" s="65"/>
      <c r="Q104" s="65"/>
    </row>
    <row r="105" spans="1:17">
      <c r="A105" s="65"/>
      <c r="B105" s="65"/>
      <c r="C105" s="65"/>
      <c r="D105" s="65"/>
      <c r="E105" s="65"/>
      <c r="F105" s="65"/>
      <c r="G105" s="65"/>
      <c r="I105" s="65"/>
      <c r="J105" s="65"/>
      <c r="K105" s="65"/>
      <c r="L105" s="65"/>
      <c r="M105" s="65"/>
      <c r="N105" s="65"/>
      <c r="O105" s="65"/>
      <c r="P105" s="65"/>
      <c r="Q105" s="65"/>
    </row>
    <row r="106" spans="1:17">
      <c r="A106" s="65"/>
      <c r="B106" s="65"/>
      <c r="C106" s="65"/>
      <c r="D106" s="65"/>
      <c r="E106" s="65"/>
      <c r="F106" s="65"/>
      <c r="G106" s="65"/>
      <c r="I106" s="65"/>
      <c r="J106" s="65"/>
      <c r="K106" s="65"/>
      <c r="L106" s="65"/>
      <c r="M106" s="65"/>
      <c r="N106" s="65"/>
      <c r="O106" s="65"/>
      <c r="P106" s="65"/>
      <c r="Q106" s="65"/>
    </row>
    <row r="107" spans="1:17">
      <c r="A107" s="65"/>
      <c r="B107" s="65"/>
      <c r="C107" s="65"/>
      <c r="D107" s="65"/>
      <c r="E107" s="65"/>
      <c r="F107" s="65"/>
      <c r="G107" s="65"/>
      <c r="I107" s="65"/>
      <c r="J107" s="65"/>
      <c r="K107" s="65"/>
      <c r="L107" s="65"/>
      <c r="M107" s="65"/>
      <c r="N107" s="65"/>
      <c r="O107" s="65"/>
      <c r="P107" s="65"/>
      <c r="Q107" s="65"/>
    </row>
    <row r="108" spans="1:17">
      <c r="A108" s="65"/>
      <c r="B108" s="65"/>
      <c r="C108" s="65"/>
      <c r="D108" s="65"/>
      <c r="E108" s="65"/>
      <c r="F108" s="65"/>
      <c r="G108" s="65"/>
      <c r="I108" s="65"/>
      <c r="J108" s="65"/>
      <c r="K108" s="65"/>
      <c r="L108" s="65"/>
      <c r="M108" s="65"/>
      <c r="N108" s="65"/>
      <c r="O108" s="65"/>
      <c r="P108" s="65"/>
      <c r="Q108" s="65"/>
    </row>
    <row r="109" spans="1:17">
      <c r="A109" s="65"/>
      <c r="B109" s="65"/>
      <c r="C109" s="65"/>
      <c r="D109" s="65"/>
      <c r="E109" s="65"/>
      <c r="F109" s="65"/>
      <c r="G109" s="65"/>
      <c r="I109" s="65"/>
      <c r="J109" s="65"/>
      <c r="K109" s="65"/>
      <c r="L109" s="65"/>
      <c r="M109" s="65"/>
      <c r="N109" s="65"/>
      <c r="O109" s="65"/>
      <c r="P109" s="65"/>
      <c r="Q109" s="65"/>
    </row>
    <row r="110" spans="1:17">
      <c r="A110" s="65"/>
      <c r="B110" s="65"/>
      <c r="C110" s="65"/>
      <c r="D110" s="65"/>
      <c r="E110" s="65"/>
      <c r="F110" s="65"/>
      <c r="G110" s="65"/>
      <c r="I110" s="65"/>
      <c r="J110" s="65"/>
      <c r="K110" s="65"/>
      <c r="L110" s="65"/>
      <c r="M110" s="65"/>
      <c r="N110" s="65"/>
      <c r="O110" s="65"/>
      <c r="P110" s="65"/>
      <c r="Q110" s="65"/>
    </row>
    <row r="111" spans="1:17">
      <c r="A111" s="65"/>
      <c r="B111" s="65"/>
      <c r="C111" s="65"/>
      <c r="D111" s="65"/>
      <c r="E111" s="65"/>
      <c r="F111" s="65"/>
      <c r="G111" s="65"/>
      <c r="I111" s="65"/>
      <c r="J111" s="65"/>
      <c r="K111" s="65"/>
      <c r="L111" s="65"/>
      <c r="M111" s="65"/>
      <c r="N111" s="65"/>
      <c r="O111" s="65"/>
      <c r="P111" s="65"/>
      <c r="Q111" s="65"/>
    </row>
    <row r="112" spans="1:17">
      <c r="A112" s="65"/>
      <c r="B112" s="65"/>
      <c r="C112" s="65"/>
      <c r="D112" s="65"/>
      <c r="E112" s="65"/>
      <c r="F112" s="65"/>
      <c r="G112" s="65"/>
      <c r="I112" s="65"/>
      <c r="J112" s="65"/>
      <c r="K112" s="65"/>
      <c r="L112" s="65"/>
      <c r="M112" s="65"/>
      <c r="N112" s="65"/>
      <c r="O112" s="65"/>
      <c r="P112" s="65"/>
      <c r="Q112" s="65"/>
    </row>
    <row r="113" spans="1:17">
      <c r="A113" s="65"/>
      <c r="B113" s="65"/>
      <c r="C113" s="65"/>
      <c r="D113" s="65"/>
      <c r="E113" s="65"/>
      <c r="F113" s="65"/>
      <c r="G113" s="65"/>
      <c r="I113" s="65"/>
      <c r="J113" s="65"/>
      <c r="K113" s="65"/>
      <c r="L113" s="65"/>
      <c r="M113" s="65"/>
      <c r="N113" s="65"/>
      <c r="O113" s="65"/>
      <c r="P113" s="65"/>
      <c r="Q113" s="65"/>
    </row>
    <row r="114" spans="1:17">
      <c r="A114" s="65"/>
      <c r="B114" s="65"/>
      <c r="C114" s="65"/>
      <c r="D114" s="65"/>
      <c r="E114" s="65"/>
      <c r="F114" s="65"/>
      <c r="G114" s="65"/>
      <c r="I114" s="65"/>
      <c r="J114" s="65"/>
      <c r="K114" s="65"/>
      <c r="L114" s="65"/>
      <c r="M114" s="65"/>
      <c r="N114" s="65"/>
      <c r="O114" s="65"/>
      <c r="P114" s="65"/>
      <c r="Q114" s="65"/>
    </row>
    <row r="115" spans="1:17">
      <c r="A115" s="65"/>
      <c r="B115" s="65"/>
      <c r="C115" s="65"/>
      <c r="D115" s="65"/>
      <c r="E115" s="65"/>
      <c r="F115" s="65"/>
      <c r="G115" s="65"/>
      <c r="I115" s="65"/>
      <c r="J115" s="65"/>
      <c r="K115" s="65"/>
      <c r="L115" s="65"/>
      <c r="M115" s="65"/>
      <c r="N115" s="65"/>
      <c r="O115" s="65"/>
      <c r="P115" s="65"/>
      <c r="Q115" s="65"/>
    </row>
    <row r="116" spans="1:17">
      <c r="A116" s="65"/>
      <c r="B116" s="65"/>
      <c r="C116" s="65"/>
      <c r="D116" s="65"/>
      <c r="E116" s="65"/>
      <c r="F116" s="65"/>
      <c r="G116" s="65"/>
      <c r="I116" s="65"/>
      <c r="J116" s="65"/>
      <c r="K116" s="65"/>
      <c r="L116" s="65"/>
      <c r="M116" s="65"/>
      <c r="N116" s="65"/>
      <c r="O116" s="65"/>
      <c r="P116" s="65"/>
      <c r="Q116" s="65"/>
    </row>
    <row r="117" spans="1:17">
      <c r="A117" s="65"/>
      <c r="B117" s="65"/>
      <c r="C117" s="65"/>
      <c r="D117" s="65"/>
      <c r="E117" s="65"/>
      <c r="F117" s="65"/>
      <c r="G117" s="65"/>
      <c r="I117" s="65"/>
      <c r="J117" s="65"/>
      <c r="K117" s="65"/>
      <c r="L117" s="65"/>
      <c r="M117" s="65"/>
      <c r="N117" s="65"/>
      <c r="O117" s="65"/>
      <c r="P117" s="65"/>
      <c r="Q117" s="65"/>
    </row>
    <row r="118" spans="1:17">
      <c r="A118" s="65"/>
      <c r="B118" s="65"/>
      <c r="C118" s="65"/>
      <c r="D118" s="65"/>
      <c r="E118" s="65"/>
      <c r="F118" s="65"/>
      <c r="G118" s="65"/>
      <c r="I118" s="65"/>
      <c r="J118" s="65"/>
      <c r="K118" s="65"/>
      <c r="L118" s="65"/>
      <c r="M118" s="65"/>
      <c r="N118" s="65"/>
      <c r="O118" s="65"/>
      <c r="P118" s="65"/>
      <c r="Q118" s="65"/>
    </row>
    <row r="119" spans="1:17">
      <c r="A119" s="65"/>
      <c r="B119" s="65"/>
      <c r="C119" s="65"/>
      <c r="D119" s="65"/>
      <c r="E119" s="65"/>
      <c r="F119" s="65"/>
      <c r="G119" s="65"/>
      <c r="I119" s="65"/>
      <c r="J119" s="65"/>
      <c r="K119" s="65"/>
      <c r="L119" s="65"/>
      <c r="M119" s="65"/>
      <c r="N119" s="65"/>
      <c r="O119" s="65"/>
      <c r="P119" s="65"/>
      <c r="Q119" s="65"/>
    </row>
    <row r="120" spans="1:17">
      <c r="A120" s="65"/>
      <c r="B120" s="65"/>
      <c r="C120" s="65"/>
      <c r="D120" s="65"/>
      <c r="E120" s="65"/>
      <c r="F120" s="65"/>
      <c r="G120" s="65"/>
      <c r="I120" s="65"/>
      <c r="J120" s="65"/>
      <c r="K120" s="65"/>
      <c r="L120" s="65"/>
      <c r="M120" s="65"/>
      <c r="N120" s="65"/>
      <c r="O120" s="65"/>
      <c r="P120" s="65"/>
      <c r="Q120" s="65"/>
    </row>
    <row r="121" spans="1:17">
      <c r="A121" s="65"/>
      <c r="B121" s="65"/>
      <c r="C121" s="65"/>
      <c r="D121" s="65"/>
      <c r="E121" s="65"/>
      <c r="F121" s="65"/>
      <c r="G121" s="65"/>
      <c r="I121" s="65"/>
      <c r="J121" s="65"/>
      <c r="K121" s="65"/>
      <c r="L121" s="65"/>
      <c r="M121" s="65"/>
      <c r="N121" s="65"/>
      <c r="O121" s="65"/>
      <c r="P121" s="65"/>
      <c r="Q121" s="65"/>
    </row>
    <row r="122" spans="1:17">
      <c r="A122" s="65"/>
      <c r="B122" s="65"/>
      <c r="C122" s="65"/>
      <c r="D122" s="65"/>
      <c r="E122" s="65"/>
      <c r="F122" s="65"/>
      <c r="G122" s="65"/>
      <c r="I122" s="65"/>
      <c r="J122" s="65"/>
      <c r="K122" s="65"/>
      <c r="L122" s="65"/>
      <c r="M122" s="65"/>
      <c r="N122" s="65"/>
      <c r="O122" s="65"/>
      <c r="P122" s="65"/>
      <c r="Q122" s="65"/>
    </row>
    <row r="123" spans="1:17">
      <c r="B123" s="65"/>
      <c r="C123" s="65"/>
      <c r="D123" s="65"/>
      <c r="E123"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002060"/>
  </sheetPr>
  <dimension ref="A1:T122"/>
  <sheetViews>
    <sheetView topLeftCell="A7" zoomScale="80" zoomScaleNormal="80" workbookViewId="0">
      <selection activeCell="J38" sqref="J38"/>
    </sheetView>
  </sheetViews>
  <sheetFormatPr defaultColWidth="9.109375" defaultRowHeight="13.8"/>
  <cols>
    <col min="1" max="1" width="2.88671875" style="267" customWidth="1"/>
    <col min="2" max="2" width="35" style="267" customWidth="1"/>
    <col min="3" max="3" width="18" style="267" customWidth="1"/>
    <col min="4" max="7" width="15.88671875" style="267" customWidth="1"/>
    <col min="8" max="8" width="15.88671875" style="65" customWidth="1"/>
    <col min="9" max="9" width="7.109375" style="267" customWidth="1"/>
    <col min="10" max="10" width="37.44140625" style="267" customWidth="1"/>
    <col min="11" max="17" width="9.109375" style="267"/>
    <col min="18" max="18" width="14.5546875" style="267" customWidth="1"/>
    <col min="19" max="16384" width="9.109375" style="267"/>
  </cols>
  <sheetData>
    <row r="1" spans="1:19" s="62" customFormat="1" ht="21">
      <c r="B1" s="62" t="s">
        <v>153</v>
      </c>
      <c r="Q1" s="62">
        <v>0</v>
      </c>
      <c r="R1" s="64">
        <v>0</v>
      </c>
      <c r="S1" s="63"/>
    </row>
    <row r="2" spans="1:19">
      <c r="A2" s="65"/>
      <c r="B2" s="65"/>
      <c r="C2" s="65"/>
      <c r="D2" s="65"/>
      <c r="E2" s="65"/>
      <c r="F2" s="65"/>
      <c r="G2" s="65"/>
      <c r="I2" s="65"/>
      <c r="J2" s="65"/>
      <c r="K2" s="65"/>
      <c r="L2" s="65"/>
      <c r="M2" s="65"/>
      <c r="N2" s="65"/>
      <c r="O2" s="65"/>
      <c r="P2" s="65"/>
      <c r="Q2" s="65"/>
      <c r="R2" s="275"/>
      <c r="S2" s="275"/>
    </row>
    <row r="3" spans="1:19">
      <c r="A3" s="65"/>
      <c r="B3" s="65"/>
      <c r="C3" s="65"/>
      <c r="D3" s="65"/>
      <c r="E3" s="65"/>
      <c r="F3" s="65"/>
      <c r="G3" s="65"/>
      <c r="I3" s="65"/>
      <c r="J3" s="65"/>
      <c r="K3" s="65"/>
      <c r="L3" s="65"/>
      <c r="M3" s="65"/>
      <c r="N3" s="65"/>
      <c r="O3" s="65"/>
      <c r="P3" s="65"/>
      <c r="Q3" s="65"/>
    </row>
    <row r="4" spans="1:19" ht="14.4" thickBot="1">
      <c r="A4" s="65"/>
      <c r="B4" s="154" t="s">
        <v>91</v>
      </c>
      <c r="C4" s="65"/>
      <c r="D4" s="65"/>
      <c r="E4" s="65"/>
      <c r="F4" s="65"/>
      <c r="G4" s="65"/>
      <c r="I4" s="65"/>
      <c r="J4" s="65"/>
      <c r="K4" s="65"/>
      <c r="L4" s="65"/>
      <c r="M4" s="65"/>
      <c r="N4" s="65"/>
      <c r="O4" s="65"/>
      <c r="P4" s="65"/>
      <c r="Q4" s="65"/>
    </row>
    <row r="5" spans="1:19">
      <c r="A5" s="65"/>
      <c r="B5" s="157" t="s">
        <v>92</v>
      </c>
      <c r="C5" s="85"/>
      <c r="D5" s="85"/>
      <c r="E5" s="85"/>
      <c r="F5" s="85"/>
      <c r="G5" s="85"/>
      <c r="H5" s="85"/>
      <c r="I5" s="85"/>
      <c r="J5" s="85"/>
      <c r="K5" s="85"/>
      <c r="L5" s="85"/>
      <c r="M5" s="85"/>
      <c r="N5" s="85"/>
      <c r="O5" s="83"/>
      <c r="P5" s="65"/>
      <c r="Q5" s="65"/>
    </row>
    <row r="6" spans="1:19">
      <c r="A6" s="65"/>
      <c r="B6" s="133" t="s">
        <v>303</v>
      </c>
      <c r="C6" s="77"/>
      <c r="D6" s="77"/>
      <c r="E6" s="77"/>
      <c r="F6" s="77"/>
      <c r="G6" s="77"/>
      <c r="H6" s="77"/>
      <c r="I6" s="77"/>
      <c r="J6" s="77"/>
      <c r="K6" s="77"/>
      <c r="L6" s="77"/>
      <c r="M6" s="77"/>
      <c r="N6" s="77"/>
      <c r="O6" s="74"/>
      <c r="P6" s="65"/>
      <c r="Q6" s="65"/>
    </row>
    <row r="7" spans="1:19">
      <c r="A7" s="65"/>
      <c r="B7" s="133"/>
      <c r="C7" s="77"/>
      <c r="D7" s="77"/>
      <c r="E7" s="77"/>
      <c r="F7" s="77"/>
      <c r="G7" s="77"/>
      <c r="H7" s="77"/>
      <c r="I7" s="77"/>
      <c r="J7" s="77"/>
      <c r="K7" s="77"/>
      <c r="L7" s="77"/>
      <c r="M7" s="77"/>
      <c r="N7" s="77"/>
      <c r="O7" s="74"/>
      <c r="P7" s="65"/>
      <c r="Q7" s="65"/>
    </row>
    <row r="8" spans="1:19">
      <c r="A8" s="65"/>
      <c r="B8" s="133"/>
      <c r="C8" s="77"/>
      <c r="D8" s="77"/>
      <c r="E8" s="77"/>
      <c r="F8" s="77"/>
      <c r="G8" s="77"/>
      <c r="H8" s="77"/>
      <c r="I8" s="77"/>
      <c r="J8" s="77"/>
      <c r="K8" s="77"/>
      <c r="L8" s="77"/>
      <c r="M8" s="77"/>
      <c r="N8" s="77"/>
      <c r="O8" s="74"/>
      <c r="P8" s="65"/>
      <c r="Q8" s="65"/>
    </row>
    <row r="9" spans="1:19">
      <c r="A9" s="65"/>
      <c r="B9" s="156" t="s">
        <v>232</v>
      </c>
      <c r="C9" s="61" t="s">
        <v>302</v>
      </c>
      <c r="D9" s="77"/>
      <c r="E9" s="77"/>
      <c r="F9" s="77"/>
      <c r="G9" s="77"/>
      <c r="H9" s="77"/>
      <c r="I9" s="77"/>
      <c r="J9" s="77"/>
      <c r="K9" s="77"/>
      <c r="L9" s="77"/>
      <c r="M9" s="77"/>
      <c r="N9" s="77"/>
      <c r="O9" s="74"/>
      <c r="P9" s="65"/>
      <c r="Q9" s="65"/>
    </row>
    <row r="10" spans="1:19">
      <c r="A10" s="65"/>
      <c r="B10" s="133"/>
      <c r="C10" s="77"/>
      <c r="D10" s="77"/>
      <c r="E10" s="77"/>
      <c r="F10" s="77"/>
      <c r="G10" s="77"/>
      <c r="H10" s="77"/>
      <c r="I10" s="77"/>
      <c r="J10" s="77"/>
      <c r="K10" s="77"/>
      <c r="L10" s="77"/>
      <c r="M10" s="77"/>
      <c r="N10" s="77"/>
      <c r="O10" s="74"/>
      <c r="P10" s="65"/>
      <c r="Q10" s="65"/>
    </row>
    <row r="11" spans="1:19">
      <c r="A11" s="65"/>
      <c r="B11" s="155" t="s">
        <v>93</v>
      </c>
      <c r="C11" s="77"/>
      <c r="D11" s="77"/>
      <c r="E11" s="77"/>
      <c r="F11" s="77"/>
      <c r="G11" s="77"/>
      <c r="H11" s="77"/>
      <c r="I11" s="77"/>
      <c r="J11" s="77"/>
      <c r="K11" s="77"/>
      <c r="L11" s="77"/>
      <c r="M11" s="77"/>
      <c r="N11" s="77"/>
      <c r="O11" s="74"/>
      <c r="P11" s="65"/>
      <c r="Q11" s="65"/>
    </row>
    <row r="12" spans="1:19">
      <c r="A12" s="65"/>
      <c r="B12" s="133"/>
      <c r="C12" s="77"/>
      <c r="D12" s="77"/>
      <c r="E12" s="77"/>
      <c r="F12" s="77"/>
      <c r="G12" s="77"/>
      <c r="H12" s="77"/>
      <c r="I12" s="77"/>
      <c r="J12" s="77"/>
      <c r="K12" s="77"/>
      <c r="L12" s="77"/>
      <c r="M12" s="77"/>
      <c r="N12" s="77"/>
      <c r="O12" s="74"/>
      <c r="P12" s="65"/>
      <c r="Q12" s="65"/>
    </row>
    <row r="13" spans="1:19">
      <c r="A13" s="65"/>
      <c r="B13" s="133"/>
      <c r="C13" s="77"/>
      <c r="D13" s="77"/>
      <c r="E13" s="77"/>
      <c r="F13" s="77"/>
      <c r="G13" s="77"/>
      <c r="H13" s="77"/>
      <c r="I13" s="77"/>
      <c r="J13" s="77"/>
      <c r="K13" s="77"/>
      <c r="L13" s="77"/>
      <c r="M13" s="77"/>
      <c r="N13" s="77"/>
      <c r="O13" s="74"/>
      <c r="P13" s="65"/>
      <c r="Q13" s="65"/>
    </row>
    <row r="14" spans="1:19">
      <c r="A14" s="65"/>
      <c r="B14" s="155" t="s">
        <v>94</v>
      </c>
      <c r="C14" s="77"/>
      <c r="D14" s="77"/>
      <c r="E14" s="77"/>
      <c r="F14" s="77"/>
      <c r="G14" s="77"/>
      <c r="H14" s="77"/>
      <c r="I14" s="77"/>
      <c r="J14" s="77"/>
      <c r="K14" s="77"/>
      <c r="L14" s="77"/>
      <c r="M14" s="77"/>
      <c r="N14" s="77"/>
      <c r="O14" s="74"/>
      <c r="P14" s="65"/>
      <c r="Q14" s="65"/>
    </row>
    <row r="15" spans="1:19">
      <c r="A15" s="65"/>
      <c r="B15" s="133"/>
      <c r="C15" s="77"/>
      <c r="D15" s="77"/>
      <c r="E15" s="77"/>
      <c r="F15" s="77"/>
      <c r="G15" s="77"/>
      <c r="H15" s="77"/>
      <c r="I15" s="77"/>
      <c r="J15" s="77"/>
      <c r="K15" s="77"/>
      <c r="L15" s="77"/>
      <c r="M15" s="77"/>
      <c r="N15" s="77"/>
      <c r="O15" s="74"/>
      <c r="P15" s="65"/>
      <c r="Q15" s="65"/>
    </row>
    <row r="16" spans="1:19">
      <c r="A16" s="65"/>
      <c r="B16" s="128"/>
      <c r="C16" s="77"/>
      <c r="D16" s="77"/>
      <c r="E16" s="77"/>
      <c r="F16" s="77"/>
      <c r="G16" s="77"/>
      <c r="H16" s="77"/>
      <c r="I16" s="77"/>
      <c r="J16" s="77"/>
      <c r="K16" s="77"/>
      <c r="L16" s="77"/>
      <c r="M16" s="77"/>
      <c r="N16" s="77"/>
      <c r="O16" s="74"/>
      <c r="P16" s="65"/>
      <c r="Q16" s="65"/>
    </row>
    <row r="17" spans="1:17" ht="14.4" thickBot="1">
      <c r="A17" s="65"/>
      <c r="B17" s="73"/>
      <c r="C17" s="72"/>
      <c r="D17" s="72"/>
      <c r="E17" s="72"/>
      <c r="F17" s="72"/>
      <c r="G17" s="72"/>
      <c r="H17" s="72"/>
      <c r="I17" s="72"/>
      <c r="J17" s="72"/>
      <c r="K17" s="72"/>
      <c r="L17" s="72"/>
      <c r="M17" s="72"/>
      <c r="N17" s="72"/>
      <c r="O17" s="90"/>
      <c r="P17" s="65"/>
      <c r="Q17" s="65"/>
    </row>
    <row r="18" spans="1:17">
      <c r="A18" s="65"/>
      <c r="B18" s="65"/>
      <c r="C18" s="65"/>
      <c r="D18" s="65"/>
      <c r="E18" s="65"/>
      <c r="F18" s="65"/>
      <c r="G18" s="65"/>
      <c r="I18" s="65"/>
      <c r="J18" s="65"/>
      <c r="K18" s="65"/>
      <c r="L18" s="65"/>
      <c r="M18" s="65"/>
      <c r="N18" s="65"/>
      <c r="O18" s="65"/>
      <c r="P18" s="65"/>
      <c r="Q18" s="65"/>
    </row>
    <row r="19" spans="1:17" ht="14.4" thickBot="1">
      <c r="A19" s="65"/>
      <c r="B19" s="154" t="s">
        <v>95</v>
      </c>
      <c r="C19" s="65"/>
      <c r="D19" s="65"/>
      <c r="E19" s="153"/>
      <c r="F19" s="153"/>
      <c r="G19" s="153"/>
      <c r="I19" s="65"/>
      <c r="J19" s="65"/>
      <c r="K19" s="65"/>
      <c r="L19" s="65"/>
      <c r="M19" s="65"/>
      <c r="N19" s="65"/>
      <c r="O19" s="65"/>
      <c r="P19" s="65"/>
      <c r="Q19" s="65"/>
    </row>
    <row r="20" spans="1:17">
      <c r="A20" s="65"/>
      <c r="B20" s="88"/>
      <c r="C20" s="110"/>
      <c r="D20" s="168"/>
      <c r="E20" s="85"/>
      <c r="F20" s="85"/>
      <c r="G20" s="85"/>
      <c r="H20" s="85"/>
      <c r="I20" s="85" t="s">
        <v>96</v>
      </c>
      <c r="J20" s="83" t="s">
        <v>97</v>
      </c>
      <c r="K20" s="65"/>
      <c r="L20" s="65"/>
      <c r="M20" s="65"/>
      <c r="N20" s="65"/>
      <c r="O20" s="65"/>
      <c r="P20" s="65"/>
      <c r="Q20" s="65"/>
    </row>
    <row r="21" spans="1:17">
      <c r="A21" s="65"/>
      <c r="B21" s="109"/>
      <c r="C21" s="108" t="s">
        <v>98</v>
      </c>
      <c r="D21" s="107">
        <v>2015</v>
      </c>
      <c r="E21" s="106">
        <v>2020</v>
      </c>
      <c r="F21" s="106">
        <v>2035</v>
      </c>
      <c r="G21" s="106">
        <v>2045</v>
      </c>
      <c r="H21" s="106" t="s">
        <v>99</v>
      </c>
      <c r="I21" s="152"/>
      <c r="J21" s="104"/>
      <c r="K21" s="65"/>
      <c r="L21" s="65"/>
      <c r="M21" s="65"/>
      <c r="N21" s="65"/>
      <c r="O21" s="65"/>
      <c r="P21" s="65"/>
      <c r="Q21" s="65"/>
    </row>
    <row r="22" spans="1:17">
      <c r="A22" s="65"/>
      <c r="B22" s="128" t="s">
        <v>100</v>
      </c>
      <c r="C22" s="118"/>
      <c r="D22" s="180"/>
      <c r="E22" s="151"/>
      <c r="F22" s="151"/>
      <c r="G22" s="151"/>
      <c r="H22" s="151"/>
      <c r="I22" s="77"/>
      <c r="J22" s="74"/>
      <c r="K22" s="65"/>
      <c r="L22" s="65"/>
      <c r="M22" s="65"/>
      <c r="N22" s="65"/>
      <c r="O22" s="65"/>
      <c r="P22" s="65"/>
      <c r="Q22" s="65"/>
    </row>
    <row r="23" spans="1:17">
      <c r="A23" s="65"/>
      <c r="B23" s="145" t="s">
        <v>101</v>
      </c>
      <c r="C23" s="118" t="s">
        <v>138</v>
      </c>
      <c r="D23" s="274">
        <f>D70</f>
        <v>0.41666666666666663</v>
      </c>
      <c r="E23" s="273">
        <f>E70</f>
        <v>0.46132312614259596</v>
      </c>
      <c r="F23" s="273">
        <f>F70</f>
        <v>0.46772010357815447</v>
      </c>
      <c r="G23" s="273">
        <f>G70</f>
        <v>0.46800595238095233</v>
      </c>
      <c r="H23" s="147"/>
      <c r="I23" s="187"/>
      <c r="J23" s="74"/>
      <c r="K23" s="244"/>
      <c r="L23" s="65"/>
      <c r="M23" s="65"/>
      <c r="N23" s="65"/>
      <c r="O23" s="65"/>
      <c r="P23" s="65"/>
      <c r="Q23" s="65"/>
    </row>
    <row r="24" spans="1:17">
      <c r="A24" s="65"/>
      <c r="B24" s="145" t="s">
        <v>102</v>
      </c>
      <c r="C24" s="118" t="s">
        <v>138</v>
      </c>
      <c r="D24" s="144">
        <f>D23</f>
        <v>0.41666666666666663</v>
      </c>
      <c r="E24" s="143">
        <f>E23</f>
        <v>0.46132312614259596</v>
      </c>
      <c r="F24" s="143">
        <f>F23</f>
        <v>0.46772010357815447</v>
      </c>
      <c r="G24" s="143">
        <f>G23</f>
        <v>0.46800595238095233</v>
      </c>
      <c r="H24" s="147"/>
      <c r="I24" s="187"/>
      <c r="J24" s="74"/>
      <c r="K24" s="244"/>
      <c r="L24" s="65"/>
      <c r="M24" s="65"/>
      <c r="N24" s="65"/>
      <c r="O24" s="65"/>
      <c r="P24" s="65"/>
      <c r="Q24" s="65"/>
    </row>
    <row r="25" spans="1:17">
      <c r="A25" s="65"/>
      <c r="B25" s="145" t="s">
        <v>103</v>
      </c>
      <c r="C25" s="118" t="s">
        <v>104</v>
      </c>
      <c r="D25" s="144">
        <f>D75</f>
        <v>4.6080000000000005</v>
      </c>
      <c r="E25" s="144">
        <f>E75</f>
        <v>4.1185882352941174</v>
      </c>
      <c r="F25" s="144">
        <f>F75</f>
        <v>3.9981176470588236</v>
      </c>
      <c r="G25" s="144">
        <f>G75</f>
        <v>3.9529411764705888</v>
      </c>
      <c r="H25" s="142"/>
      <c r="K25" s="244"/>
      <c r="L25" s="65"/>
      <c r="M25" s="65"/>
      <c r="N25" s="65"/>
      <c r="O25" s="65"/>
      <c r="P25" s="65"/>
      <c r="Q25" s="65"/>
    </row>
    <row r="26" spans="1:17">
      <c r="A26" s="65"/>
      <c r="B26" s="145" t="s">
        <v>105</v>
      </c>
      <c r="C26" s="118" t="s">
        <v>104</v>
      </c>
      <c r="D26" s="144"/>
      <c r="E26" s="143"/>
      <c r="F26" s="143"/>
      <c r="G26" s="143"/>
      <c r="H26" s="142"/>
      <c r="I26" s="187"/>
      <c r="J26" s="74"/>
      <c r="K26" s="244"/>
      <c r="L26" s="65"/>
      <c r="M26" s="65"/>
      <c r="N26" s="65"/>
      <c r="O26" s="65"/>
      <c r="P26" s="65"/>
      <c r="Q26" s="65"/>
    </row>
    <row r="27" spans="1:17">
      <c r="A27" s="65"/>
      <c r="B27" s="133" t="s">
        <v>106</v>
      </c>
      <c r="C27" s="118" t="s">
        <v>107</v>
      </c>
      <c r="D27" s="341">
        <v>6</v>
      </c>
      <c r="E27" s="340">
        <v>6</v>
      </c>
      <c r="F27" s="340">
        <v>6</v>
      </c>
      <c r="G27" s="340">
        <v>6</v>
      </c>
      <c r="H27" s="125"/>
      <c r="I27" s="99"/>
      <c r="J27" s="119"/>
      <c r="K27" s="244"/>
      <c r="L27" s="65"/>
      <c r="M27" s="65"/>
      <c r="N27" s="65"/>
      <c r="O27" s="65"/>
      <c r="P27" s="65"/>
      <c r="Q27" s="65"/>
    </row>
    <row r="28" spans="1:17">
      <c r="A28" s="65"/>
      <c r="B28" s="133" t="s">
        <v>108</v>
      </c>
      <c r="C28" s="118" t="s">
        <v>109</v>
      </c>
      <c r="D28" s="177">
        <f>+D67*D68/1000</f>
        <v>128.63999999999999</v>
      </c>
      <c r="E28" s="139">
        <f>+E67*E68/1000</f>
        <v>127.3</v>
      </c>
      <c r="F28" s="139">
        <f>+F67*F68/1000</f>
        <v>125.29</v>
      </c>
      <c r="G28" s="139">
        <f>+G67*G68/1000</f>
        <v>123.95</v>
      </c>
      <c r="H28" s="138"/>
      <c r="I28" s="187"/>
      <c r="J28" s="74"/>
      <c r="K28" s="244"/>
      <c r="L28" s="65"/>
      <c r="M28" s="65"/>
      <c r="N28" s="65"/>
      <c r="O28" s="65"/>
      <c r="P28" s="65"/>
      <c r="Q28" s="65"/>
    </row>
    <row r="29" spans="1:17">
      <c r="A29" s="65"/>
      <c r="B29" s="78"/>
      <c r="C29" s="137"/>
      <c r="D29" s="134"/>
      <c r="E29" s="98"/>
      <c r="F29" s="98"/>
      <c r="G29" s="98"/>
      <c r="H29" s="98"/>
      <c r="I29" s="77"/>
      <c r="J29" s="74"/>
      <c r="K29" s="244"/>
      <c r="L29" s="65"/>
      <c r="M29" s="65"/>
      <c r="N29" s="65"/>
      <c r="O29" s="65"/>
      <c r="P29" s="65"/>
      <c r="Q29" s="65"/>
    </row>
    <row r="30" spans="1:17">
      <c r="A30" s="65"/>
      <c r="B30" s="128" t="s">
        <v>110</v>
      </c>
      <c r="C30" s="118"/>
      <c r="D30" s="134"/>
      <c r="E30" s="98"/>
      <c r="F30" s="98"/>
      <c r="G30" s="98"/>
      <c r="H30" s="98"/>
      <c r="I30" s="77"/>
      <c r="J30" s="74"/>
      <c r="K30" s="244"/>
      <c r="L30" s="65"/>
      <c r="M30" s="65"/>
      <c r="N30" s="65"/>
      <c r="O30" s="65"/>
      <c r="P30" s="65"/>
      <c r="Q30" s="65"/>
    </row>
    <row r="31" spans="1:17" s="65" customFormat="1">
      <c r="B31" s="133" t="s">
        <v>111</v>
      </c>
      <c r="C31" s="118" t="s">
        <v>15</v>
      </c>
      <c r="D31" s="136">
        <v>2776135.3810090115</v>
      </c>
      <c r="E31" s="136">
        <v>2484019.9600777444</v>
      </c>
      <c r="F31" s="136">
        <v>1607673.6972839427</v>
      </c>
      <c r="G31" s="136">
        <v>1564743.6972839427</v>
      </c>
      <c r="H31" s="135">
        <v>2015</v>
      </c>
      <c r="I31" s="79"/>
      <c r="J31" s="74"/>
    </row>
    <row r="32" spans="1:17" s="65" customFormat="1">
      <c r="B32" s="78" t="s">
        <v>16</v>
      </c>
      <c r="C32" s="118" t="s">
        <v>17</v>
      </c>
      <c r="D32" s="136">
        <v>5579.8908885067503</v>
      </c>
      <c r="E32" s="136">
        <v>5186.5304263133403</v>
      </c>
      <c r="F32" s="136">
        <v>3891.6896910066857</v>
      </c>
      <c r="G32" s="136">
        <v>3865.5251430436247</v>
      </c>
      <c r="H32" s="135">
        <v>2015</v>
      </c>
      <c r="I32" s="79"/>
      <c r="J32" s="74"/>
    </row>
    <row r="33" spans="1:17" s="65" customFormat="1">
      <c r="B33" s="129" t="s">
        <v>18</v>
      </c>
      <c r="C33" s="118" t="s">
        <v>17</v>
      </c>
      <c r="D33" s="136">
        <v>4251.7658885067503</v>
      </c>
      <c r="E33" s="136">
        <v>3844.4251631554453</v>
      </c>
      <c r="F33" s="136">
        <v>2528.0533273703222</v>
      </c>
      <c r="G33" s="136">
        <v>2487.1467646652463</v>
      </c>
      <c r="H33" s="135">
        <v>2015</v>
      </c>
      <c r="I33" s="79"/>
      <c r="J33" s="74"/>
    </row>
    <row r="34" spans="1:17" s="65" customFormat="1">
      <c r="B34" s="129" t="s">
        <v>19</v>
      </c>
      <c r="C34" s="118" t="s">
        <v>17</v>
      </c>
      <c r="D34" s="136">
        <v>1328.1250000000002</v>
      </c>
      <c r="E34" s="136">
        <v>1342.1052631578948</v>
      </c>
      <c r="F34" s="136">
        <v>1363.6363636363635</v>
      </c>
      <c r="G34" s="136">
        <v>1378.3783783783783</v>
      </c>
      <c r="H34" s="135">
        <v>2015</v>
      </c>
      <c r="I34" s="79"/>
      <c r="J34" s="74"/>
    </row>
    <row r="35" spans="1:17" s="65" customFormat="1">
      <c r="B35" s="129"/>
      <c r="C35" s="118"/>
      <c r="D35" s="136"/>
      <c r="E35" s="136"/>
      <c r="F35" s="136"/>
      <c r="G35" s="136"/>
      <c r="H35" s="135"/>
      <c r="I35" s="79"/>
      <c r="J35" s="74"/>
    </row>
    <row r="36" spans="1:17" s="65" customFormat="1">
      <c r="B36" s="129" t="s">
        <v>112</v>
      </c>
      <c r="C36" s="118" t="s">
        <v>17</v>
      </c>
      <c r="D36" s="136">
        <v>0</v>
      </c>
      <c r="E36" s="136">
        <v>0</v>
      </c>
      <c r="F36" s="136">
        <v>0</v>
      </c>
      <c r="G36" s="136">
        <v>0</v>
      </c>
      <c r="H36" s="135">
        <v>2015</v>
      </c>
      <c r="I36" s="79"/>
      <c r="J36" s="74"/>
    </row>
    <row r="37" spans="1:17" s="65" customFormat="1" ht="14.4" thickBot="1">
      <c r="B37" s="128"/>
      <c r="C37" s="118"/>
      <c r="D37" s="134"/>
      <c r="E37" s="98"/>
      <c r="F37" s="98"/>
      <c r="G37" s="98"/>
      <c r="H37" s="98"/>
      <c r="I37" s="79"/>
      <c r="J37" s="74"/>
    </row>
    <row r="38" spans="1:17">
      <c r="A38" s="65"/>
      <c r="B38" s="133" t="s">
        <v>111</v>
      </c>
      <c r="C38" s="118" t="s">
        <v>15</v>
      </c>
      <c r="D38" s="329">
        <f>'EU Bus'!D38*'Cars INVCOST'!E88/'Cars INVCOST'!E28</f>
        <v>2552553.248459396</v>
      </c>
      <c r="E38" s="329">
        <f>'EU Bus'!E38*'Cars INVCOST'!G88/'Cars INVCOST'!G28</f>
        <v>1832206.5113446743</v>
      </c>
      <c r="F38" s="329">
        <f>'EU Bus'!F38*'Cars INVCOST'!M88/'Cars INVCOST'!M28</f>
        <v>1496655.9862866218</v>
      </c>
      <c r="G38" s="329">
        <f>'EU Bus'!G38*'Cars INVCOST'!P88/'Cars INVCOST'!P28</f>
        <v>1465594.0908065005</v>
      </c>
      <c r="H38" s="130">
        <v>2015</v>
      </c>
      <c r="I38" s="99" t="s">
        <v>968</v>
      </c>
      <c r="J38" s="182" t="s">
        <v>968</v>
      </c>
      <c r="K38" s="244"/>
      <c r="L38" s="65"/>
      <c r="M38" s="65"/>
      <c r="N38" s="65"/>
      <c r="O38" s="65"/>
      <c r="P38" s="65"/>
      <c r="Q38" s="65"/>
    </row>
    <row r="39" spans="1:17">
      <c r="A39" s="65"/>
      <c r="B39" s="78" t="s">
        <v>16</v>
      </c>
      <c r="C39" s="118" t="s">
        <v>17</v>
      </c>
      <c r="D39" s="257">
        <f>+SUM(D40:D43)</f>
        <v>5579.8908885067503</v>
      </c>
      <c r="E39" s="258">
        <f>+SUM(E40:E43)</f>
        <v>5186.5304263133403</v>
      </c>
      <c r="F39" s="258">
        <f>+SUM(F40:F43)</f>
        <v>3891.6896910066857</v>
      </c>
      <c r="G39" s="258">
        <f>+SUM(G40:G43)</f>
        <v>3865.5251430436247</v>
      </c>
      <c r="H39" s="130">
        <v>2015</v>
      </c>
      <c r="I39" s="187"/>
      <c r="J39" s="74"/>
      <c r="K39" s="244"/>
      <c r="L39" s="65"/>
      <c r="M39" s="65"/>
      <c r="N39" s="65"/>
      <c r="O39" s="65"/>
      <c r="P39" s="65"/>
      <c r="Q39" s="65"/>
    </row>
    <row r="40" spans="1:17">
      <c r="A40" s="65"/>
      <c r="B40" s="129" t="s">
        <v>18</v>
      </c>
      <c r="C40" s="118" t="s">
        <v>17</v>
      </c>
      <c r="D40" s="257">
        <v>4251.7658885067503</v>
      </c>
      <c r="E40" s="258">
        <v>3844.4251631554453</v>
      </c>
      <c r="F40" s="258">
        <v>2528.0533273703222</v>
      </c>
      <c r="G40" s="258">
        <v>2487.1467646652463</v>
      </c>
      <c r="H40" s="130">
        <v>2015</v>
      </c>
      <c r="I40" s="187"/>
      <c r="J40" s="74"/>
      <c r="K40" s="244"/>
      <c r="L40" s="65"/>
      <c r="M40" s="65"/>
      <c r="N40" s="65"/>
      <c r="O40" s="65"/>
      <c r="P40" s="65"/>
      <c r="Q40" s="65"/>
    </row>
    <row r="41" spans="1:17">
      <c r="A41" s="65"/>
      <c r="B41" s="129" t="s">
        <v>19</v>
      </c>
      <c r="C41" s="118" t="s">
        <v>17</v>
      </c>
      <c r="D41" s="257">
        <f>(D68*D69)/D28</f>
        <v>1328.1250000000002</v>
      </c>
      <c r="E41" s="258">
        <f>(E68*E69)/E28</f>
        <v>1342.1052631578948</v>
      </c>
      <c r="F41" s="258">
        <f>(F68*F69)/F28</f>
        <v>1363.6363636363635</v>
      </c>
      <c r="G41" s="258">
        <f>(G68*G69)/G28</f>
        <v>1378.3783783783783</v>
      </c>
      <c r="H41" s="130">
        <v>2015</v>
      </c>
      <c r="I41" s="99" t="s">
        <v>301</v>
      </c>
      <c r="J41" s="119" t="s">
        <v>300</v>
      </c>
      <c r="K41" s="244"/>
      <c r="L41" s="65"/>
      <c r="M41" s="65"/>
      <c r="N41" s="65"/>
      <c r="O41" s="65"/>
      <c r="P41" s="65"/>
      <c r="Q41" s="65"/>
    </row>
    <row r="42" spans="1:17">
      <c r="A42" s="65"/>
      <c r="B42" s="129"/>
      <c r="C42" s="118"/>
      <c r="D42" s="134"/>
      <c r="E42" s="98"/>
      <c r="F42" s="98"/>
      <c r="G42" s="98"/>
      <c r="H42" s="130"/>
      <c r="I42" s="187"/>
      <c r="J42" s="74"/>
      <c r="K42" s="244"/>
      <c r="L42" s="65"/>
      <c r="M42" s="65"/>
      <c r="N42" s="65"/>
      <c r="O42" s="65"/>
      <c r="P42" s="65"/>
      <c r="Q42" s="65"/>
    </row>
    <row r="43" spans="1:17">
      <c r="A43" s="65"/>
      <c r="B43" s="129" t="s">
        <v>112</v>
      </c>
      <c r="C43" s="118" t="s">
        <v>17</v>
      </c>
      <c r="D43" s="257">
        <v>0</v>
      </c>
      <c r="E43" s="258">
        <v>0</v>
      </c>
      <c r="F43" s="258">
        <v>0</v>
      </c>
      <c r="G43" s="258">
        <v>0</v>
      </c>
      <c r="H43" s="130">
        <v>2015</v>
      </c>
      <c r="I43" s="187"/>
      <c r="J43" s="119"/>
      <c r="K43" s="244"/>
      <c r="L43" s="65"/>
      <c r="M43" s="65"/>
      <c r="N43" s="65"/>
      <c r="O43" s="65"/>
      <c r="P43" s="65"/>
      <c r="Q43" s="65"/>
    </row>
    <row r="44" spans="1:17">
      <c r="A44" s="65"/>
      <c r="B44" s="129"/>
      <c r="C44" s="118"/>
      <c r="D44" s="134"/>
      <c r="E44" s="98"/>
      <c r="F44" s="98"/>
      <c r="G44" s="98"/>
      <c r="H44" s="98"/>
      <c r="I44" s="187"/>
      <c r="J44" s="74"/>
      <c r="K44" s="244"/>
      <c r="L44" s="65"/>
      <c r="M44" s="65"/>
      <c r="N44" s="65"/>
      <c r="O44" s="65"/>
      <c r="P44" s="65"/>
      <c r="Q44" s="65"/>
    </row>
    <row r="45" spans="1:17">
      <c r="A45" s="65"/>
      <c r="B45" s="128" t="s">
        <v>113</v>
      </c>
      <c r="C45" s="118"/>
      <c r="D45" s="134"/>
      <c r="E45" s="98"/>
      <c r="F45" s="98"/>
      <c r="G45" s="98"/>
      <c r="H45" s="127"/>
      <c r="I45" s="187"/>
      <c r="J45" s="74"/>
      <c r="K45" s="244"/>
      <c r="L45" s="65"/>
      <c r="M45" s="65"/>
      <c r="N45" s="65"/>
      <c r="O45" s="65"/>
      <c r="P45" s="65"/>
      <c r="Q45" s="65"/>
    </row>
    <row r="46" spans="1:17">
      <c r="A46" s="65"/>
      <c r="B46" s="123" t="s">
        <v>30</v>
      </c>
      <c r="C46" s="118"/>
      <c r="D46" s="134"/>
      <c r="E46" s="98"/>
      <c r="F46" s="98"/>
      <c r="G46" s="98"/>
      <c r="H46" s="126"/>
      <c r="I46" s="187"/>
      <c r="J46" s="74"/>
      <c r="K46" s="244"/>
      <c r="L46" s="65"/>
      <c r="M46" s="65"/>
      <c r="N46" s="65"/>
      <c r="O46" s="65"/>
      <c r="P46" s="65"/>
      <c r="Q46" s="65"/>
    </row>
    <row r="47" spans="1:17">
      <c r="A47" s="65"/>
      <c r="B47" s="78" t="s">
        <v>20</v>
      </c>
      <c r="C47" s="118" t="s">
        <v>139</v>
      </c>
      <c r="D47" s="255"/>
      <c r="E47" s="121"/>
      <c r="F47" s="121"/>
      <c r="G47" s="121"/>
      <c r="H47" s="126"/>
      <c r="I47" s="187"/>
      <c r="J47" s="119" t="s">
        <v>114</v>
      </c>
      <c r="K47" s="244"/>
      <c r="L47" s="65"/>
      <c r="M47" s="65"/>
      <c r="N47" s="65"/>
      <c r="O47" s="65"/>
      <c r="P47" s="65"/>
      <c r="Q47" s="65"/>
    </row>
    <row r="48" spans="1:17">
      <c r="A48" s="65"/>
      <c r="B48" s="78" t="s">
        <v>21</v>
      </c>
      <c r="C48" s="118" t="s">
        <v>139</v>
      </c>
      <c r="D48" s="124">
        <v>0</v>
      </c>
      <c r="E48" s="124">
        <v>0</v>
      </c>
      <c r="F48" s="124">
        <v>0</v>
      </c>
      <c r="G48" s="124">
        <v>0</v>
      </c>
      <c r="H48" s="120"/>
      <c r="I48" s="187"/>
      <c r="J48" s="74"/>
      <c r="K48" s="244"/>
      <c r="L48" s="65"/>
      <c r="M48" s="65"/>
      <c r="N48" s="65"/>
      <c r="O48" s="65"/>
      <c r="P48" s="65"/>
      <c r="Q48" s="65"/>
    </row>
    <row r="49" spans="1:17">
      <c r="A49" s="65"/>
      <c r="B49" s="78" t="s">
        <v>22</v>
      </c>
      <c r="C49" s="118" t="s">
        <v>139</v>
      </c>
      <c r="D49" s="124">
        <v>0</v>
      </c>
      <c r="E49" s="124">
        <v>0</v>
      </c>
      <c r="F49" s="124">
        <v>0</v>
      </c>
      <c r="G49" s="124">
        <v>0</v>
      </c>
      <c r="H49" s="98"/>
      <c r="I49" s="187"/>
      <c r="J49" s="74"/>
      <c r="K49" s="244"/>
      <c r="L49" s="65"/>
      <c r="M49" s="65"/>
      <c r="N49" s="65"/>
      <c r="O49" s="65"/>
      <c r="P49" s="65"/>
      <c r="Q49" s="65"/>
    </row>
    <row r="50" spans="1:17">
      <c r="A50" s="65"/>
      <c r="B50" s="78" t="s">
        <v>23</v>
      </c>
      <c r="C50" s="118" t="s">
        <v>139</v>
      </c>
      <c r="D50" s="124">
        <v>0</v>
      </c>
      <c r="E50" s="124">
        <v>0</v>
      </c>
      <c r="F50" s="124">
        <v>0</v>
      </c>
      <c r="G50" s="124">
        <v>0</v>
      </c>
      <c r="H50" s="125"/>
      <c r="I50" s="187"/>
      <c r="J50" s="74"/>
      <c r="K50" s="244"/>
      <c r="L50" s="65"/>
      <c r="M50" s="65"/>
      <c r="N50" s="65"/>
      <c r="O50" s="65"/>
      <c r="P50" s="65"/>
      <c r="Q50" s="65"/>
    </row>
    <row r="51" spans="1:17">
      <c r="A51" s="65"/>
      <c r="B51" s="78" t="s">
        <v>115</v>
      </c>
      <c r="C51" s="118" t="s">
        <v>139</v>
      </c>
      <c r="D51" s="124">
        <v>0</v>
      </c>
      <c r="E51" s="124">
        <v>0</v>
      </c>
      <c r="F51" s="124">
        <v>0</v>
      </c>
      <c r="G51" s="124">
        <v>0</v>
      </c>
      <c r="H51" s="98"/>
      <c r="I51" s="187"/>
      <c r="J51" s="74"/>
      <c r="K51" s="244"/>
      <c r="L51" s="65"/>
      <c r="M51" s="65"/>
      <c r="N51" s="65"/>
      <c r="O51" s="65"/>
      <c r="P51" s="65"/>
      <c r="Q51" s="65"/>
    </row>
    <row r="52" spans="1:17">
      <c r="A52" s="65"/>
      <c r="B52" s="78" t="s">
        <v>24</v>
      </c>
      <c r="C52" s="118" t="s">
        <v>139</v>
      </c>
      <c r="D52" s="124">
        <v>0</v>
      </c>
      <c r="E52" s="124">
        <v>0</v>
      </c>
      <c r="F52" s="124">
        <v>0</v>
      </c>
      <c r="G52" s="124">
        <v>0</v>
      </c>
      <c r="H52" s="98"/>
      <c r="I52" s="187"/>
      <c r="J52" s="74"/>
      <c r="K52" s="244"/>
      <c r="L52" s="65"/>
      <c r="M52" s="65"/>
      <c r="N52" s="65"/>
      <c r="O52" s="65"/>
      <c r="P52" s="65"/>
      <c r="Q52" s="65"/>
    </row>
    <row r="53" spans="1:17">
      <c r="A53" s="65"/>
      <c r="B53" s="78"/>
      <c r="C53" s="118"/>
      <c r="D53" s="122"/>
      <c r="E53" s="77"/>
      <c r="F53" s="77"/>
      <c r="G53" s="77"/>
      <c r="H53" s="98"/>
      <c r="I53" s="187"/>
      <c r="J53" s="74"/>
      <c r="K53" s="244"/>
      <c r="L53" s="65"/>
      <c r="M53" s="65"/>
      <c r="N53" s="65"/>
      <c r="O53" s="65"/>
      <c r="P53" s="65"/>
      <c r="Q53" s="65"/>
    </row>
    <row r="54" spans="1:17">
      <c r="A54" s="65"/>
      <c r="B54" s="123" t="s">
        <v>31</v>
      </c>
      <c r="C54" s="118"/>
      <c r="D54" s="134"/>
      <c r="E54" s="98"/>
      <c r="F54" s="98"/>
      <c r="G54" s="98"/>
      <c r="H54" s="120"/>
      <c r="I54" s="187"/>
      <c r="J54" s="74"/>
      <c r="K54" s="244"/>
      <c r="L54" s="65"/>
      <c r="M54" s="65"/>
      <c r="N54" s="65"/>
      <c r="O54" s="65"/>
      <c r="P54" s="65"/>
      <c r="Q54" s="65"/>
    </row>
    <row r="55" spans="1:17">
      <c r="A55" s="65"/>
      <c r="B55" s="78" t="s">
        <v>20</v>
      </c>
      <c r="C55" s="118" t="s">
        <v>139</v>
      </c>
      <c r="D55" s="255"/>
      <c r="E55" s="121"/>
      <c r="F55" s="121"/>
      <c r="G55" s="121"/>
      <c r="H55" s="197"/>
      <c r="I55" s="187"/>
      <c r="J55" s="119" t="s">
        <v>114</v>
      </c>
      <c r="K55" s="244"/>
      <c r="L55" s="65"/>
      <c r="M55" s="65"/>
      <c r="N55" s="65"/>
      <c r="O55" s="65"/>
      <c r="P55" s="65"/>
      <c r="Q55" s="65"/>
    </row>
    <row r="56" spans="1:17">
      <c r="A56" s="65"/>
      <c r="B56" s="78" t="s">
        <v>21</v>
      </c>
      <c r="C56" s="118" t="s">
        <v>139</v>
      </c>
      <c r="D56" s="117">
        <f t="shared" ref="D56:G60" si="0">D48</f>
        <v>0</v>
      </c>
      <c r="E56" s="117">
        <f t="shared" si="0"/>
        <v>0</v>
      </c>
      <c r="F56" s="117">
        <f t="shared" si="0"/>
        <v>0</v>
      </c>
      <c r="G56" s="117">
        <f t="shared" si="0"/>
        <v>0</v>
      </c>
      <c r="H56" s="197"/>
      <c r="I56" s="187"/>
      <c r="J56" s="74"/>
      <c r="K56" s="244"/>
      <c r="L56" s="65"/>
      <c r="M56" s="65"/>
      <c r="N56" s="65"/>
      <c r="O56" s="65"/>
      <c r="P56" s="65"/>
      <c r="Q56" s="65"/>
    </row>
    <row r="57" spans="1:17">
      <c r="A57" s="65"/>
      <c r="B57" s="78" t="s">
        <v>22</v>
      </c>
      <c r="C57" s="118" t="s">
        <v>139</v>
      </c>
      <c r="D57" s="117">
        <f t="shared" si="0"/>
        <v>0</v>
      </c>
      <c r="E57" s="117">
        <f t="shared" si="0"/>
        <v>0</v>
      </c>
      <c r="F57" s="117">
        <f t="shared" si="0"/>
        <v>0</v>
      </c>
      <c r="G57" s="117">
        <f t="shared" si="0"/>
        <v>0</v>
      </c>
      <c r="H57" s="197"/>
      <c r="I57" s="187"/>
      <c r="J57" s="74"/>
      <c r="K57" s="244"/>
      <c r="L57" s="65"/>
      <c r="M57" s="65"/>
      <c r="N57" s="65"/>
      <c r="O57" s="65"/>
      <c r="P57" s="65"/>
      <c r="Q57" s="65"/>
    </row>
    <row r="58" spans="1:17">
      <c r="A58" s="65"/>
      <c r="B58" s="78" t="s">
        <v>23</v>
      </c>
      <c r="C58" s="118" t="s">
        <v>139</v>
      </c>
      <c r="D58" s="117">
        <f t="shared" si="0"/>
        <v>0</v>
      </c>
      <c r="E58" s="117">
        <f t="shared" si="0"/>
        <v>0</v>
      </c>
      <c r="F58" s="117">
        <f t="shared" si="0"/>
        <v>0</v>
      </c>
      <c r="G58" s="117">
        <f t="shared" si="0"/>
        <v>0</v>
      </c>
      <c r="H58" s="197"/>
      <c r="I58" s="187"/>
      <c r="J58" s="74"/>
      <c r="K58" s="244"/>
      <c r="L58" s="65"/>
      <c r="M58" s="65"/>
      <c r="N58" s="65"/>
      <c r="O58" s="65"/>
      <c r="P58" s="65"/>
      <c r="Q58" s="65"/>
    </row>
    <row r="59" spans="1:17">
      <c r="A59" s="65"/>
      <c r="B59" s="78" t="s">
        <v>115</v>
      </c>
      <c r="C59" s="118" t="s">
        <v>139</v>
      </c>
      <c r="D59" s="117">
        <f t="shared" si="0"/>
        <v>0</v>
      </c>
      <c r="E59" s="117">
        <f t="shared" si="0"/>
        <v>0</v>
      </c>
      <c r="F59" s="117">
        <f t="shared" si="0"/>
        <v>0</v>
      </c>
      <c r="G59" s="117">
        <f t="shared" si="0"/>
        <v>0</v>
      </c>
      <c r="H59" s="197"/>
      <c r="I59" s="187"/>
      <c r="J59" s="74"/>
      <c r="K59" s="244"/>
      <c r="L59" s="65"/>
      <c r="M59" s="65"/>
      <c r="N59" s="65"/>
      <c r="O59" s="65"/>
      <c r="P59" s="65"/>
      <c r="Q59" s="65"/>
    </row>
    <row r="60" spans="1:17">
      <c r="A60" s="65"/>
      <c r="B60" s="78" t="s">
        <v>24</v>
      </c>
      <c r="C60" s="118" t="s">
        <v>139</v>
      </c>
      <c r="D60" s="117">
        <f t="shared" si="0"/>
        <v>0</v>
      </c>
      <c r="E60" s="117">
        <f t="shared" si="0"/>
        <v>0</v>
      </c>
      <c r="F60" s="117">
        <f t="shared" si="0"/>
        <v>0</v>
      </c>
      <c r="G60" s="117">
        <f t="shared" si="0"/>
        <v>0</v>
      </c>
      <c r="H60" s="135"/>
      <c r="I60" s="187"/>
      <c r="J60" s="74"/>
      <c r="K60" s="244"/>
      <c r="L60" s="65"/>
      <c r="M60" s="65"/>
      <c r="N60" s="65"/>
      <c r="O60" s="65"/>
      <c r="P60" s="65"/>
      <c r="Q60" s="65"/>
    </row>
    <row r="61" spans="1:17" ht="14.4" thickBot="1">
      <c r="A61" s="65"/>
      <c r="B61" s="115"/>
      <c r="C61" s="114"/>
      <c r="D61" s="113"/>
      <c r="E61" s="72"/>
      <c r="F61" s="72"/>
      <c r="G61" s="72"/>
      <c r="H61" s="72"/>
      <c r="I61" s="193"/>
      <c r="J61" s="90"/>
      <c r="K61" s="244"/>
      <c r="L61" s="65"/>
      <c r="M61" s="65"/>
      <c r="N61" s="65"/>
      <c r="O61" s="65"/>
      <c r="P61" s="65"/>
      <c r="Q61" s="65"/>
    </row>
    <row r="62" spans="1:17">
      <c r="A62" s="65"/>
      <c r="B62" s="65"/>
      <c r="C62" s="65"/>
      <c r="D62" s="65"/>
      <c r="E62" s="65"/>
      <c r="F62" s="65"/>
      <c r="G62" s="65"/>
      <c r="I62" s="65"/>
      <c r="J62" s="65"/>
      <c r="K62" s="244"/>
      <c r="L62" s="65"/>
      <c r="M62" s="65"/>
      <c r="N62" s="65"/>
      <c r="O62" s="65"/>
      <c r="P62" s="65"/>
      <c r="Q62" s="65"/>
    </row>
    <row r="63" spans="1:17">
      <c r="A63" s="65"/>
      <c r="B63" s="65"/>
      <c r="C63" s="65"/>
      <c r="D63" s="65"/>
      <c r="E63" s="65"/>
      <c r="F63" s="65"/>
      <c r="G63" s="65"/>
      <c r="I63" s="65"/>
      <c r="J63" s="65"/>
      <c r="K63" s="244"/>
      <c r="L63" s="65"/>
      <c r="M63" s="65"/>
      <c r="N63" s="65"/>
      <c r="O63" s="65"/>
      <c r="P63" s="65"/>
      <c r="Q63" s="65"/>
    </row>
    <row r="64" spans="1:17" ht="16.2" thickBot="1">
      <c r="A64" s="65"/>
      <c r="B64" s="89" t="s">
        <v>116</v>
      </c>
      <c r="C64" s="65"/>
      <c r="D64" s="65"/>
      <c r="E64" s="65"/>
      <c r="F64" s="65"/>
      <c r="G64" s="65"/>
      <c r="I64" s="65"/>
      <c r="J64" s="65"/>
      <c r="K64" s="244"/>
      <c r="L64" s="65"/>
      <c r="M64" s="65"/>
      <c r="N64" s="65"/>
      <c r="O64" s="65"/>
      <c r="P64" s="65"/>
      <c r="Q64" s="65"/>
    </row>
    <row r="65" spans="1:17">
      <c r="A65" s="65"/>
      <c r="B65" s="88"/>
      <c r="C65" s="110"/>
      <c r="D65" s="85"/>
      <c r="E65" s="85"/>
      <c r="F65" s="85"/>
      <c r="G65" s="85"/>
      <c r="H65" s="85"/>
      <c r="I65" s="85"/>
      <c r="J65" s="83"/>
      <c r="K65" s="244"/>
      <c r="L65" s="65"/>
      <c r="M65" s="65"/>
      <c r="N65" s="65"/>
      <c r="O65" s="65"/>
      <c r="P65" s="65"/>
      <c r="Q65" s="65"/>
    </row>
    <row r="66" spans="1:17">
      <c r="A66" s="65"/>
      <c r="B66" s="109"/>
      <c r="C66" s="108" t="s">
        <v>98</v>
      </c>
      <c r="D66" s="107">
        <v>2015</v>
      </c>
      <c r="E66" s="106">
        <v>2020</v>
      </c>
      <c r="F66" s="106">
        <v>2035</v>
      </c>
      <c r="G66" s="106">
        <v>2050</v>
      </c>
      <c r="H66" s="106"/>
      <c r="I66" s="106"/>
      <c r="J66" s="104"/>
      <c r="K66" s="244"/>
      <c r="L66" s="65"/>
      <c r="M66" s="65"/>
      <c r="N66" s="65"/>
      <c r="O66" s="65"/>
      <c r="P66" s="65"/>
      <c r="Q66" s="65"/>
    </row>
    <row r="67" spans="1:17">
      <c r="A67" s="65"/>
      <c r="B67" s="78" t="s">
        <v>25</v>
      </c>
      <c r="C67" s="95" t="s">
        <v>151</v>
      </c>
      <c r="D67" s="254">
        <v>1.92</v>
      </c>
      <c r="E67" s="254">
        <v>1.9</v>
      </c>
      <c r="F67" s="254">
        <v>1.87</v>
      </c>
      <c r="G67" s="254">
        <v>1.85</v>
      </c>
      <c r="H67" s="254"/>
      <c r="I67" s="254" t="s">
        <v>299</v>
      </c>
      <c r="J67" s="74"/>
      <c r="K67" s="244"/>
      <c r="L67" s="65"/>
      <c r="M67" s="65"/>
      <c r="N67" s="65"/>
      <c r="O67" s="65"/>
      <c r="P67" s="65"/>
      <c r="Q67" s="65"/>
    </row>
    <row r="68" spans="1:17">
      <c r="A68" s="65"/>
      <c r="B68" s="78" t="s">
        <v>120</v>
      </c>
      <c r="C68" s="95" t="s">
        <v>121</v>
      </c>
      <c r="D68" s="253">
        <v>67000</v>
      </c>
      <c r="E68" s="253">
        <v>67000</v>
      </c>
      <c r="F68" s="253">
        <v>67000</v>
      </c>
      <c r="G68" s="253">
        <v>67000</v>
      </c>
      <c r="H68" s="253"/>
      <c r="I68" s="99" t="s">
        <v>645</v>
      </c>
      <c r="J68" s="119"/>
      <c r="K68" s="244"/>
      <c r="L68" s="65"/>
      <c r="M68" s="65"/>
      <c r="N68" s="65"/>
      <c r="O68" s="65"/>
      <c r="P68" s="65"/>
      <c r="Q68" s="65"/>
    </row>
    <row r="69" spans="1:17">
      <c r="A69" s="65"/>
      <c r="B69" s="78" t="s">
        <v>123</v>
      </c>
      <c r="C69" s="202" t="s">
        <v>36</v>
      </c>
      <c r="D69" s="271">
        <v>2.5499999999999998</v>
      </c>
      <c r="E69" s="271">
        <v>2.5499999999999998</v>
      </c>
      <c r="F69" s="271">
        <v>2.5499999999999998</v>
      </c>
      <c r="G69" s="271">
        <v>2.5499999999999998</v>
      </c>
      <c r="H69" s="271"/>
      <c r="I69" s="99" t="s">
        <v>301</v>
      </c>
      <c r="J69" s="339"/>
      <c r="K69" s="244"/>
      <c r="L69" s="65"/>
      <c r="M69" s="65"/>
      <c r="N69" s="65"/>
      <c r="O69" s="65"/>
      <c r="P69" s="65"/>
      <c r="Q69" s="65"/>
    </row>
    <row r="70" spans="1:17">
      <c r="A70" s="65"/>
      <c r="B70" s="165" t="s">
        <v>164</v>
      </c>
      <c r="C70" s="202" t="s">
        <v>26</v>
      </c>
      <c r="D70" s="338">
        <f>D67/D75</f>
        <v>0.41666666666666663</v>
      </c>
      <c r="E70" s="338">
        <f>E67/E75</f>
        <v>0.46132312614259596</v>
      </c>
      <c r="F70" s="338">
        <f>F67/F75</f>
        <v>0.46772010357815447</v>
      </c>
      <c r="G70" s="338">
        <f>G67/G75</f>
        <v>0.46800595238095233</v>
      </c>
      <c r="H70" s="338"/>
      <c r="I70" s="77"/>
      <c r="J70" s="119"/>
      <c r="K70" s="244"/>
      <c r="L70" s="65"/>
      <c r="M70" s="65"/>
      <c r="N70" s="65"/>
      <c r="O70" s="65"/>
      <c r="P70" s="65"/>
      <c r="Q70" s="65"/>
    </row>
    <row r="71" spans="1:17">
      <c r="A71" s="65"/>
      <c r="B71" s="165" t="s">
        <v>145</v>
      </c>
      <c r="C71" s="202" t="s">
        <v>146</v>
      </c>
      <c r="D71" s="327">
        <v>324</v>
      </c>
      <c r="E71" s="327">
        <v>324</v>
      </c>
      <c r="F71" s="327">
        <v>324</v>
      </c>
      <c r="G71" s="327">
        <v>324</v>
      </c>
      <c r="H71" s="327"/>
      <c r="I71" s="77"/>
      <c r="J71" s="345"/>
      <c r="K71" s="244"/>
      <c r="L71" s="65"/>
      <c r="M71" s="65"/>
      <c r="N71" s="65"/>
      <c r="O71" s="65"/>
      <c r="P71" s="65"/>
      <c r="Q71" s="65"/>
    </row>
    <row r="72" spans="1:17" ht="14.4" thickBot="1">
      <c r="A72" s="65"/>
      <c r="B72" s="78" t="s">
        <v>237</v>
      </c>
      <c r="C72" s="95" t="s">
        <v>236</v>
      </c>
      <c r="D72" s="337">
        <v>6</v>
      </c>
      <c r="E72" s="337">
        <v>6</v>
      </c>
      <c r="F72" s="337">
        <v>6</v>
      </c>
      <c r="G72" s="337">
        <v>6</v>
      </c>
      <c r="H72" s="337"/>
      <c r="I72" s="72"/>
      <c r="J72" s="90"/>
      <c r="K72" s="244"/>
      <c r="L72" s="65"/>
      <c r="M72" s="65"/>
      <c r="N72" s="65"/>
      <c r="O72" s="65"/>
      <c r="P72" s="65"/>
      <c r="Q72" s="65"/>
    </row>
    <row r="73" spans="1:17">
      <c r="A73" s="65"/>
      <c r="B73" s="65"/>
      <c r="C73" s="65"/>
      <c r="D73" s="192"/>
      <c r="E73" s="192"/>
      <c r="F73" s="192"/>
      <c r="G73" s="192"/>
      <c r="H73" s="192"/>
      <c r="I73" s="65"/>
      <c r="J73" s="65"/>
      <c r="K73" s="244"/>
      <c r="L73" s="65"/>
      <c r="M73" s="65"/>
      <c r="N73" s="65"/>
      <c r="O73" s="65"/>
      <c r="P73" s="65"/>
      <c r="Q73" s="65"/>
    </row>
    <row r="74" spans="1:17" ht="16.2" thickBot="1">
      <c r="A74" s="65"/>
      <c r="B74" s="89" t="s">
        <v>125</v>
      </c>
      <c r="C74" s="65"/>
      <c r="D74" s="65"/>
      <c r="E74" s="65"/>
      <c r="F74" s="65"/>
      <c r="G74" s="65"/>
      <c r="I74" s="65"/>
      <c r="J74" s="65"/>
      <c r="K74" s="244"/>
      <c r="L74" s="65"/>
      <c r="M74" s="65"/>
      <c r="N74" s="65"/>
      <c r="O74" s="65"/>
      <c r="P74" s="65"/>
      <c r="Q74" s="65"/>
    </row>
    <row r="75" spans="1:17" ht="14.4" thickBot="1">
      <c r="A75" s="65"/>
      <c r="B75" s="88" t="s">
        <v>149</v>
      </c>
      <c r="C75" s="85"/>
      <c r="D75" s="182">
        <v>4.6080000000000005</v>
      </c>
      <c r="E75" s="182">
        <v>4.1185882352941174</v>
      </c>
      <c r="F75" s="182">
        <v>3.9981176470588236</v>
      </c>
      <c r="G75" s="182">
        <v>3.9529411764705888</v>
      </c>
      <c r="H75" s="182"/>
      <c r="I75" s="182" t="s">
        <v>301</v>
      </c>
      <c r="J75" s="83" t="s">
        <v>298</v>
      </c>
      <c r="K75" s="244"/>
      <c r="L75" s="65"/>
      <c r="M75" s="65"/>
      <c r="N75" s="65"/>
      <c r="O75" s="65"/>
      <c r="P75" s="65"/>
      <c r="Q75" s="65"/>
    </row>
    <row r="76" spans="1:17">
      <c r="A76" s="65"/>
      <c r="B76" s="78"/>
      <c r="C76" s="77"/>
      <c r="D76" s="182"/>
      <c r="E76" s="182"/>
      <c r="F76" s="182"/>
      <c r="G76" s="182"/>
      <c r="H76" s="245"/>
      <c r="I76" s="77"/>
      <c r="J76" s="74"/>
      <c r="K76" s="244"/>
      <c r="L76" s="65"/>
      <c r="M76" s="65"/>
      <c r="N76" s="65"/>
      <c r="O76" s="65"/>
      <c r="P76" s="65"/>
      <c r="Q76" s="65"/>
    </row>
    <row r="77" spans="1:17">
      <c r="A77" s="65"/>
      <c r="B77" s="78" t="s">
        <v>20</v>
      </c>
      <c r="C77" s="77" t="s">
        <v>27</v>
      </c>
      <c r="D77" s="326"/>
      <c r="E77" s="326"/>
      <c r="F77" s="326"/>
      <c r="G77" s="326"/>
      <c r="H77" s="326"/>
      <c r="I77" s="77"/>
      <c r="J77" s="74"/>
      <c r="K77" s="244"/>
      <c r="L77" s="65"/>
      <c r="M77" s="65"/>
      <c r="N77" s="65"/>
      <c r="O77" s="65"/>
      <c r="P77" s="65"/>
      <c r="Q77" s="65"/>
    </row>
    <row r="78" spans="1:17">
      <c r="A78" s="65"/>
      <c r="B78" s="78" t="s">
        <v>21</v>
      </c>
      <c r="C78" s="77" t="s">
        <v>27</v>
      </c>
      <c r="D78" s="326">
        <v>0</v>
      </c>
      <c r="E78" s="326">
        <v>0</v>
      </c>
      <c r="F78" s="326">
        <v>0</v>
      </c>
      <c r="G78" s="326">
        <v>0</v>
      </c>
      <c r="H78" s="326"/>
      <c r="I78" s="77"/>
      <c r="J78" s="74"/>
      <c r="K78" s="244"/>
      <c r="L78" s="65"/>
      <c r="M78" s="65"/>
      <c r="N78" s="65"/>
      <c r="O78" s="65"/>
      <c r="P78" s="65"/>
      <c r="Q78" s="65"/>
    </row>
    <row r="79" spans="1:17">
      <c r="A79" s="65"/>
      <c r="B79" s="78" t="s">
        <v>22</v>
      </c>
      <c r="C79" s="77" t="s">
        <v>27</v>
      </c>
      <c r="D79" s="326">
        <v>0</v>
      </c>
      <c r="E79" s="326">
        <v>0</v>
      </c>
      <c r="F79" s="326">
        <v>0</v>
      </c>
      <c r="G79" s="326">
        <v>0</v>
      </c>
      <c r="H79" s="326"/>
      <c r="I79" s="77"/>
      <c r="J79" s="74"/>
      <c r="K79" s="244"/>
      <c r="L79" s="65"/>
      <c r="M79" s="65"/>
      <c r="N79" s="65"/>
      <c r="O79" s="65"/>
      <c r="P79" s="65"/>
      <c r="Q79" s="65"/>
    </row>
    <row r="80" spans="1:17">
      <c r="A80" s="65"/>
      <c r="B80" s="78" t="s">
        <v>23</v>
      </c>
      <c r="C80" s="77" t="s">
        <v>27</v>
      </c>
      <c r="D80" s="326">
        <v>0</v>
      </c>
      <c r="E80" s="326">
        <v>0</v>
      </c>
      <c r="F80" s="326">
        <v>0</v>
      </c>
      <c r="G80" s="326">
        <v>0</v>
      </c>
      <c r="H80" s="326"/>
      <c r="I80" s="77"/>
      <c r="J80" s="119"/>
      <c r="K80" s="269"/>
      <c r="L80" s="65"/>
      <c r="M80" s="65"/>
      <c r="N80" s="65"/>
      <c r="O80" s="65"/>
      <c r="P80" s="65"/>
      <c r="Q80" s="65"/>
    </row>
    <row r="81" spans="1:20">
      <c r="A81" s="65"/>
      <c r="B81" s="165" t="s">
        <v>37</v>
      </c>
      <c r="C81" s="77" t="s">
        <v>27</v>
      </c>
      <c r="D81" s="326">
        <v>0</v>
      </c>
      <c r="E81" s="326">
        <v>0</v>
      </c>
      <c r="F81" s="326">
        <v>0</v>
      </c>
      <c r="G81" s="326">
        <v>0</v>
      </c>
      <c r="H81" s="326"/>
      <c r="I81" s="77"/>
      <c r="J81" s="119"/>
      <c r="K81" s="244"/>
      <c r="L81" s="65"/>
      <c r="M81" s="65"/>
      <c r="N81" s="65"/>
      <c r="O81" s="65"/>
      <c r="P81" s="65"/>
      <c r="Q81" s="65"/>
    </row>
    <row r="82" spans="1:20">
      <c r="A82" s="65"/>
      <c r="B82" s="78" t="s">
        <v>24</v>
      </c>
      <c r="C82" s="77" t="s">
        <v>27</v>
      </c>
      <c r="D82" s="326">
        <v>0</v>
      </c>
      <c r="E82" s="326">
        <v>0</v>
      </c>
      <c r="F82" s="326">
        <v>0</v>
      </c>
      <c r="G82" s="326">
        <v>0</v>
      </c>
      <c r="H82" s="326"/>
      <c r="I82" s="77"/>
      <c r="J82" s="119"/>
      <c r="K82" s="269"/>
      <c r="L82" s="65"/>
      <c r="M82" s="65"/>
      <c r="N82" s="65"/>
      <c r="O82" s="65"/>
      <c r="P82" s="65"/>
      <c r="Q82" s="65"/>
    </row>
    <row r="83" spans="1:20" ht="14.4" thickBot="1">
      <c r="A83" s="65"/>
      <c r="B83" s="73"/>
      <c r="C83" s="72"/>
      <c r="D83" s="242"/>
      <c r="E83" s="242"/>
      <c r="F83" s="242"/>
      <c r="G83" s="242"/>
      <c r="H83" s="242"/>
      <c r="I83" s="72"/>
      <c r="J83" s="90"/>
      <c r="K83" s="65"/>
      <c r="L83" s="65"/>
      <c r="M83" s="65"/>
      <c r="N83" s="65"/>
      <c r="O83" s="65"/>
      <c r="P83" s="65"/>
      <c r="Q83" s="65"/>
    </row>
    <row r="84" spans="1:20">
      <c r="A84" s="65"/>
      <c r="B84" s="65"/>
      <c r="C84" s="65"/>
      <c r="D84" s="65"/>
      <c r="E84" s="65"/>
      <c r="F84" s="65"/>
      <c r="G84" s="65"/>
      <c r="I84" s="65"/>
      <c r="J84" s="65"/>
      <c r="K84" s="65"/>
      <c r="L84" s="65"/>
      <c r="M84" s="65"/>
      <c r="N84" s="65"/>
      <c r="O84" s="65"/>
      <c r="P84" s="65"/>
      <c r="Q84" s="65"/>
    </row>
    <row r="85" spans="1:20">
      <c r="A85" s="65"/>
      <c r="B85" s="65"/>
      <c r="C85" s="65"/>
      <c r="D85" s="65"/>
      <c r="E85" s="65"/>
      <c r="F85" s="65"/>
      <c r="G85" s="65"/>
      <c r="I85" s="65"/>
      <c r="J85" s="65"/>
      <c r="K85" s="65"/>
      <c r="L85" s="65"/>
      <c r="M85" s="65"/>
      <c r="N85" s="65"/>
      <c r="O85" s="65"/>
      <c r="P85" s="65"/>
      <c r="Q85" s="65"/>
    </row>
    <row r="86" spans="1:20">
      <c r="A86" s="65"/>
      <c r="B86" s="65"/>
      <c r="C86" s="65"/>
      <c r="D86" s="65"/>
      <c r="E86" s="65"/>
      <c r="F86" s="65"/>
      <c r="G86" s="65"/>
      <c r="I86" s="65"/>
      <c r="J86" s="65"/>
      <c r="K86" s="65"/>
      <c r="L86" s="65"/>
      <c r="M86" s="65"/>
      <c r="N86" s="65"/>
      <c r="O86" s="65"/>
      <c r="P86" s="65"/>
      <c r="Q86" s="65"/>
    </row>
    <row r="87" spans="1:20">
      <c r="A87" s="65"/>
      <c r="B87" s="65"/>
      <c r="C87" s="65"/>
      <c r="D87" s="65"/>
      <c r="E87" s="65"/>
      <c r="F87" s="65"/>
      <c r="G87" s="65"/>
      <c r="I87" s="65"/>
      <c r="J87" s="65"/>
      <c r="K87" s="65"/>
      <c r="L87" s="65"/>
      <c r="M87" s="65"/>
      <c r="N87" s="65"/>
      <c r="O87" s="65"/>
      <c r="P87" s="65"/>
      <c r="Q87" s="65"/>
    </row>
    <row r="88" spans="1:20">
      <c r="A88" s="65"/>
      <c r="B88" s="65"/>
      <c r="C88" s="65"/>
      <c r="D88" s="65"/>
      <c r="E88" s="65"/>
      <c r="F88" s="65"/>
      <c r="G88" s="65"/>
      <c r="I88" s="65"/>
      <c r="J88" s="65"/>
      <c r="K88" s="65"/>
      <c r="L88" s="65"/>
      <c r="M88" s="65"/>
      <c r="N88" s="65"/>
      <c r="O88" s="65"/>
      <c r="P88" s="65"/>
      <c r="Q88" s="65"/>
    </row>
    <row r="89" spans="1:20">
      <c r="A89" s="65"/>
      <c r="B89" s="65"/>
      <c r="C89" s="65"/>
      <c r="D89" s="65"/>
      <c r="E89" s="65"/>
      <c r="F89" s="65"/>
      <c r="G89" s="65"/>
      <c r="I89" s="65"/>
      <c r="J89" s="65"/>
      <c r="K89" s="65"/>
      <c r="L89" s="65"/>
      <c r="M89" s="65"/>
      <c r="N89" s="65"/>
      <c r="O89" s="65"/>
      <c r="P89" s="65"/>
      <c r="Q89" s="65"/>
    </row>
    <row r="90" spans="1:20">
      <c r="A90" s="65"/>
      <c r="B90" s="65"/>
      <c r="C90" s="65"/>
      <c r="D90" s="65"/>
      <c r="E90" s="65"/>
      <c r="F90" s="65"/>
      <c r="G90" s="65"/>
      <c r="I90" s="65"/>
      <c r="J90" s="65"/>
      <c r="K90" s="65"/>
      <c r="L90" s="65"/>
      <c r="M90" s="65"/>
      <c r="N90" s="65"/>
      <c r="O90" s="65"/>
      <c r="P90" s="65"/>
      <c r="Q90" s="65"/>
    </row>
    <row r="91" spans="1:20">
      <c r="A91" s="65"/>
      <c r="B91" s="65"/>
      <c r="C91" s="65"/>
      <c r="D91" s="65"/>
      <c r="E91" s="65"/>
      <c r="F91" s="65"/>
      <c r="G91" s="65"/>
      <c r="I91" s="65"/>
      <c r="J91" s="65"/>
      <c r="K91" s="65"/>
      <c r="L91" s="65"/>
      <c r="M91" s="65"/>
      <c r="N91" s="65"/>
      <c r="O91" s="65"/>
      <c r="P91" s="65"/>
      <c r="Q91" s="65"/>
    </row>
    <row r="92" spans="1:20">
      <c r="A92" s="65"/>
      <c r="B92" s="65"/>
      <c r="C92" s="65"/>
      <c r="D92" s="65"/>
      <c r="E92" s="65"/>
      <c r="F92" s="65"/>
      <c r="G92" s="65"/>
      <c r="I92" s="65"/>
      <c r="J92" s="65"/>
      <c r="K92" s="65"/>
      <c r="L92" s="65"/>
      <c r="M92" s="65"/>
      <c r="N92" s="65"/>
      <c r="O92" s="65"/>
      <c r="P92" s="65"/>
      <c r="Q92" s="65"/>
      <c r="T92" s="268"/>
    </row>
    <row r="93" spans="1:20">
      <c r="A93" s="65"/>
      <c r="B93" s="65"/>
      <c r="C93" s="65"/>
      <c r="D93" s="65"/>
      <c r="E93" s="65"/>
      <c r="F93" s="65"/>
      <c r="G93" s="65"/>
      <c r="I93" s="65"/>
      <c r="J93" s="65"/>
      <c r="K93" s="65"/>
      <c r="L93" s="65"/>
      <c r="M93" s="65"/>
      <c r="N93" s="65"/>
      <c r="O93" s="65"/>
      <c r="P93" s="65"/>
      <c r="Q93" s="65"/>
      <c r="T93" s="268"/>
    </row>
    <row r="94" spans="1:20">
      <c r="A94" s="65"/>
      <c r="B94" s="65"/>
      <c r="C94" s="65"/>
      <c r="D94" s="65"/>
      <c r="E94" s="65"/>
      <c r="F94" s="65"/>
      <c r="G94" s="65"/>
      <c r="I94" s="65"/>
      <c r="J94" s="65"/>
      <c r="K94" s="65"/>
      <c r="L94" s="65"/>
      <c r="M94" s="65"/>
      <c r="N94" s="65"/>
      <c r="O94" s="65"/>
      <c r="P94" s="65"/>
      <c r="Q94" s="65"/>
    </row>
    <row r="95" spans="1:20">
      <c r="A95" s="65"/>
      <c r="B95" s="65"/>
      <c r="C95" s="65"/>
      <c r="D95" s="65"/>
      <c r="E95" s="65"/>
      <c r="F95" s="65"/>
      <c r="G95" s="65"/>
      <c r="I95" s="65"/>
      <c r="J95" s="65"/>
      <c r="K95" s="65"/>
      <c r="L95" s="65"/>
      <c r="M95" s="65"/>
      <c r="N95" s="65"/>
      <c r="O95" s="65"/>
      <c r="P95" s="65"/>
      <c r="Q95" s="65"/>
    </row>
    <row r="96" spans="1:20">
      <c r="A96" s="65"/>
      <c r="B96" s="65"/>
      <c r="C96" s="65"/>
      <c r="D96" s="65"/>
      <c r="E96" s="65"/>
      <c r="F96" s="65"/>
      <c r="G96" s="65"/>
      <c r="I96" s="65"/>
      <c r="J96" s="65"/>
      <c r="K96" s="65"/>
      <c r="L96" s="65"/>
      <c r="M96" s="65"/>
      <c r="N96" s="65"/>
      <c r="O96" s="65"/>
      <c r="P96" s="65"/>
      <c r="Q96" s="65"/>
    </row>
    <row r="97" spans="1:17">
      <c r="A97" s="65"/>
      <c r="B97" s="65"/>
      <c r="C97" s="65"/>
      <c r="D97" s="65"/>
      <c r="E97" s="65"/>
      <c r="F97" s="65"/>
      <c r="G97" s="65"/>
      <c r="H97" s="68"/>
      <c r="I97" s="65"/>
      <c r="J97" s="65"/>
      <c r="K97" s="65"/>
      <c r="L97" s="65"/>
      <c r="M97" s="65"/>
      <c r="N97" s="65"/>
      <c r="O97" s="65"/>
      <c r="P97" s="65"/>
      <c r="Q97" s="65"/>
    </row>
    <row r="98" spans="1:17">
      <c r="A98" s="65"/>
      <c r="B98" s="65"/>
      <c r="C98" s="65"/>
      <c r="D98" s="65"/>
      <c r="E98" s="65"/>
      <c r="F98" s="65"/>
      <c r="G98" s="65"/>
      <c r="H98" s="68"/>
      <c r="I98" s="65"/>
      <c r="J98" s="65"/>
      <c r="K98" s="65"/>
      <c r="L98" s="65"/>
      <c r="M98" s="65"/>
      <c r="N98" s="65"/>
      <c r="O98" s="65"/>
      <c r="P98" s="65"/>
      <c r="Q98" s="65"/>
    </row>
    <row r="99" spans="1:17">
      <c r="A99" s="65"/>
      <c r="B99" s="65"/>
      <c r="C99" s="65"/>
      <c r="D99" s="65"/>
      <c r="E99" s="65"/>
      <c r="F99" s="65"/>
      <c r="G99" s="65"/>
      <c r="H99" s="68"/>
      <c r="I99" s="65"/>
      <c r="J99" s="65"/>
      <c r="K99" s="65"/>
      <c r="L99" s="65"/>
      <c r="M99" s="65"/>
      <c r="N99" s="65"/>
      <c r="O99" s="65"/>
      <c r="P99" s="65"/>
      <c r="Q99" s="65"/>
    </row>
    <row r="100" spans="1:17">
      <c r="A100" s="65"/>
      <c r="B100" s="65"/>
      <c r="C100" s="65"/>
      <c r="D100" s="65"/>
      <c r="E100" s="65"/>
      <c r="F100" s="65"/>
      <c r="G100" s="65"/>
      <c r="I100" s="65"/>
      <c r="J100" s="65"/>
      <c r="K100" s="65"/>
      <c r="L100" s="65"/>
      <c r="M100" s="65"/>
      <c r="N100" s="65"/>
      <c r="O100" s="65"/>
      <c r="P100" s="65"/>
      <c r="Q100" s="65"/>
    </row>
    <row r="101" spans="1:17">
      <c r="A101" s="65"/>
      <c r="B101" s="65"/>
      <c r="C101" s="65"/>
      <c r="D101" s="65"/>
      <c r="E101" s="65"/>
      <c r="F101" s="65"/>
      <c r="G101" s="65"/>
      <c r="I101" s="65"/>
      <c r="J101" s="65"/>
      <c r="K101" s="65"/>
      <c r="L101" s="65"/>
      <c r="M101" s="65"/>
      <c r="N101" s="65"/>
      <c r="O101" s="65"/>
      <c r="P101" s="65"/>
      <c r="Q101" s="65"/>
    </row>
    <row r="102" spans="1:17">
      <c r="A102" s="65"/>
      <c r="B102" s="65"/>
      <c r="C102" s="65"/>
      <c r="D102" s="65"/>
      <c r="E102" s="65"/>
      <c r="F102" s="65"/>
      <c r="G102" s="65"/>
      <c r="I102" s="65"/>
      <c r="J102" s="65"/>
      <c r="K102" s="65"/>
      <c r="L102" s="65"/>
      <c r="M102" s="65"/>
      <c r="N102" s="65"/>
      <c r="O102" s="65"/>
      <c r="P102" s="65"/>
      <c r="Q102" s="65"/>
    </row>
    <row r="103" spans="1:17">
      <c r="A103" s="65"/>
      <c r="B103" s="65"/>
      <c r="C103" s="65"/>
      <c r="D103" s="65"/>
      <c r="E103" s="65"/>
      <c r="F103" s="65"/>
      <c r="G103" s="65"/>
      <c r="I103" s="65"/>
      <c r="J103" s="65"/>
      <c r="K103" s="65"/>
      <c r="L103" s="65"/>
      <c r="M103" s="65"/>
      <c r="N103" s="65"/>
      <c r="O103" s="65"/>
      <c r="P103" s="65"/>
      <c r="Q103" s="65"/>
    </row>
    <row r="104" spans="1:17">
      <c r="A104" s="65"/>
      <c r="B104" s="65"/>
      <c r="C104" s="65"/>
      <c r="D104" s="65"/>
      <c r="E104" s="65"/>
      <c r="F104" s="65"/>
      <c r="G104" s="65"/>
      <c r="I104" s="65"/>
      <c r="J104" s="65"/>
      <c r="K104" s="65"/>
      <c r="L104" s="65"/>
      <c r="M104" s="65"/>
      <c r="N104" s="65"/>
      <c r="O104" s="65"/>
      <c r="P104" s="65"/>
      <c r="Q104" s="65"/>
    </row>
    <row r="105" spans="1:17">
      <c r="A105" s="65"/>
      <c r="B105" s="65"/>
      <c r="C105" s="65"/>
      <c r="D105" s="65"/>
      <c r="E105" s="65"/>
      <c r="F105" s="65"/>
      <c r="G105" s="65"/>
      <c r="I105" s="65"/>
      <c r="J105" s="65"/>
      <c r="K105" s="65"/>
      <c r="L105" s="65"/>
      <c r="M105" s="65"/>
      <c r="N105" s="65"/>
      <c r="O105" s="65"/>
      <c r="P105" s="65"/>
      <c r="Q105" s="65"/>
    </row>
    <row r="106" spans="1:17">
      <c r="A106" s="65"/>
      <c r="B106" s="65"/>
      <c r="C106" s="65"/>
      <c r="D106" s="65"/>
      <c r="E106" s="65"/>
      <c r="F106" s="65"/>
      <c r="G106" s="65"/>
      <c r="I106" s="65"/>
      <c r="J106" s="65"/>
      <c r="K106" s="65"/>
      <c r="L106" s="65"/>
      <c r="M106" s="65"/>
      <c r="N106" s="65"/>
      <c r="O106" s="65"/>
      <c r="P106" s="65"/>
      <c r="Q106" s="65"/>
    </row>
    <row r="107" spans="1:17">
      <c r="A107" s="65"/>
      <c r="B107" s="65"/>
      <c r="C107" s="65"/>
      <c r="D107" s="65"/>
      <c r="E107" s="65"/>
      <c r="F107" s="65"/>
      <c r="G107" s="65"/>
      <c r="I107" s="65"/>
      <c r="J107" s="65"/>
      <c r="K107" s="65"/>
      <c r="L107" s="65"/>
      <c r="M107" s="65"/>
      <c r="N107" s="65"/>
      <c r="O107" s="65"/>
      <c r="P107" s="65"/>
      <c r="Q107" s="65"/>
    </row>
    <row r="108" spans="1:17">
      <c r="A108" s="65"/>
      <c r="B108" s="65"/>
      <c r="C108" s="65"/>
      <c r="D108" s="65"/>
      <c r="E108" s="65"/>
      <c r="F108" s="65"/>
      <c r="G108" s="65"/>
      <c r="I108" s="65"/>
      <c r="J108" s="65"/>
      <c r="K108" s="65"/>
      <c r="L108" s="65"/>
      <c r="M108" s="65"/>
      <c r="N108" s="65"/>
      <c r="O108" s="65"/>
      <c r="P108" s="65"/>
      <c r="Q108" s="65"/>
    </row>
    <row r="109" spans="1:17">
      <c r="A109" s="65"/>
      <c r="B109" s="65"/>
      <c r="C109" s="65"/>
      <c r="D109" s="65"/>
      <c r="E109" s="65"/>
      <c r="F109" s="65"/>
      <c r="G109" s="65"/>
      <c r="I109" s="65"/>
      <c r="J109" s="65"/>
      <c r="K109" s="65"/>
      <c r="L109" s="65"/>
      <c r="M109" s="65"/>
      <c r="N109" s="65"/>
      <c r="O109" s="65"/>
      <c r="P109" s="65"/>
      <c r="Q109" s="65"/>
    </row>
    <row r="110" spans="1:17">
      <c r="A110" s="65"/>
      <c r="B110" s="65"/>
      <c r="C110" s="65"/>
      <c r="D110" s="65"/>
      <c r="E110" s="65"/>
      <c r="F110" s="65"/>
      <c r="G110" s="65"/>
      <c r="I110" s="65"/>
      <c r="J110" s="65"/>
      <c r="K110" s="65"/>
      <c r="L110" s="65"/>
      <c r="M110" s="65"/>
      <c r="N110" s="65"/>
      <c r="O110" s="65"/>
      <c r="P110" s="65"/>
      <c r="Q110" s="65"/>
    </row>
    <row r="111" spans="1:17">
      <c r="A111" s="65"/>
      <c r="B111" s="65"/>
      <c r="C111" s="65"/>
      <c r="D111" s="65"/>
      <c r="E111" s="65"/>
      <c r="F111" s="65"/>
      <c r="G111" s="65"/>
      <c r="I111" s="65"/>
      <c r="J111" s="65"/>
      <c r="K111" s="65"/>
      <c r="L111" s="65"/>
      <c r="M111" s="65"/>
      <c r="N111" s="65"/>
      <c r="O111" s="65"/>
      <c r="P111" s="65"/>
      <c r="Q111" s="65"/>
    </row>
    <row r="112" spans="1:17">
      <c r="A112" s="65"/>
      <c r="B112" s="65"/>
      <c r="C112" s="65"/>
      <c r="D112" s="65"/>
      <c r="E112" s="65"/>
      <c r="F112" s="65"/>
      <c r="G112" s="65"/>
      <c r="I112" s="65"/>
      <c r="J112" s="65"/>
      <c r="K112" s="65"/>
      <c r="L112" s="65"/>
      <c r="M112" s="65"/>
      <c r="N112" s="65"/>
      <c r="O112" s="65"/>
      <c r="P112" s="65"/>
      <c r="Q112" s="65"/>
    </row>
    <row r="113" spans="1:17">
      <c r="A113" s="65"/>
      <c r="B113" s="65"/>
      <c r="C113" s="65"/>
      <c r="D113" s="65"/>
      <c r="E113" s="65"/>
      <c r="F113" s="65"/>
      <c r="G113" s="65"/>
      <c r="I113" s="65"/>
      <c r="J113" s="65"/>
      <c r="K113" s="65"/>
      <c r="L113" s="65"/>
      <c r="M113" s="65"/>
      <c r="N113" s="65"/>
      <c r="O113" s="65"/>
      <c r="P113" s="65"/>
      <c r="Q113" s="65"/>
    </row>
    <row r="114" spans="1:17">
      <c r="A114" s="65"/>
      <c r="B114" s="65"/>
      <c r="C114" s="65"/>
      <c r="D114" s="65"/>
      <c r="E114" s="65"/>
      <c r="F114" s="65"/>
      <c r="G114" s="65"/>
      <c r="I114" s="65"/>
      <c r="J114" s="65"/>
      <c r="K114" s="65"/>
      <c r="L114" s="65"/>
      <c r="M114" s="65"/>
      <c r="N114" s="65"/>
      <c r="O114" s="65"/>
      <c r="P114" s="65"/>
      <c r="Q114" s="65"/>
    </row>
    <row r="115" spans="1:17">
      <c r="A115" s="65"/>
      <c r="B115" s="65"/>
      <c r="C115" s="65"/>
      <c r="D115" s="65"/>
      <c r="E115" s="65"/>
      <c r="F115" s="65"/>
      <c r="G115" s="65"/>
      <c r="I115" s="65"/>
      <c r="J115" s="65"/>
      <c r="K115" s="65"/>
      <c r="L115" s="65"/>
      <c r="M115" s="65"/>
      <c r="N115" s="65"/>
      <c r="O115" s="65"/>
      <c r="P115" s="65"/>
      <c r="Q115" s="65"/>
    </row>
    <row r="116" spans="1:17">
      <c r="A116" s="65"/>
      <c r="B116" s="65"/>
      <c r="C116" s="65"/>
      <c r="D116" s="65"/>
      <c r="E116" s="65"/>
      <c r="F116" s="65"/>
      <c r="G116" s="65"/>
      <c r="I116" s="65"/>
      <c r="J116" s="65"/>
      <c r="K116" s="65"/>
      <c r="L116" s="65"/>
      <c r="M116" s="65"/>
      <c r="N116" s="65"/>
      <c r="O116" s="65"/>
      <c r="P116" s="65"/>
      <c r="Q116" s="65"/>
    </row>
    <row r="117" spans="1:17">
      <c r="A117" s="65"/>
      <c r="B117" s="65"/>
      <c r="C117" s="65"/>
      <c r="D117" s="65"/>
      <c r="E117" s="65"/>
      <c r="F117" s="65"/>
      <c r="G117" s="65"/>
      <c r="I117" s="65"/>
      <c r="J117" s="65"/>
      <c r="K117" s="65"/>
      <c r="L117" s="65"/>
      <c r="M117" s="65"/>
      <c r="N117" s="65"/>
      <c r="O117" s="65"/>
      <c r="P117" s="65"/>
      <c r="Q117" s="65"/>
    </row>
    <row r="118" spans="1:17">
      <c r="A118" s="65"/>
      <c r="B118" s="65"/>
      <c r="C118" s="65"/>
      <c r="D118" s="65"/>
      <c r="E118" s="65"/>
      <c r="F118" s="65"/>
      <c r="G118" s="65"/>
      <c r="I118" s="65"/>
      <c r="J118" s="65"/>
      <c r="K118" s="65"/>
      <c r="L118" s="65"/>
      <c r="M118" s="65"/>
      <c r="N118" s="65"/>
      <c r="O118" s="65"/>
      <c r="P118" s="65"/>
      <c r="Q118" s="65"/>
    </row>
    <row r="119" spans="1:17">
      <c r="A119" s="65"/>
      <c r="B119" s="65"/>
      <c r="C119" s="65"/>
      <c r="D119" s="65"/>
      <c r="E119" s="65"/>
      <c r="F119" s="65"/>
      <c r="G119" s="65"/>
      <c r="I119" s="65"/>
      <c r="J119" s="65"/>
      <c r="K119" s="65"/>
      <c r="L119" s="65"/>
      <c r="M119" s="65"/>
      <c r="N119" s="65"/>
      <c r="O119" s="65"/>
      <c r="P119" s="65"/>
      <c r="Q119" s="65"/>
    </row>
    <row r="120" spans="1:17">
      <c r="A120" s="65"/>
      <c r="B120" s="65"/>
      <c r="C120" s="65"/>
      <c r="D120" s="65"/>
      <c r="E120" s="65"/>
      <c r="F120" s="65"/>
      <c r="G120" s="65"/>
      <c r="I120" s="65"/>
      <c r="J120" s="65"/>
      <c r="K120" s="65"/>
      <c r="L120" s="65"/>
      <c r="M120" s="65"/>
      <c r="N120" s="65"/>
      <c r="O120" s="65"/>
      <c r="P120" s="65"/>
      <c r="Q120" s="65"/>
    </row>
    <row r="121" spans="1:17">
      <c r="A121" s="65"/>
      <c r="B121" s="65"/>
      <c r="C121" s="65"/>
      <c r="D121" s="65"/>
      <c r="E121" s="65"/>
      <c r="F121" s="65"/>
      <c r="G121" s="65"/>
      <c r="I121" s="65"/>
      <c r="J121" s="65"/>
      <c r="K121" s="65"/>
      <c r="L121" s="65"/>
      <c r="M121" s="65"/>
      <c r="N121" s="65"/>
      <c r="O121" s="65"/>
      <c r="P121" s="65"/>
      <c r="Q121" s="65"/>
    </row>
    <row r="122" spans="1:17">
      <c r="B122" s="65"/>
      <c r="C122" s="65"/>
      <c r="D122" s="65"/>
      <c r="E122"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rgb="FF002060"/>
  </sheetPr>
  <dimension ref="A1:S123"/>
  <sheetViews>
    <sheetView zoomScale="80" zoomScaleNormal="80" workbookViewId="0">
      <selection activeCell="G21" sqref="G21"/>
    </sheetView>
  </sheetViews>
  <sheetFormatPr defaultColWidth="9.109375" defaultRowHeight="13.8"/>
  <cols>
    <col min="1" max="1" width="2.88671875" style="267" customWidth="1"/>
    <col min="2" max="2" width="35" style="267" customWidth="1"/>
    <col min="3" max="3" width="18" style="267" customWidth="1"/>
    <col min="4" max="7" width="15.88671875" style="267" customWidth="1"/>
    <col min="8" max="8" width="15.88671875" style="65" customWidth="1"/>
    <col min="9" max="9" width="29.33203125" style="267" customWidth="1"/>
    <col min="10" max="10" width="37.44140625" style="267" customWidth="1"/>
    <col min="11" max="16384" width="9.109375" style="267"/>
  </cols>
  <sheetData>
    <row r="1" spans="1:19" s="62" customFormat="1" ht="21">
      <c r="B1" s="62" t="s">
        <v>310</v>
      </c>
      <c r="Q1" s="62">
        <v>0</v>
      </c>
      <c r="R1" s="64">
        <v>0</v>
      </c>
      <c r="S1" s="63"/>
    </row>
    <row r="2" spans="1:19">
      <c r="A2" s="65"/>
      <c r="B2" s="65"/>
      <c r="C2" s="65"/>
      <c r="D2" s="65"/>
      <c r="E2" s="65"/>
      <c r="F2" s="65"/>
      <c r="G2" s="65"/>
      <c r="I2" s="65"/>
      <c r="J2" s="65"/>
      <c r="K2" s="65"/>
      <c r="L2" s="65"/>
      <c r="M2" s="65"/>
      <c r="N2" s="65"/>
      <c r="O2" s="65"/>
      <c r="P2" s="65"/>
      <c r="Q2" s="65"/>
      <c r="R2" s="275"/>
      <c r="S2" s="275"/>
    </row>
    <row r="3" spans="1:19">
      <c r="A3" s="65"/>
      <c r="B3" s="65"/>
      <c r="C3" s="65"/>
      <c r="D3" s="65"/>
      <c r="E3" s="65"/>
      <c r="F3" s="65"/>
      <c r="G3" s="65"/>
      <c r="I3" s="65"/>
      <c r="J3" s="65"/>
      <c r="K3" s="65"/>
      <c r="L3" s="65"/>
      <c r="M3" s="65"/>
      <c r="N3" s="65"/>
      <c r="O3" s="65"/>
      <c r="P3" s="65"/>
      <c r="Q3" s="65"/>
    </row>
    <row r="4" spans="1:19" ht="14.4" thickBot="1">
      <c r="A4" s="65"/>
      <c r="B4" s="154" t="s">
        <v>91</v>
      </c>
      <c r="C4" s="65"/>
      <c r="D4" s="65"/>
      <c r="E4" s="65"/>
      <c r="F4" s="65"/>
      <c r="G4" s="65"/>
      <c r="I4" s="65"/>
      <c r="J4" s="65"/>
      <c r="K4" s="65"/>
      <c r="L4" s="65"/>
      <c r="M4" s="65"/>
      <c r="N4" s="65"/>
      <c r="O4" s="65"/>
      <c r="P4" s="65"/>
      <c r="Q4" s="65"/>
    </row>
    <row r="5" spans="1:19">
      <c r="A5" s="65"/>
      <c r="B5" s="157" t="s">
        <v>92</v>
      </c>
      <c r="C5" s="85"/>
      <c r="D5" s="85"/>
      <c r="E5" s="85"/>
      <c r="F5" s="85"/>
      <c r="G5" s="85"/>
      <c r="H5" s="85"/>
      <c r="I5" s="85"/>
      <c r="J5" s="85"/>
      <c r="K5" s="85"/>
      <c r="L5" s="85"/>
      <c r="M5" s="85"/>
      <c r="N5" s="85"/>
      <c r="O5" s="83"/>
      <c r="P5" s="65"/>
      <c r="Q5" s="65"/>
    </row>
    <row r="6" spans="1:19">
      <c r="A6" s="65"/>
      <c r="B6" s="133" t="s">
        <v>309</v>
      </c>
      <c r="C6" s="77"/>
      <c r="D6" s="77"/>
      <c r="E6" s="77"/>
      <c r="F6" s="77"/>
      <c r="G6" s="77"/>
      <c r="H6" s="77"/>
      <c r="I6" s="77"/>
      <c r="J6" s="77"/>
      <c r="K6" s="77"/>
      <c r="L6" s="77"/>
      <c r="M6" s="77"/>
      <c r="N6" s="77"/>
      <c r="O6" s="74"/>
      <c r="P6" s="65"/>
      <c r="Q6" s="65"/>
    </row>
    <row r="7" spans="1:19">
      <c r="A7" s="65"/>
      <c r="B7" s="133" t="s">
        <v>308</v>
      </c>
      <c r="C7" s="77"/>
      <c r="D7" s="77"/>
      <c r="E7" s="77"/>
      <c r="F7" s="77"/>
      <c r="G7" s="77"/>
      <c r="H7" s="77"/>
      <c r="I7" s="77"/>
      <c r="J7" s="77"/>
      <c r="K7" s="77"/>
      <c r="L7" s="77"/>
      <c r="M7" s="77"/>
      <c r="N7" s="77"/>
      <c r="O7" s="74"/>
      <c r="P7" s="65"/>
      <c r="Q7" s="65"/>
    </row>
    <row r="8" spans="1:19">
      <c r="A8" s="65"/>
      <c r="B8" s="133"/>
      <c r="C8" s="77"/>
      <c r="D8" s="77"/>
      <c r="E8" s="77"/>
      <c r="F8" s="77"/>
      <c r="G8" s="77"/>
      <c r="H8" s="77"/>
      <c r="I8" s="77"/>
      <c r="J8" s="77"/>
      <c r="K8" s="77"/>
      <c r="L8" s="77"/>
      <c r="M8" s="77"/>
      <c r="N8" s="77"/>
      <c r="O8" s="74"/>
      <c r="P8" s="65"/>
      <c r="Q8" s="65"/>
    </row>
    <row r="9" spans="1:19">
      <c r="A9" s="65"/>
      <c r="B9" s="156" t="s">
        <v>232</v>
      </c>
      <c r="C9" s="61" t="s">
        <v>235</v>
      </c>
      <c r="D9" s="77"/>
      <c r="E9" s="77"/>
      <c r="F9" s="77"/>
      <c r="G9" s="77"/>
      <c r="H9" s="77"/>
      <c r="I9" s="77"/>
      <c r="J9" s="77"/>
      <c r="K9" s="77"/>
      <c r="L9" s="77"/>
      <c r="M9" s="77"/>
      <c r="N9" s="77"/>
      <c r="O9" s="74"/>
      <c r="P9" s="65"/>
      <c r="Q9" s="65"/>
    </row>
    <row r="10" spans="1:19">
      <c r="A10" s="65"/>
      <c r="B10" s="133"/>
      <c r="C10" s="77"/>
      <c r="D10" s="77"/>
      <c r="E10" s="77"/>
      <c r="F10" s="77"/>
      <c r="G10" s="77"/>
      <c r="H10" s="77"/>
      <c r="I10" s="77"/>
      <c r="J10" s="77"/>
      <c r="K10" s="77"/>
      <c r="L10" s="77"/>
      <c r="M10" s="77"/>
      <c r="N10" s="77"/>
      <c r="O10" s="74"/>
      <c r="P10" s="65"/>
      <c r="Q10" s="65"/>
    </row>
    <row r="11" spans="1:19">
      <c r="A11" s="65"/>
      <c r="B11" s="155" t="s">
        <v>93</v>
      </c>
      <c r="C11" s="77"/>
      <c r="D11" s="77"/>
      <c r="E11" s="77"/>
      <c r="F11" s="77"/>
      <c r="G11" s="77"/>
      <c r="H11" s="77"/>
      <c r="I11" s="77"/>
      <c r="J11" s="77"/>
      <c r="K11" s="77"/>
      <c r="L11" s="77"/>
      <c r="M11" s="77"/>
      <c r="N11" s="77"/>
      <c r="O11" s="74"/>
      <c r="P11" s="65"/>
      <c r="Q11" s="65"/>
    </row>
    <row r="12" spans="1:19">
      <c r="A12" s="65"/>
      <c r="B12" s="133"/>
      <c r="C12" s="77"/>
      <c r="D12" s="77"/>
      <c r="E12" s="77"/>
      <c r="F12" s="77"/>
      <c r="G12" s="77"/>
      <c r="H12" s="77"/>
      <c r="I12" s="77"/>
      <c r="J12" s="77"/>
      <c r="K12" s="77"/>
      <c r="L12" s="77"/>
      <c r="M12" s="77"/>
      <c r="N12" s="77"/>
      <c r="O12" s="74"/>
      <c r="P12" s="65"/>
      <c r="Q12" s="65"/>
    </row>
    <row r="13" spans="1:19">
      <c r="A13" s="65"/>
      <c r="B13" s="133"/>
      <c r="C13" s="77"/>
      <c r="D13" s="77"/>
      <c r="E13" s="77"/>
      <c r="F13" s="77"/>
      <c r="G13" s="77"/>
      <c r="H13" s="77"/>
      <c r="I13" s="77"/>
      <c r="J13" s="77"/>
      <c r="K13" s="77"/>
      <c r="L13" s="77"/>
      <c r="M13" s="77"/>
      <c r="N13" s="77"/>
      <c r="O13" s="74"/>
      <c r="P13" s="65"/>
      <c r="Q13" s="65"/>
    </row>
    <row r="14" spans="1:19">
      <c r="A14" s="65"/>
      <c r="B14" s="155" t="s">
        <v>94</v>
      </c>
      <c r="C14" s="77"/>
      <c r="D14" s="77"/>
      <c r="E14" s="77"/>
      <c r="F14" s="77"/>
      <c r="G14" s="77"/>
      <c r="H14" s="77"/>
      <c r="I14" s="77"/>
      <c r="J14" s="77"/>
      <c r="K14" s="77"/>
      <c r="L14" s="77"/>
      <c r="M14" s="77"/>
      <c r="N14" s="77"/>
      <c r="O14" s="74"/>
      <c r="P14" s="65"/>
      <c r="Q14" s="65"/>
    </row>
    <row r="15" spans="1:19">
      <c r="A15" s="65"/>
      <c r="B15" s="133"/>
      <c r="C15" s="77"/>
      <c r="D15" s="77"/>
      <c r="E15" s="77"/>
      <c r="F15" s="77"/>
      <c r="G15" s="77"/>
      <c r="H15" s="77"/>
      <c r="I15" s="77"/>
      <c r="J15" s="77"/>
      <c r="K15" s="77"/>
      <c r="L15" s="77"/>
      <c r="M15" s="77"/>
      <c r="N15" s="77"/>
      <c r="O15" s="74"/>
      <c r="P15" s="65"/>
      <c r="Q15" s="65"/>
    </row>
    <row r="16" spans="1:19">
      <c r="A16" s="65"/>
      <c r="B16" s="128"/>
      <c r="C16" s="77"/>
      <c r="D16" s="77"/>
      <c r="E16" s="77"/>
      <c r="F16" s="77"/>
      <c r="G16" s="77"/>
      <c r="H16" s="77"/>
      <c r="I16" s="77"/>
      <c r="J16" s="77"/>
      <c r="K16" s="77"/>
      <c r="L16" s="77"/>
      <c r="M16" s="77"/>
      <c r="N16" s="77"/>
      <c r="O16" s="74"/>
      <c r="P16" s="65"/>
      <c r="Q16" s="65"/>
    </row>
    <row r="17" spans="1:17" ht="14.4" thickBot="1">
      <c r="A17" s="65"/>
      <c r="B17" s="73"/>
      <c r="C17" s="72"/>
      <c r="D17" s="72"/>
      <c r="E17" s="72"/>
      <c r="F17" s="72"/>
      <c r="G17" s="72"/>
      <c r="H17" s="72"/>
      <c r="I17" s="72"/>
      <c r="J17" s="72"/>
      <c r="K17" s="72"/>
      <c r="L17" s="72"/>
      <c r="M17" s="72"/>
      <c r="N17" s="72"/>
      <c r="O17" s="90"/>
      <c r="P17" s="65"/>
      <c r="Q17" s="65"/>
    </row>
    <row r="18" spans="1:17">
      <c r="A18" s="65"/>
      <c r="B18" s="65"/>
      <c r="C18" s="65"/>
      <c r="D18" s="65"/>
      <c r="E18" s="65"/>
      <c r="F18" s="65"/>
      <c r="G18" s="65"/>
      <c r="I18" s="65"/>
      <c r="J18" s="65"/>
      <c r="K18" s="65"/>
      <c r="L18" s="65"/>
      <c r="M18" s="65"/>
      <c r="N18" s="65"/>
      <c r="O18" s="65"/>
      <c r="P18" s="65"/>
      <c r="Q18" s="65"/>
    </row>
    <row r="19" spans="1:17" ht="14.4" thickBot="1">
      <c r="A19" s="65"/>
      <c r="B19" s="154" t="s">
        <v>95</v>
      </c>
      <c r="C19" s="65"/>
      <c r="D19" s="65"/>
      <c r="E19" s="153"/>
      <c r="F19" s="153"/>
      <c r="G19" s="153"/>
      <c r="I19" s="65"/>
      <c r="J19" s="65"/>
      <c r="K19" s="65"/>
      <c r="L19" s="65"/>
      <c r="M19" s="65"/>
      <c r="N19" s="65"/>
      <c r="O19" s="65"/>
      <c r="P19" s="65"/>
      <c r="Q19" s="65"/>
    </row>
    <row r="20" spans="1:17">
      <c r="A20" s="65"/>
      <c r="B20" s="88"/>
      <c r="C20" s="110"/>
      <c r="D20" s="168"/>
      <c r="E20" s="85"/>
      <c r="F20" s="85"/>
      <c r="G20" s="85"/>
      <c r="H20" s="85"/>
      <c r="I20" s="85" t="s">
        <v>96</v>
      </c>
      <c r="J20" s="83" t="s">
        <v>97</v>
      </c>
      <c r="K20" s="65"/>
      <c r="L20" s="65"/>
      <c r="M20" s="65"/>
      <c r="N20" s="65"/>
      <c r="O20" s="65"/>
      <c r="P20" s="65"/>
      <c r="Q20" s="65"/>
    </row>
    <row r="21" spans="1:17">
      <c r="A21" s="65"/>
      <c r="B21" s="109"/>
      <c r="C21" s="108" t="s">
        <v>98</v>
      </c>
      <c r="D21" s="107">
        <v>2015</v>
      </c>
      <c r="E21" s="106">
        <v>2020</v>
      </c>
      <c r="F21" s="106">
        <v>2035</v>
      </c>
      <c r="G21" s="106">
        <v>2050</v>
      </c>
      <c r="H21" s="106" t="s">
        <v>99</v>
      </c>
      <c r="I21" s="152"/>
      <c r="J21" s="104"/>
      <c r="K21" s="65"/>
      <c r="L21" s="65"/>
      <c r="M21" s="65"/>
      <c r="N21" s="65"/>
      <c r="O21" s="65"/>
      <c r="P21" s="65"/>
      <c r="Q21" s="65"/>
    </row>
    <row r="22" spans="1:17">
      <c r="A22" s="65"/>
      <c r="B22" s="128" t="s">
        <v>100</v>
      </c>
      <c r="C22" s="118"/>
      <c r="D22" s="180"/>
      <c r="E22" s="151"/>
      <c r="F22" s="151"/>
      <c r="G22" s="151"/>
      <c r="H22" s="151"/>
      <c r="I22" s="77"/>
      <c r="J22" s="74"/>
      <c r="K22" s="65"/>
      <c r="L22" s="65"/>
      <c r="M22" s="65"/>
      <c r="N22" s="65"/>
      <c r="O22" s="65"/>
      <c r="P22" s="65"/>
      <c r="Q22" s="65"/>
    </row>
    <row r="23" spans="1:17">
      <c r="A23" s="65"/>
      <c r="B23" s="145" t="s">
        <v>101</v>
      </c>
      <c r="C23" s="118" t="s">
        <v>132</v>
      </c>
      <c r="D23" s="274">
        <f>D71</f>
        <v>0.17142857142857143</v>
      </c>
      <c r="E23" s="273">
        <f>E71</f>
        <v>0.18571428571428572</v>
      </c>
      <c r="F23" s="273">
        <f>F71</f>
        <v>0.2142857142857143</v>
      </c>
      <c r="G23" s="273">
        <f>G71</f>
        <v>0.24285714285714288</v>
      </c>
      <c r="H23" s="147"/>
      <c r="I23" s="187"/>
      <c r="J23" s="74"/>
      <c r="K23" s="244"/>
      <c r="L23" s="65"/>
      <c r="M23" s="65"/>
      <c r="N23" s="65"/>
      <c r="O23" s="65"/>
      <c r="P23" s="65"/>
      <c r="Q23" s="65"/>
    </row>
    <row r="24" spans="1:17">
      <c r="A24" s="65"/>
      <c r="B24" s="145" t="s">
        <v>102</v>
      </c>
      <c r="C24" s="118" t="s">
        <v>132</v>
      </c>
      <c r="D24" s="144">
        <f>D23</f>
        <v>0.17142857142857143</v>
      </c>
      <c r="E24" s="143">
        <f>E23</f>
        <v>0.18571428571428572</v>
      </c>
      <c r="F24" s="143">
        <f>F23</f>
        <v>0.2142857142857143</v>
      </c>
      <c r="G24" s="143">
        <f>G23</f>
        <v>0.24285714285714288</v>
      </c>
      <c r="H24" s="147"/>
      <c r="I24" s="187"/>
      <c r="J24" s="74"/>
      <c r="K24" s="244"/>
      <c r="L24" s="65"/>
      <c r="M24" s="65"/>
      <c r="N24" s="65"/>
      <c r="O24" s="65"/>
      <c r="P24" s="65"/>
      <c r="Q24" s="65"/>
    </row>
    <row r="25" spans="1:17">
      <c r="A25" s="65"/>
      <c r="B25" s="145" t="s">
        <v>103</v>
      </c>
      <c r="C25" s="118" t="s">
        <v>104</v>
      </c>
      <c r="D25" s="144">
        <f>D76</f>
        <v>11.2</v>
      </c>
      <c r="E25" s="143">
        <f>E76</f>
        <v>10.23076923076923</v>
      </c>
      <c r="F25" s="143">
        <f>F76</f>
        <v>8.7266666666666666</v>
      </c>
      <c r="G25" s="143">
        <f>G76</f>
        <v>7.617647058823529</v>
      </c>
      <c r="H25" s="142"/>
      <c r="I25" s="187"/>
      <c r="J25" s="74"/>
      <c r="K25" s="244"/>
      <c r="L25" s="65"/>
      <c r="M25" s="65"/>
      <c r="N25" s="65"/>
      <c r="O25" s="65"/>
      <c r="P25" s="65"/>
      <c r="Q25" s="65"/>
    </row>
    <row r="26" spans="1:17">
      <c r="A26" s="65"/>
      <c r="B26" s="145" t="s">
        <v>105</v>
      </c>
      <c r="C26" s="118" t="s">
        <v>104</v>
      </c>
      <c r="D26" s="144"/>
      <c r="E26" s="143"/>
      <c r="F26" s="143"/>
      <c r="G26" s="143"/>
      <c r="H26" s="142"/>
      <c r="I26" s="187"/>
      <c r="J26" s="74"/>
      <c r="K26" s="244"/>
      <c r="L26" s="65"/>
      <c r="M26" s="65"/>
      <c r="N26" s="65"/>
      <c r="O26" s="65"/>
      <c r="P26" s="65"/>
      <c r="Q26" s="65"/>
    </row>
    <row r="27" spans="1:17">
      <c r="A27" s="65"/>
      <c r="B27" s="133" t="s">
        <v>106</v>
      </c>
      <c r="C27" s="118" t="s">
        <v>107</v>
      </c>
      <c r="D27" s="341">
        <v>6</v>
      </c>
      <c r="E27" s="340">
        <v>6</v>
      </c>
      <c r="F27" s="340">
        <v>6</v>
      </c>
      <c r="G27" s="340">
        <v>6</v>
      </c>
      <c r="H27" s="125"/>
      <c r="I27" s="99" t="s">
        <v>645</v>
      </c>
      <c r="J27" s="119"/>
      <c r="K27" s="244"/>
      <c r="L27" s="65"/>
      <c r="M27" s="65"/>
      <c r="N27" s="65"/>
      <c r="O27" s="65"/>
      <c r="P27" s="65"/>
      <c r="Q27" s="65"/>
    </row>
    <row r="28" spans="1:17">
      <c r="A28" s="65"/>
      <c r="B28" s="133" t="s">
        <v>108</v>
      </c>
      <c r="C28" s="118" t="s">
        <v>109</v>
      </c>
      <c r="D28" s="177">
        <f>+D67*D68/1000</f>
        <v>128.63999999999999</v>
      </c>
      <c r="E28" s="139">
        <f>+E67*E68/1000</f>
        <v>127.3</v>
      </c>
      <c r="F28" s="139">
        <f>+F67*F68/1000</f>
        <v>125.29</v>
      </c>
      <c r="G28" s="139">
        <f>+G67*G68/1000</f>
        <v>123.95</v>
      </c>
      <c r="H28" s="138"/>
      <c r="I28" s="187"/>
      <c r="J28" s="74"/>
      <c r="K28" s="244"/>
      <c r="L28" s="65"/>
      <c r="M28" s="65"/>
      <c r="N28" s="65"/>
      <c r="O28" s="65"/>
      <c r="P28" s="65"/>
      <c r="Q28" s="65"/>
    </row>
    <row r="29" spans="1:17">
      <c r="A29" s="65"/>
      <c r="B29" s="78"/>
      <c r="C29" s="137"/>
      <c r="D29" s="134"/>
      <c r="E29" s="98"/>
      <c r="F29" s="98"/>
      <c r="G29" s="98"/>
      <c r="H29" s="98"/>
      <c r="I29" s="77"/>
      <c r="J29" s="74"/>
      <c r="K29" s="244"/>
      <c r="L29" s="65"/>
      <c r="M29" s="65"/>
      <c r="N29" s="65"/>
      <c r="O29" s="65"/>
      <c r="P29" s="65"/>
      <c r="Q29" s="65"/>
    </row>
    <row r="30" spans="1:17">
      <c r="A30" s="65"/>
      <c r="B30" s="128" t="s">
        <v>110</v>
      </c>
      <c r="C30" s="118"/>
      <c r="D30" s="134"/>
      <c r="E30" s="98"/>
      <c r="F30" s="98"/>
      <c r="G30" s="98"/>
      <c r="H30" s="98"/>
      <c r="I30" s="77"/>
      <c r="J30" s="74"/>
      <c r="K30" s="244"/>
      <c r="L30" s="65"/>
      <c r="M30" s="65"/>
      <c r="N30" s="65"/>
      <c r="O30" s="65"/>
      <c r="P30" s="65"/>
      <c r="Q30" s="65"/>
    </row>
    <row r="31" spans="1:17" s="65" customFormat="1">
      <c r="B31" s="133" t="s">
        <v>111</v>
      </c>
      <c r="C31" s="118" t="s">
        <v>15</v>
      </c>
      <c r="D31" s="136">
        <v>1951075.3654441405</v>
      </c>
      <c r="E31" s="136">
        <v>1951075.3654441405</v>
      </c>
      <c r="F31" s="136">
        <v>1951075.3654441405</v>
      </c>
      <c r="G31" s="136">
        <v>1951075.3654441405</v>
      </c>
      <c r="H31" s="135">
        <v>2015</v>
      </c>
      <c r="I31" s="79"/>
      <c r="J31" s="74"/>
    </row>
    <row r="32" spans="1:17" s="65" customFormat="1">
      <c r="B32" s="78" t="s">
        <v>16</v>
      </c>
      <c r="C32" s="118" t="s">
        <v>17</v>
      </c>
      <c r="D32" s="136">
        <v>3936.1888354162893</v>
      </c>
      <c r="E32" s="136">
        <v>3977.6224021048815</v>
      </c>
      <c r="F32" s="136">
        <v>4041.4345262028205</v>
      </c>
      <c r="G32" s="136">
        <v>4085.1257102698778</v>
      </c>
      <c r="H32" s="135">
        <v>2015</v>
      </c>
      <c r="I32" s="79"/>
      <c r="J32" s="74"/>
    </row>
    <row r="33" spans="1:17" s="65" customFormat="1">
      <c r="B33" s="129" t="s">
        <v>18</v>
      </c>
      <c r="C33" s="118" t="s">
        <v>17</v>
      </c>
      <c r="D33" s="136">
        <v>2988.1524299748517</v>
      </c>
      <c r="E33" s="136">
        <v>3019.6066660798501</v>
      </c>
      <c r="F33" s="136">
        <v>3068.0495537709703</v>
      </c>
      <c r="G33" s="136">
        <v>3101.2176570549809</v>
      </c>
      <c r="H33" s="135">
        <v>2015</v>
      </c>
      <c r="I33" s="79"/>
      <c r="J33" s="74"/>
    </row>
    <row r="34" spans="1:17" s="65" customFormat="1">
      <c r="B34" s="129" t="s">
        <v>19</v>
      </c>
      <c r="C34" s="118" t="s">
        <v>17</v>
      </c>
      <c r="D34" s="136">
        <v>948.03640544143752</v>
      </c>
      <c r="E34" s="136">
        <v>958.01573602503152</v>
      </c>
      <c r="F34" s="136">
        <v>973.38497243185009</v>
      </c>
      <c r="G34" s="136">
        <v>983.90805321489711</v>
      </c>
      <c r="H34" s="135">
        <v>2015</v>
      </c>
      <c r="I34" s="79"/>
      <c r="J34" s="74"/>
    </row>
    <row r="35" spans="1:17" s="65" customFormat="1">
      <c r="B35" s="129"/>
      <c r="C35" s="118"/>
      <c r="D35" s="136"/>
      <c r="E35" s="136"/>
      <c r="F35" s="136"/>
      <c r="G35" s="136"/>
      <c r="H35" s="135"/>
      <c r="I35" s="79"/>
      <c r="J35" s="74"/>
    </row>
    <row r="36" spans="1:17" s="65" customFormat="1">
      <c r="B36" s="129" t="s">
        <v>112</v>
      </c>
      <c r="C36" s="118" t="s">
        <v>17</v>
      </c>
      <c r="D36" s="136">
        <v>0</v>
      </c>
      <c r="E36" s="136">
        <v>0</v>
      </c>
      <c r="F36" s="136">
        <v>0</v>
      </c>
      <c r="G36" s="136">
        <v>0</v>
      </c>
      <c r="H36" s="135">
        <v>2015</v>
      </c>
      <c r="I36" s="79"/>
      <c r="J36" s="74"/>
    </row>
    <row r="37" spans="1:17" s="65" customFormat="1">
      <c r="B37" s="128"/>
      <c r="C37" s="118"/>
      <c r="D37" s="134"/>
      <c r="E37" s="98"/>
      <c r="F37" s="98"/>
      <c r="G37" s="98"/>
      <c r="H37" s="98"/>
      <c r="I37" s="79"/>
      <c r="J37" s="74"/>
    </row>
    <row r="38" spans="1:17">
      <c r="A38" s="65"/>
      <c r="B38" s="133" t="s">
        <v>111</v>
      </c>
      <c r="C38" s="118" t="s">
        <v>15</v>
      </c>
      <c r="D38" s="329">
        <f>'EU Bus'!D38+500000</f>
        <v>1832921.6972839427</v>
      </c>
      <c r="E38" s="329">
        <f>'EU Bus'!E38+500000</f>
        <v>1832921.6972839427</v>
      </c>
      <c r="F38" s="329">
        <f>'EU Bus'!F38+500000</f>
        <v>1832921.6972839427</v>
      </c>
      <c r="G38" s="329">
        <f>'EU Bus'!G38+500000</f>
        <v>1832921.6972839427</v>
      </c>
      <c r="H38" s="130">
        <v>2011</v>
      </c>
      <c r="I38" s="99" t="s">
        <v>647</v>
      </c>
      <c r="J38" s="119"/>
      <c r="K38" s="244"/>
      <c r="L38" s="65"/>
      <c r="M38" s="65"/>
      <c r="N38" s="65"/>
      <c r="O38" s="65"/>
      <c r="P38" s="65"/>
      <c r="Q38" s="65"/>
    </row>
    <row r="39" spans="1:17">
      <c r="A39" s="65"/>
      <c r="B39" s="78" t="s">
        <v>16</v>
      </c>
      <c r="C39" s="118" t="s">
        <v>17</v>
      </c>
      <c r="D39" s="257">
        <f>+SUM(D40:D43)</f>
        <v>3697.8202117779183</v>
      </c>
      <c r="E39" s="258">
        <f>+SUM(E40:E43)</f>
        <v>3736.7446350597911</v>
      </c>
      <c r="F39" s="258">
        <f>+SUM(F40:F43)</f>
        <v>3796.6924099537982</v>
      </c>
      <c r="G39" s="258">
        <f>+SUM(G40:G43)</f>
        <v>3837.7377333046497</v>
      </c>
      <c r="H39" s="130">
        <v>2011</v>
      </c>
      <c r="I39" s="187"/>
      <c r="J39" s="74"/>
      <c r="K39" s="244"/>
      <c r="L39" s="65"/>
      <c r="M39" s="65"/>
      <c r="N39" s="65"/>
      <c r="O39" s="65"/>
      <c r="P39" s="65"/>
      <c r="Q39" s="65"/>
    </row>
    <row r="40" spans="1:17">
      <c r="A40" s="65"/>
      <c r="B40" s="129" t="s">
        <v>18</v>
      </c>
      <c r="C40" s="118" t="s">
        <v>17</v>
      </c>
      <c r="D40" s="257">
        <v>2807.1952117779183</v>
      </c>
      <c r="E40" s="258">
        <v>2836.7446350597911</v>
      </c>
      <c r="F40" s="258">
        <v>2882.2539072800014</v>
      </c>
      <c r="G40" s="258">
        <v>2913.4134089803256</v>
      </c>
      <c r="H40" s="130">
        <v>2011</v>
      </c>
      <c r="I40" s="187"/>
      <c r="J40" s="74"/>
      <c r="K40" s="244"/>
      <c r="L40" s="65"/>
      <c r="M40" s="65"/>
      <c r="N40" s="65"/>
      <c r="O40" s="65"/>
      <c r="P40" s="65"/>
      <c r="Q40" s="65"/>
    </row>
    <row r="41" spans="1:17">
      <c r="A41" s="65"/>
      <c r="B41" s="129" t="s">
        <v>19</v>
      </c>
      <c r="C41" s="118" t="s">
        <v>17</v>
      </c>
      <c r="D41" s="257">
        <f>(D68*D69)/D28</f>
        <v>890.62500000000011</v>
      </c>
      <c r="E41" s="258">
        <f>(E68*E69)/E28</f>
        <v>900</v>
      </c>
      <c r="F41" s="258">
        <f>(F68*F69)/F28</f>
        <v>914.43850267379673</v>
      </c>
      <c r="G41" s="258">
        <f>(G68*G69)/G28</f>
        <v>924.32432432432427</v>
      </c>
      <c r="H41" s="130">
        <v>2011</v>
      </c>
      <c r="I41" s="187"/>
      <c r="J41" s="119" t="s">
        <v>307</v>
      </c>
      <c r="K41" s="244"/>
      <c r="L41" s="65"/>
      <c r="M41" s="65"/>
      <c r="N41" s="65"/>
      <c r="O41" s="65"/>
      <c r="P41" s="65"/>
      <c r="Q41" s="65"/>
    </row>
    <row r="42" spans="1:17">
      <c r="A42" s="65"/>
      <c r="B42" s="129"/>
      <c r="C42" s="118"/>
      <c r="D42" s="134"/>
      <c r="E42" s="98"/>
      <c r="F42" s="98"/>
      <c r="G42" s="98"/>
      <c r="H42" s="130"/>
      <c r="I42" s="187"/>
      <c r="J42" s="74"/>
      <c r="K42" s="244"/>
      <c r="L42" s="65"/>
      <c r="M42" s="65"/>
      <c r="N42" s="65"/>
      <c r="O42" s="65"/>
      <c r="P42" s="65"/>
      <c r="Q42" s="65"/>
    </row>
    <row r="43" spans="1:17">
      <c r="A43" s="65"/>
      <c r="B43" s="129" t="s">
        <v>112</v>
      </c>
      <c r="C43" s="118" t="s">
        <v>17</v>
      </c>
      <c r="D43" s="257">
        <v>0</v>
      </c>
      <c r="E43" s="256">
        <v>0</v>
      </c>
      <c r="F43" s="256">
        <v>0</v>
      </c>
      <c r="G43" s="256">
        <v>0</v>
      </c>
      <c r="H43" s="130">
        <v>2011</v>
      </c>
      <c r="I43" s="187"/>
      <c r="J43" s="119" t="s">
        <v>306</v>
      </c>
      <c r="K43" s="244"/>
      <c r="L43" s="65"/>
      <c r="M43" s="65"/>
      <c r="N43" s="65"/>
      <c r="O43" s="65"/>
      <c r="P43" s="65"/>
      <c r="Q43" s="65"/>
    </row>
    <row r="44" spans="1:17">
      <c r="A44" s="65"/>
      <c r="B44" s="129"/>
      <c r="C44" s="118"/>
      <c r="D44" s="134"/>
      <c r="E44" s="98"/>
      <c r="F44" s="98"/>
      <c r="G44" s="98"/>
      <c r="H44" s="98"/>
      <c r="I44" s="187"/>
      <c r="J44" s="74"/>
      <c r="K44" s="244"/>
      <c r="L44" s="65"/>
      <c r="M44" s="65"/>
      <c r="N44" s="65"/>
      <c r="O44" s="65"/>
      <c r="P44" s="65"/>
      <c r="Q44" s="65"/>
    </row>
    <row r="45" spans="1:17">
      <c r="A45" s="65"/>
      <c r="B45" s="128" t="s">
        <v>113</v>
      </c>
      <c r="C45" s="118"/>
      <c r="D45" s="134"/>
      <c r="E45" s="98"/>
      <c r="F45" s="98"/>
      <c r="G45" s="98"/>
      <c r="H45" s="127"/>
      <c r="I45" s="187"/>
      <c r="J45" s="74"/>
      <c r="K45" s="244"/>
      <c r="L45" s="65"/>
      <c r="M45" s="65"/>
      <c r="N45" s="65"/>
      <c r="O45" s="65"/>
      <c r="P45" s="65"/>
      <c r="Q45" s="65"/>
    </row>
    <row r="46" spans="1:17">
      <c r="A46" s="65"/>
      <c r="B46" s="123" t="s">
        <v>30</v>
      </c>
      <c r="C46" s="118"/>
      <c r="D46" s="134"/>
      <c r="E46" s="98"/>
      <c r="F46" s="98"/>
      <c r="G46" s="98"/>
      <c r="H46" s="126"/>
      <c r="I46" s="187"/>
      <c r="J46" s="74"/>
      <c r="K46" s="244"/>
      <c r="L46" s="65"/>
      <c r="M46" s="65"/>
      <c r="N46" s="65"/>
      <c r="O46" s="65"/>
      <c r="P46" s="65"/>
      <c r="Q46" s="65"/>
    </row>
    <row r="47" spans="1:17">
      <c r="A47" s="65"/>
      <c r="B47" s="78" t="s">
        <v>20</v>
      </c>
      <c r="C47" s="118" t="s">
        <v>133</v>
      </c>
      <c r="D47" s="255"/>
      <c r="E47" s="121"/>
      <c r="F47" s="121"/>
      <c r="G47" s="121"/>
      <c r="H47" s="126"/>
      <c r="I47" s="187"/>
      <c r="J47" s="119" t="s">
        <v>114</v>
      </c>
      <c r="K47" s="244"/>
      <c r="L47" s="65"/>
      <c r="M47" s="65"/>
      <c r="N47" s="65"/>
      <c r="O47" s="65"/>
      <c r="P47" s="65"/>
      <c r="Q47" s="65"/>
    </row>
    <row r="48" spans="1:17">
      <c r="A48" s="65"/>
      <c r="B48" s="78" t="s">
        <v>21</v>
      </c>
      <c r="C48" s="118" t="s">
        <v>133</v>
      </c>
      <c r="D48" s="124">
        <f t="shared" ref="D48:G52" si="0">D79/D$76</f>
        <v>3.6492051807463747E-4</v>
      </c>
      <c r="E48" s="124">
        <f t="shared" si="0"/>
        <v>1.3657553703384776E-4</v>
      </c>
      <c r="F48" s="124">
        <f t="shared" si="0"/>
        <v>1.3657553703384776E-4</v>
      </c>
      <c r="G48" s="124">
        <f t="shared" si="0"/>
        <v>1.3657553703384776E-4</v>
      </c>
      <c r="H48" s="120"/>
      <c r="I48" s="187"/>
      <c r="J48" s="74"/>
      <c r="K48" s="244"/>
      <c r="L48" s="65"/>
      <c r="M48" s="65"/>
      <c r="N48" s="65"/>
      <c r="O48" s="65"/>
      <c r="P48" s="65"/>
      <c r="Q48" s="65"/>
    </row>
    <row r="49" spans="1:17">
      <c r="A49" s="65"/>
      <c r="B49" s="78" t="s">
        <v>22</v>
      </c>
      <c r="C49" s="118" t="s">
        <v>133</v>
      </c>
      <c r="D49" s="124">
        <f t="shared" si="0"/>
        <v>2.883142631933571E-3</v>
      </c>
      <c r="E49" s="124">
        <f t="shared" si="0"/>
        <v>3.8168443449451885E-3</v>
      </c>
      <c r="F49" s="124">
        <f t="shared" si="0"/>
        <v>3.8168443449451881E-3</v>
      </c>
      <c r="G49" s="124">
        <f t="shared" si="0"/>
        <v>3.8168443449451881E-3</v>
      </c>
      <c r="H49" s="98"/>
      <c r="I49" s="187"/>
      <c r="J49" s="74"/>
      <c r="K49" s="244"/>
      <c r="L49" s="65"/>
      <c r="M49" s="65"/>
      <c r="N49" s="65"/>
      <c r="O49" s="65"/>
      <c r="P49" s="65"/>
      <c r="Q49" s="65"/>
    </row>
    <row r="50" spans="1:17">
      <c r="A50" s="65"/>
      <c r="B50" s="78" t="s">
        <v>23</v>
      </c>
      <c r="C50" s="118" t="s">
        <v>133</v>
      </c>
      <c r="D50" s="124">
        <f t="shared" si="0"/>
        <v>4.6837408023728803E-4</v>
      </c>
      <c r="E50" s="124">
        <f t="shared" si="0"/>
        <v>4.6837408023728798E-4</v>
      </c>
      <c r="F50" s="124">
        <f t="shared" si="0"/>
        <v>4.6837408023728803E-4</v>
      </c>
      <c r="G50" s="124">
        <f t="shared" si="0"/>
        <v>4.6837408023728798E-4</v>
      </c>
      <c r="H50" s="125"/>
      <c r="I50" s="187"/>
      <c r="J50" s="74"/>
      <c r="K50" s="244"/>
      <c r="L50" s="65"/>
      <c r="M50" s="65"/>
      <c r="N50" s="65"/>
      <c r="O50" s="65"/>
      <c r="P50" s="65"/>
      <c r="Q50" s="65"/>
    </row>
    <row r="51" spans="1:17">
      <c r="A51" s="65"/>
      <c r="B51" s="78" t="s">
        <v>115</v>
      </c>
      <c r="C51" s="118" t="s">
        <v>133</v>
      </c>
      <c r="D51" s="124">
        <f t="shared" si="0"/>
        <v>0.42120742294108493</v>
      </c>
      <c r="E51" s="124">
        <f t="shared" si="0"/>
        <v>4.2913588351117742E-2</v>
      </c>
      <c r="F51" s="124">
        <f t="shared" si="0"/>
        <v>4.2913588351117742E-2</v>
      </c>
      <c r="G51" s="124">
        <f t="shared" si="0"/>
        <v>4.2913588351117742E-2</v>
      </c>
      <c r="H51" s="98"/>
      <c r="I51" s="187"/>
      <c r="J51" s="74"/>
      <c r="K51" s="244"/>
      <c r="L51" s="65"/>
      <c r="M51" s="65"/>
      <c r="N51" s="65"/>
      <c r="O51" s="65"/>
      <c r="P51" s="65"/>
      <c r="Q51" s="65"/>
    </row>
    <row r="52" spans="1:17">
      <c r="A52" s="65"/>
      <c r="B52" s="78" t="s">
        <v>24</v>
      </c>
      <c r="C52" s="118" t="s">
        <v>133</v>
      </c>
      <c r="D52" s="124">
        <f t="shared" si="0"/>
        <v>3.2868980174215008E-3</v>
      </c>
      <c r="E52" s="124">
        <f t="shared" si="0"/>
        <v>4.9158331190144507E-4</v>
      </c>
      <c r="F52" s="124">
        <f t="shared" si="0"/>
        <v>4.9158331190144507E-4</v>
      </c>
      <c r="G52" s="124">
        <f t="shared" si="0"/>
        <v>4.9158331190144507E-4</v>
      </c>
      <c r="H52" s="98"/>
      <c r="I52" s="187"/>
      <c r="J52" s="74"/>
      <c r="K52" s="244"/>
      <c r="L52" s="65"/>
      <c r="M52" s="65"/>
      <c r="N52" s="65"/>
      <c r="O52" s="65"/>
      <c r="P52" s="65"/>
      <c r="Q52" s="65"/>
    </row>
    <row r="53" spans="1:17">
      <c r="A53" s="65"/>
      <c r="B53" s="78"/>
      <c r="C53" s="118"/>
      <c r="D53" s="122"/>
      <c r="E53" s="77"/>
      <c r="F53" s="77"/>
      <c r="G53" s="77"/>
      <c r="H53" s="98"/>
      <c r="I53" s="187"/>
      <c r="J53" s="74"/>
      <c r="K53" s="244"/>
      <c r="L53" s="65"/>
      <c r="M53" s="65"/>
      <c r="N53" s="65"/>
      <c r="O53" s="65"/>
      <c r="P53" s="65"/>
      <c r="Q53" s="65"/>
    </row>
    <row r="54" spans="1:17">
      <c r="A54" s="65"/>
      <c r="B54" s="123" t="s">
        <v>31</v>
      </c>
      <c r="C54" s="118"/>
      <c r="D54" s="134"/>
      <c r="E54" s="98"/>
      <c r="F54" s="98"/>
      <c r="G54" s="98"/>
      <c r="H54" s="120"/>
      <c r="I54" s="187"/>
      <c r="J54" s="74"/>
      <c r="K54" s="244"/>
      <c r="L54" s="65"/>
      <c r="M54" s="65"/>
      <c r="N54" s="65"/>
      <c r="O54" s="65"/>
      <c r="P54" s="65"/>
      <c r="Q54" s="65"/>
    </row>
    <row r="55" spans="1:17">
      <c r="A55" s="65"/>
      <c r="B55" s="78" t="s">
        <v>20</v>
      </c>
      <c r="C55" s="118" t="s">
        <v>133</v>
      </c>
      <c r="D55" s="255"/>
      <c r="E55" s="121"/>
      <c r="F55" s="121"/>
      <c r="G55" s="121"/>
      <c r="H55" s="197"/>
      <c r="I55" s="187"/>
      <c r="J55" s="119" t="s">
        <v>114</v>
      </c>
      <c r="K55" s="244"/>
      <c r="L55" s="65"/>
      <c r="M55" s="65"/>
      <c r="N55" s="65"/>
      <c r="O55" s="65"/>
      <c r="P55" s="65"/>
      <c r="Q55" s="65"/>
    </row>
    <row r="56" spans="1:17">
      <c r="A56" s="65"/>
      <c r="B56" s="78" t="s">
        <v>21</v>
      </c>
      <c r="C56" s="118" t="s">
        <v>133</v>
      </c>
      <c r="D56" s="117">
        <f t="shared" ref="D56:G60" si="1">D48</f>
        <v>3.6492051807463747E-4</v>
      </c>
      <c r="E56" s="117">
        <f t="shared" si="1"/>
        <v>1.3657553703384776E-4</v>
      </c>
      <c r="F56" s="117">
        <f t="shared" si="1"/>
        <v>1.3657553703384776E-4</v>
      </c>
      <c r="G56" s="117">
        <f t="shared" si="1"/>
        <v>1.3657553703384776E-4</v>
      </c>
      <c r="H56" s="197"/>
      <c r="I56" s="187"/>
      <c r="J56" s="74"/>
      <c r="K56" s="244"/>
      <c r="L56" s="65"/>
      <c r="M56" s="65"/>
      <c r="N56" s="65"/>
      <c r="O56" s="65"/>
      <c r="P56" s="65"/>
      <c r="Q56" s="65"/>
    </row>
    <row r="57" spans="1:17">
      <c r="A57" s="65"/>
      <c r="B57" s="78" t="s">
        <v>22</v>
      </c>
      <c r="C57" s="118" t="s">
        <v>133</v>
      </c>
      <c r="D57" s="117">
        <f t="shared" si="1"/>
        <v>2.883142631933571E-3</v>
      </c>
      <c r="E57" s="117">
        <f t="shared" si="1"/>
        <v>3.8168443449451885E-3</v>
      </c>
      <c r="F57" s="117">
        <f t="shared" si="1"/>
        <v>3.8168443449451881E-3</v>
      </c>
      <c r="G57" s="117">
        <f t="shared" si="1"/>
        <v>3.8168443449451881E-3</v>
      </c>
      <c r="H57" s="197"/>
      <c r="I57" s="187"/>
      <c r="J57" s="74"/>
      <c r="K57" s="244"/>
      <c r="L57" s="65"/>
      <c r="M57" s="65"/>
      <c r="N57" s="65"/>
      <c r="O57" s="65"/>
      <c r="P57" s="65"/>
      <c r="Q57" s="65"/>
    </row>
    <row r="58" spans="1:17">
      <c r="A58" s="65"/>
      <c r="B58" s="78" t="s">
        <v>23</v>
      </c>
      <c r="C58" s="118" t="s">
        <v>133</v>
      </c>
      <c r="D58" s="117">
        <f t="shared" si="1"/>
        <v>4.6837408023728803E-4</v>
      </c>
      <c r="E58" s="117">
        <f t="shared" si="1"/>
        <v>4.6837408023728798E-4</v>
      </c>
      <c r="F58" s="117">
        <f t="shared" si="1"/>
        <v>4.6837408023728803E-4</v>
      </c>
      <c r="G58" s="117">
        <f t="shared" si="1"/>
        <v>4.6837408023728798E-4</v>
      </c>
      <c r="H58" s="197"/>
      <c r="I58" s="187"/>
      <c r="J58" s="74"/>
      <c r="K58" s="244"/>
      <c r="L58" s="65"/>
      <c r="M58" s="65"/>
      <c r="N58" s="65"/>
      <c r="O58" s="65"/>
      <c r="P58" s="65"/>
      <c r="Q58" s="65"/>
    </row>
    <row r="59" spans="1:17">
      <c r="A59" s="65"/>
      <c r="B59" s="78" t="s">
        <v>115</v>
      </c>
      <c r="C59" s="118" t="s">
        <v>133</v>
      </c>
      <c r="D59" s="117">
        <f t="shared" si="1"/>
        <v>0.42120742294108493</v>
      </c>
      <c r="E59" s="117">
        <f t="shared" si="1"/>
        <v>4.2913588351117742E-2</v>
      </c>
      <c r="F59" s="117">
        <f t="shared" si="1"/>
        <v>4.2913588351117742E-2</v>
      </c>
      <c r="G59" s="117">
        <f t="shared" si="1"/>
        <v>4.2913588351117742E-2</v>
      </c>
      <c r="H59" s="197"/>
      <c r="I59" s="187"/>
      <c r="J59" s="74"/>
      <c r="K59" s="244"/>
      <c r="L59" s="65"/>
      <c r="M59" s="65"/>
      <c r="N59" s="65"/>
      <c r="O59" s="65"/>
      <c r="P59" s="65"/>
      <c r="Q59" s="65"/>
    </row>
    <row r="60" spans="1:17">
      <c r="A60" s="65"/>
      <c r="B60" s="78" t="s">
        <v>24</v>
      </c>
      <c r="C60" s="118" t="s">
        <v>133</v>
      </c>
      <c r="D60" s="117">
        <f t="shared" si="1"/>
        <v>3.2868980174215008E-3</v>
      </c>
      <c r="E60" s="117">
        <f t="shared" si="1"/>
        <v>4.9158331190144507E-4</v>
      </c>
      <c r="F60" s="117">
        <f t="shared" si="1"/>
        <v>4.9158331190144507E-4</v>
      </c>
      <c r="G60" s="117">
        <f t="shared" si="1"/>
        <v>4.9158331190144507E-4</v>
      </c>
      <c r="H60" s="135"/>
      <c r="I60" s="187"/>
      <c r="J60" s="74"/>
      <c r="K60" s="244"/>
      <c r="L60" s="65"/>
      <c r="M60" s="65"/>
      <c r="N60" s="65"/>
      <c r="O60" s="65"/>
      <c r="P60" s="65"/>
      <c r="Q60" s="65"/>
    </row>
    <row r="61" spans="1:17" ht="14.4" thickBot="1">
      <c r="A61" s="65"/>
      <c r="B61" s="115"/>
      <c r="C61" s="114"/>
      <c r="D61" s="113"/>
      <c r="E61" s="72"/>
      <c r="F61" s="72"/>
      <c r="G61" s="72"/>
      <c r="H61" s="72"/>
      <c r="I61" s="193"/>
      <c r="J61" s="90"/>
      <c r="K61" s="244"/>
      <c r="L61" s="65"/>
      <c r="M61" s="65"/>
      <c r="N61" s="65"/>
      <c r="O61" s="65"/>
      <c r="P61" s="65"/>
      <c r="Q61" s="65"/>
    </row>
    <row r="62" spans="1:17">
      <c r="A62" s="65"/>
      <c r="B62" s="65"/>
      <c r="C62" s="65"/>
      <c r="D62" s="65"/>
      <c r="E62" s="65"/>
      <c r="F62" s="65"/>
      <c r="G62" s="65"/>
      <c r="I62" s="65"/>
      <c r="J62" s="65"/>
      <c r="K62" s="244"/>
      <c r="L62" s="65"/>
      <c r="M62" s="65"/>
      <c r="N62" s="65"/>
      <c r="O62" s="65"/>
      <c r="P62" s="65"/>
      <c r="Q62" s="65"/>
    </row>
    <row r="63" spans="1:17">
      <c r="A63" s="65"/>
      <c r="B63" s="65"/>
      <c r="C63" s="65"/>
      <c r="D63" s="65"/>
      <c r="E63" s="65"/>
      <c r="F63" s="65"/>
      <c r="G63" s="65"/>
      <c r="I63" s="65"/>
      <c r="J63" s="65"/>
      <c r="K63" s="244"/>
      <c r="L63" s="65"/>
      <c r="M63" s="65"/>
      <c r="N63" s="65"/>
      <c r="O63" s="65"/>
      <c r="P63" s="65"/>
      <c r="Q63" s="65"/>
    </row>
    <row r="64" spans="1:17" ht="16.2" thickBot="1">
      <c r="A64" s="65"/>
      <c r="B64" s="89" t="s">
        <v>116</v>
      </c>
      <c r="C64" s="65"/>
      <c r="D64" s="65"/>
      <c r="E64" s="65"/>
      <c r="F64" s="65"/>
      <c r="G64" s="65"/>
      <c r="I64" s="65"/>
      <c r="J64" s="65"/>
      <c r="K64" s="244"/>
      <c r="L64" s="65"/>
      <c r="M64" s="65"/>
      <c r="N64" s="65"/>
      <c r="O64" s="65"/>
      <c r="P64" s="65"/>
      <c r="Q64" s="65"/>
    </row>
    <row r="65" spans="1:17">
      <c r="A65" s="65"/>
      <c r="B65" s="88"/>
      <c r="C65" s="110"/>
      <c r="D65" s="85"/>
      <c r="E65" s="85"/>
      <c r="F65" s="85"/>
      <c r="G65" s="85"/>
      <c r="H65" s="85"/>
      <c r="I65" s="85"/>
      <c r="J65" s="83"/>
      <c r="K65" s="244"/>
      <c r="L65" s="65"/>
      <c r="M65" s="65"/>
      <c r="N65" s="65"/>
      <c r="O65" s="65"/>
      <c r="P65" s="65"/>
      <c r="Q65" s="65"/>
    </row>
    <row r="66" spans="1:17">
      <c r="A66" s="65"/>
      <c r="B66" s="109"/>
      <c r="C66" s="108" t="s">
        <v>98</v>
      </c>
      <c r="D66" s="107">
        <v>2015</v>
      </c>
      <c r="E66" s="106">
        <v>2020</v>
      </c>
      <c r="F66" s="106">
        <v>2035</v>
      </c>
      <c r="G66" s="106">
        <v>2050</v>
      </c>
      <c r="H66" s="106"/>
      <c r="I66" s="152"/>
      <c r="J66" s="104"/>
      <c r="K66" s="244"/>
      <c r="L66" s="65"/>
      <c r="M66" s="65"/>
      <c r="N66" s="65"/>
      <c r="O66" s="65"/>
      <c r="P66" s="65"/>
      <c r="Q66" s="65"/>
    </row>
    <row r="67" spans="1:17">
      <c r="A67" s="65"/>
      <c r="B67" s="78" t="s">
        <v>25</v>
      </c>
      <c r="C67" s="95" t="s">
        <v>151</v>
      </c>
      <c r="D67" s="254">
        <v>1.92</v>
      </c>
      <c r="E67" s="254">
        <v>1.9</v>
      </c>
      <c r="F67" s="254">
        <v>1.87</v>
      </c>
      <c r="G67" s="254">
        <v>1.85</v>
      </c>
      <c r="H67" s="254"/>
      <c r="I67" s="77"/>
      <c r="J67" s="74"/>
      <c r="K67" s="244"/>
      <c r="L67" s="65"/>
      <c r="M67" s="65"/>
      <c r="N67" s="65"/>
      <c r="O67" s="65"/>
      <c r="P67" s="65"/>
      <c r="Q67" s="65"/>
    </row>
    <row r="68" spans="1:17">
      <c r="A68" s="65"/>
      <c r="B68" s="78" t="s">
        <v>120</v>
      </c>
      <c r="C68" s="95" t="s">
        <v>121</v>
      </c>
      <c r="D68" s="253">
        <v>67000</v>
      </c>
      <c r="E68" s="253">
        <v>67000</v>
      </c>
      <c r="F68" s="253">
        <v>67000</v>
      </c>
      <c r="G68" s="253">
        <v>67000</v>
      </c>
      <c r="H68" s="253"/>
      <c r="I68" s="99" t="s">
        <v>645</v>
      </c>
      <c r="J68" s="119"/>
      <c r="K68" s="244"/>
      <c r="L68" s="65"/>
      <c r="M68" s="65"/>
      <c r="N68" s="65"/>
      <c r="O68" s="65"/>
      <c r="P68" s="65"/>
      <c r="Q68" s="65"/>
    </row>
    <row r="69" spans="1:17">
      <c r="A69" s="65"/>
      <c r="B69" s="78" t="s">
        <v>123</v>
      </c>
      <c r="C69" s="202" t="s">
        <v>36</v>
      </c>
      <c r="D69" s="271">
        <f>'EU Bus'!D69*95%</f>
        <v>1.71</v>
      </c>
      <c r="E69" s="271">
        <f>'EU Bus'!E69*95%</f>
        <v>1.71</v>
      </c>
      <c r="F69" s="271">
        <f>'EU Bus'!F69*95%</f>
        <v>1.71</v>
      </c>
      <c r="G69" s="271">
        <f>'EU Bus'!G69*95%</f>
        <v>1.71</v>
      </c>
      <c r="H69" s="271"/>
      <c r="I69" s="99" t="s">
        <v>647</v>
      </c>
      <c r="J69" s="348" t="s">
        <v>305</v>
      </c>
      <c r="K69" s="244"/>
      <c r="L69" s="65"/>
      <c r="M69" s="65"/>
      <c r="N69" s="65"/>
      <c r="O69" s="65"/>
      <c r="P69" s="65"/>
      <c r="Q69" s="65"/>
    </row>
    <row r="70" spans="1:17">
      <c r="A70" s="65"/>
      <c r="B70" s="165" t="s">
        <v>162</v>
      </c>
      <c r="C70" s="202" t="s">
        <v>163</v>
      </c>
      <c r="D70" s="347">
        <v>3.2025000000000006</v>
      </c>
      <c r="E70" s="347">
        <v>3.5058947368421056</v>
      </c>
      <c r="F70" s="347">
        <v>4.1101604278074868</v>
      </c>
      <c r="G70" s="347">
        <v>4.7085405405405414</v>
      </c>
      <c r="H70" s="347"/>
      <c r="I70" s="77"/>
      <c r="J70" s="119"/>
      <c r="K70" s="244"/>
      <c r="L70" s="65"/>
      <c r="M70" s="67"/>
      <c r="N70" s="188">
        <f>42/37</f>
        <v>1.1351351351351351</v>
      </c>
      <c r="O70" s="188"/>
      <c r="P70" s="65"/>
      <c r="Q70" s="65"/>
    </row>
    <row r="71" spans="1:17">
      <c r="A71" s="65"/>
      <c r="B71" s="165" t="s">
        <v>164</v>
      </c>
      <c r="C71" s="202" t="s">
        <v>26</v>
      </c>
      <c r="D71" s="346">
        <v>0.17142857142857143</v>
      </c>
      <c r="E71" s="346">
        <v>0.18571428571428572</v>
      </c>
      <c r="F71" s="346">
        <v>0.2142857142857143</v>
      </c>
      <c r="G71" s="346">
        <v>0.24285714285714288</v>
      </c>
      <c r="H71" s="302"/>
      <c r="I71" s="77" t="s">
        <v>643</v>
      </c>
      <c r="J71" s="119"/>
      <c r="K71" s="244"/>
      <c r="L71" s="65"/>
      <c r="M71" s="65"/>
      <c r="N71" s="65"/>
      <c r="O71" s="65"/>
      <c r="P71" s="65"/>
      <c r="Q71" s="65"/>
    </row>
    <row r="72" spans="1:17">
      <c r="A72" s="65"/>
      <c r="B72" s="165" t="s">
        <v>145</v>
      </c>
      <c r="C72" s="202" t="s">
        <v>146</v>
      </c>
      <c r="D72" s="346">
        <v>5</v>
      </c>
      <c r="E72" s="346">
        <v>5</v>
      </c>
      <c r="F72" s="346">
        <v>5</v>
      </c>
      <c r="G72" s="346">
        <v>5</v>
      </c>
      <c r="H72" s="327"/>
      <c r="I72" s="77"/>
      <c r="J72" s="119"/>
      <c r="K72" s="244"/>
      <c r="L72" s="65"/>
      <c r="M72" s="65"/>
      <c r="N72" s="65"/>
      <c r="O72" s="65"/>
      <c r="P72" s="65"/>
      <c r="Q72" s="65"/>
    </row>
    <row r="73" spans="1:17" ht="14.4" thickBot="1">
      <c r="A73" s="65"/>
      <c r="B73" s="78" t="s">
        <v>304</v>
      </c>
      <c r="C73" s="95" t="s">
        <v>236</v>
      </c>
      <c r="D73" s="337">
        <v>6</v>
      </c>
      <c r="E73" s="337">
        <v>6</v>
      </c>
      <c r="F73" s="337">
        <v>6</v>
      </c>
      <c r="G73" s="337">
        <v>6</v>
      </c>
      <c r="H73" s="337"/>
      <c r="I73" s="72"/>
      <c r="J73" s="111"/>
      <c r="K73" s="244"/>
      <c r="L73" s="65"/>
      <c r="M73" s="65"/>
      <c r="N73" s="65"/>
      <c r="O73" s="65"/>
      <c r="P73" s="65"/>
      <c r="Q73" s="65"/>
    </row>
    <row r="74" spans="1:17">
      <c r="A74" s="65"/>
      <c r="B74" s="65"/>
      <c r="C74" s="65"/>
      <c r="D74" s="192"/>
      <c r="E74" s="192"/>
      <c r="F74" s="192"/>
      <c r="G74" s="192"/>
      <c r="H74" s="192"/>
      <c r="I74" s="65"/>
      <c r="J74" s="65"/>
      <c r="K74" s="244"/>
      <c r="L74" s="65"/>
      <c r="M74" s="65"/>
      <c r="N74" s="65"/>
      <c r="O74" s="65"/>
      <c r="P74" s="65"/>
      <c r="Q74" s="65"/>
    </row>
    <row r="75" spans="1:17" ht="16.2" thickBot="1">
      <c r="A75" s="65"/>
      <c r="B75" s="89" t="s">
        <v>125</v>
      </c>
      <c r="C75" s="65"/>
      <c r="D75" s="65"/>
      <c r="E75" s="65"/>
      <c r="F75" s="65"/>
      <c r="G75" s="65"/>
      <c r="I75" s="65"/>
      <c r="J75" s="65"/>
      <c r="K75" s="244"/>
      <c r="L75" s="65"/>
      <c r="M75" s="65"/>
      <c r="N75" s="65"/>
      <c r="O75" s="65"/>
      <c r="P75" s="65"/>
      <c r="Q75" s="65"/>
    </row>
    <row r="76" spans="1:17">
      <c r="A76" s="65"/>
      <c r="B76" s="88" t="s">
        <v>149</v>
      </c>
      <c r="C76" s="85"/>
      <c r="D76" s="182">
        <f>D67/D71</f>
        <v>11.2</v>
      </c>
      <c r="E76" s="182">
        <f>E67/E71</f>
        <v>10.23076923076923</v>
      </c>
      <c r="F76" s="182">
        <f>F67/F71</f>
        <v>8.7266666666666666</v>
      </c>
      <c r="G76" s="182">
        <f>G67/G71</f>
        <v>7.617647058823529</v>
      </c>
      <c r="H76" s="182"/>
      <c r="I76" s="182" t="s">
        <v>643</v>
      </c>
      <c r="J76" s="83"/>
      <c r="K76" s="244"/>
      <c r="L76" s="65"/>
      <c r="M76" s="65"/>
      <c r="N76" s="65"/>
      <c r="O76" s="65"/>
      <c r="P76" s="65"/>
      <c r="Q76" s="65"/>
    </row>
    <row r="77" spans="1:17">
      <c r="A77" s="65"/>
      <c r="B77" s="78"/>
      <c r="C77" s="77"/>
      <c r="D77" s="245"/>
      <c r="E77" s="245"/>
      <c r="F77" s="245"/>
      <c r="G77" s="245"/>
      <c r="H77" s="245"/>
      <c r="I77" s="77"/>
      <c r="J77" s="74"/>
      <c r="K77" s="244"/>
      <c r="L77" s="65"/>
      <c r="M77" s="65"/>
      <c r="N77" s="65"/>
      <c r="O77" s="65"/>
      <c r="P77" s="65"/>
      <c r="Q77" s="65"/>
    </row>
    <row r="78" spans="1:17">
      <c r="A78" s="65"/>
      <c r="B78" s="78" t="s">
        <v>20</v>
      </c>
      <c r="C78" s="77" t="s">
        <v>27</v>
      </c>
      <c r="D78" s="326"/>
      <c r="E78" s="326"/>
      <c r="F78" s="326"/>
      <c r="G78" s="326"/>
      <c r="H78" s="326"/>
      <c r="I78" s="77"/>
      <c r="J78" s="74"/>
      <c r="K78" s="244"/>
      <c r="L78" s="65"/>
      <c r="M78" s="65"/>
      <c r="N78" s="65"/>
      <c r="O78" s="65"/>
      <c r="P78" s="65"/>
      <c r="Q78" s="65"/>
    </row>
    <row r="79" spans="1:17">
      <c r="A79" s="65"/>
      <c r="B79" s="78" t="s">
        <v>21</v>
      </c>
      <c r="C79" s="77" t="s">
        <v>27</v>
      </c>
      <c r="D79" s="326">
        <f t="shared" ref="D79:G83" si="2">D89/1000*D$76</f>
        <v>4.0871098024359391E-3</v>
      </c>
      <c r="E79" s="326">
        <f t="shared" si="2"/>
        <v>1.397272801961673E-3</v>
      </c>
      <c r="F79" s="326">
        <f t="shared" si="2"/>
        <v>1.191849186515378E-3</v>
      </c>
      <c r="G79" s="326">
        <f t="shared" si="2"/>
        <v>1.0403842379931344E-3</v>
      </c>
      <c r="H79" s="326"/>
      <c r="I79" s="77"/>
      <c r="J79" s="74"/>
      <c r="K79" s="244"/>
      <c r="L79" s="65"/>
      <c r="M79" s="65"/>
      <c r="N79" s="65"/>
      <c r="O79" s="65"/>
      <c r="P79" s="65"/>
      <c r="Q79" s="65"/>
    </row>
    <row r="80" spans="1:17">
      <c r="A80" s="65"/>
      <c r="B80" s="78" t="s">
        <v>22</v>
      </c>
      <c r="C80" s="77" t="s">
        <v>27</v>
      </c>
      <c r="D80" s="326">
        <f t="shared" si="2"/>
        <v>3.2291197477655992E-2</v>
      </c>
      <c r="E80" s="326">
        <f t="shared" si="2"/>
        <v>3.904925368290077E-2</v>
      </c>
      <c r="F80" s="326">
        <f t="shared" si="2"/>
        <v>3.330832831688834E-2</v>
      </c>
      <c r="G80" s="326">
        <f t="shared" si="2"/>
        <v>2.907537309825893E-2</v>
      </c>
      <c r="H80" s="326"/>
      <c r="I80" s="77"/>
      <c r="J80" s="74"/>
      <c r="K80" s="244"/>
      <c r="L80" s="65"/>
      <c r="M80" s="65"/>
      <c r="N80" s="65"/>
      <c r="O80" s="65"/>
      <c r="P80" s="65"/>
      <c r="Q80" s="65"/>
    </row>
    <row r="81" spans="1:17">
      <c r="A81" s="65"/>
      <c r="B81" s="78" t="s">
        <v>23</v>
      </c>
      <c r="C81" s="77" t="s">
        <v>27</v>
      </c>
      <c r="D81" s="326">
        <f t="shared" si="2"/>
        <v>5.2457896986576255E-3</v>
      </c>
      <c r="E81" s="326">
        <f t="shared" si="2"/>
        <v>4.7918271285814842E-3</v>
      </c>
      <c r="F81" s="326">
        <f t="shared" si="2"/>
        <v>4.0873444735374E-3</v>
      </c>
      <c r="G81" s="326">
        <f t="shared" si="2"/>
        <v>3.5679084347487525E-3</v>
      </c>
      <c r="H81" s="326"/>
      <c r="I81" s="77"/>
      <c r="J81" s="119"/>
      <c r="K81" s="269"/>
      <c r="L81" s="65"/>
      <c r="M81" s="65"/>
      <c r="N81" s="65"/>
      <c r="O81" s="65"/>
      <c r="P81" s="65"/>
      <c r="Q81" s="65"/>
    </row>
    <row r="82" spans="1:17">
      <c r="A82" s="65"/>
      <c r="B82" s="165" t="s">
        <v>37</v>
      </c>
      <c r="C82" s="77" t="s">
        <v>27</v>
      </c>
      <c r="D82" s="326">
        <f t="shared" si="2"/>
        <v>4.7175231369401507</v>
      </c>
      <c r="E82" s="326">
        <f t="shared" si="2"/>
        <v>0.43903901928451222</v>
      </c>
      <c r="F82" s="326">
        <f t="shared" si="2"/>
        <v>0.37449258101075417</v>
      </c>
      <c r="G82" s="326">
        <f t="shared" si="2"/>
        <v>0.32690057008645573</v>
      </c>
      <c r="H82" s="326"/>
      <c r="I82" s="77"/>
      <c r="J82" s="119"/>
      <c r="K82" s="244"/>
      <c r="L82" s="65"/>
      <c r="M82" s="65"/>
      <c r="N82" s="65"/>
      <c r="O82" s="65"/>
      <c r="P82" s="65"/>
      <c r="Q82" s="65"/>
    </row>
    <row r="83" spans="1:17">
      <c r="A83" s="65"/>
      <c r="B83" s="78" t="s">
        <v>24</v>
      </c>
      <c r="C83" s="77" t="s">
        <v>27</v>
      </c>
      <c r="D83" s="326">
        <f t="shared" si="2"/>
        <v>3.6813257795120805E-2</v>
      </c>
      <c r="E83" s="326">
        <f t="shared" si="2"/>
        <v>5.0292754217609375E-3</v>
      </c>
      <c r="F83" s="326">
        <f t="shared" si="2"/>
        <v>4.2898837018599438E-3</v>
      </c>
      <c r="G83" s="326">
        <f t="shared" si="2"/>
        <v>3.7447081700727725E-3</v>
      </c>
      <c r="H83" s="326"/>
      <c r="I83" s="77"/>
      <c r="J83" s="119"/>
      <c r="K83" s="269"/>
      <c r="L83" s="65"/>
      <c r="M83" s="65"/>
      <c r="N83" s="65"/>
      <c r="O83" s="65"/>
      <c r="P83" s="65"/>
      <c r="Q83" s="65"/>
    </row>
    <row r="84" spans="1:17" ht="14.4" thickBot="1">
      <c r="A84" s="65"/>
      <c r="B84" s="73"/>
      <c r="C84" s="72"/>
      <c r="D84" s="242"/>
      <c r="E84" s="242"/>
      <c r="F84" s="242"/>
      <c r="G84" s="242"/>
      <c r="H84" s="242"/>
      <c r="I84" s="72"/>
      <c r="J84" s="90"/>
      <c r="K84" s="65"/>
      <c r="L84" s="65"/>
      <c r="M84" s="65"/>
      <c r="N84" s="65"/>
      <c r="O84" s="65"/>
      <c r="P84" s="65"/>
      <c r="Q84" s="65"/>
    </row>
    <row r="85" spans="1:17">
      <c r="A85" s="65"/>
      <c r="B85" s="65"/>
      <c r="C85" s="65"/>
      <c r="D85" s="65"/>
      <c r="E85" s="65"/>
      <c r="F85" s="65"/>
      <c r="G85" s="65"/>
      <c r="I85" s="65"/>
      <c r="J85" s="65"/>
      <c r="K85" s="65"/>
      <c r="L85" s="65"/>
      <c r="M85" s="65"/>
      <c r="N85" s="65"/>
      <c r="O85" s="65"/>
      <c r="P85" s="65"/>
      <c r="Q85" s="65"/>
    </row>
    <row r="86" spans="1:17" ht="14.4" thickBot="1">
      <c r="A86" s="65"/>
      <c r="B86" s="154" t="s">
        <v>171</v>
      </c>
      <c r="C86" s="65"/>
      <c r="D86" s="65"/>
      <c r="E86" s="65"/>
      <c r="F86" s="65"/>
      <c r="G86" s="65"/>
      <c r="I86" s="65"/>
      <c r="J86" s="65"/>
      <c r="K86" s="65"/>
      <c r="L86" s="65"/>
      <c r="M86" s="65"/>
      <c r="N86" s="65"/>
      <c r="O86" s="65"/>
      <c r="P86" s="65"/>
      <c r="Q86" s="65"/>
    </row>
    <row r="87" spans="1:17">
      <c r="A87" s="65"/>
      <c r="B87" s="88"/>
      <c r="C87" s="85"/>
      <c r="D87" s="241">
        <v>2015</v>
      </c>
      <c r="E87" s="241">
        <v>2020</v>
      </c>
      <c r="F87" s="241">
        <v>2035</v>
      </c>
      <c r="G87" s="241"/>
      <c r="H87" s="241"/>
      <c r="I87" s="65"/>
      <c r="J87" s="65"/>
      <c r="K87" s="65"/>
      <c r="L87" s="65"/>
      <c r="M87" s="65"/>
      <c r="N87" s="65"/>
      <c r="O87" s="65"/>
      <c r="P87" s="65"/>
      <c r="Q87" s="65"/>
    </row>
    <row r="88" spans="1:17">
      <c r="A88" s="65"/>
      <c r="B88" s="240" t="s">
        <v>20</v>
      </c>
      <c r="C88" s="135" t="s">
        <v>172</v>
      </c>
      <c r="D88" s="238"/>
      <c r="E88" s="238"/>
      <c r="F88" s="238"/>
      <c r="G88" s="238"/>
      <c r="H88" s="238"/>
      <c r="I88" s="65"/>
      <c r="J88" s="65"/>
      <c r="K88" s="65"/>
      <c r="L88" s="65"/>
      <c r="M88" s="65"/>
      <c r="N88" s="65"/>
      <c r="O88" s="65"/>
      <c r="P88" s="65"/>
      <c r="Q88" s="65"/>
    </row>
    <row r="89" spans="1:17">
      <c r="A89" s="65"/>
      <c r="B89" s="240" t="s">
        <v>21</v>
      </c>
      <c r="C89" s="77" t="s">
        <v>172</v>
      </c>
      <c r="D89" s="239">
        <f>'EU Bus'!D106</f>
        <v>0.36492051807463749</v>
      </c>
      <c r="E89" s="239">
        <f>'EU Bus'!E106</f>
        <v>0.13657553703384775</v>
      </c>
      <c r="F89" s="239">
        <f>'EU Bus'!F106</f>
        <v>0.13657553703384775</v>
      </c>
      <c r="G89" s="239">
        <f>F89</f>
        <v>0.13657553703384775</v>
      </c>
      <c r="H89" s="239"/>
      <c r="I89" s="65"/>
      <c r="J89" s="65"/>
      <c r="K89" s="65"/>
      <c r="L89" s="65"/>
      <c r="M89" s="65"/>
      <c r="N89" s="65"/>
      <c r="O89" s="65"/>
      <c r="P89" s="65"/>
      <c r="Q89" s="65"/>
    </row>
    <row r="90" spans="1:17">
      <c r="A90" s="65"/>
      <c r="B90" s="240" t="s">
        <v>22</v>
      </c>
      <c r="C90" s="77" t="s">
        <v>172</v>
      </c>
      <c r="D90" s="239">
        <f>'EU Bus'!D107</f>
        <v>2.8831426319335707</v>
      </c>
      <c r="E90" s="239">
        <f>'EU Bus'!E107</f>
        <v>3.8168443449451881</v>
      </c>
      <c r="F90" s="239">
        <f>'EU Bus'!F107</f>
        <v>3.8168443449451881</v>
      </c>
      <c r="G90" s="239">
        <f>F90</f>
        <v>3.8168443449451881</v>
      </c>
      <c r="H90" s="239"/>
      <c r="I90" s="65"/>
      <c r="J90" s="65"/>
      <c r="K90" s="65"/>
      <c r="L90" s="65"/>
      <c r="M90" s="65"/>
      <c r="N90" s="65"/>
      <c r="O90" s="65"/>
      <c r="P90" s="65"/>
      <c r="Q90" s="65"/>
    </row>
    <row r="91" spans="1:17">
      <c r="A91" s="65"/>
      <c r="B91" s="240" t="s">
        <v>23</v>
      </c>
      <c r="C91" s="77" t="s">
        <v>172</v>
      </c>
      <c r="D91" s="239">
        <f>'EU Bus'!D108</f>
        <v>0.46837408023728805</v>
      </c>
      <c r="E91" s="239">
        <f>'EU Bus'!E108</f>
        <v>0.46837408023728799</v>
      </c>
      <c r="F91" s="239">
        <f>'EU Bus'!F108</f>
        <v>0.46837408023728799</v>
      </c>
      <c r="G91" s="239">
        <f>F91</f>
        <v>0.46837408023728799</v>
      </c>
      <c r="H91" s="239"/>
      <c r="I91" s="65"/>
      <c r="J91" s="65"/>
      <c r="K91" s="65"/>
      <c r="L91" s="65"/>
      <c r="M91" s="65"/>
      <c r="N91" s="65"/>
      <c r="O91" s="65"/>
      <c r="P91" s="65"/>
      <c r="Q91" s="65"/>
    </row>
    <row r="92" spans="1:17">
      <c r="A92" s="65"/>
      <c r="B92" s="133" t="s">
        <v>37</v>
      </c>
      <c r="C92" s="77" t="s">
        <v>172</v>
      </c>
      <c r="D92" s="238">
        <f>'EU Bus'!D109</f>
        <v>421.20742294108487</v>
      </c>
      <c r="E92" s="238">
        <f>'EU Bus'!E109</f>
        <v>42.913588351117738</v>
      </c>
      <c r="F92" s="238">
        <f>'EU Bus'!F109</f>
        <v>42.913588351117738</v>
      </c>
      <c r="G92" s="238">
        <f>F92</f>
        <v>42.913588351117738</v>
      </c>
      <c r="H92" s="238"/>
      <c r="I92" s="65"/>
      <c r="J92" s="65"/>
      <c r="K92" s="65"/>
      <c r="L92" s="65"/>
      <c r="M92" s="65"/>
      <c r="N92" s="65"/>
      <c r="O92" s="65"/>
      <c r="P92" s="65"/>
      <c r="Q92" s="65"/>
    </row>
    <row r="93" spans="1:17" ht="14.4" thickBot="1">
      <c r="A93" s="65"/>
      <c r="B93" s="237" t="s">
        <v>24</v>
      </c>
      <c r="C93" s="72" t="s">
        <v>172</v>
      </c>
      <c r="D93" s="236">
        <f>'EU Bus'!D110</f>
        <v>3.2868980174215006</v>
      </c>
      <c r="E93" s="236">
        <f>'EU Bus'!E110</f>
        <v>0.49158331190144505</v>
      </c>
      <c r="F93" s="236">
        <f>'EU Bus'!F110</f>
        <v>0.49158331190144505</v>
      </c>
      <c r="G93" s="236">
        <f>F93</f>
        <v>0.49158331190144505</v>
      </c>
      <c r="H93" s="236"/>
      <c r="I93" s="65"/>
      <c r="J93" s="65"/>
      <c r="K93" s="65"/>
      <c r="L93" s="65"/>
      <c r="M93" s="65"/>
      <c r="N93" s="65"/>
      <c r="O93" s="65"/>
      <c r="P93" s="65"/>
      <c r="Q93" s="65"/>
    </row>
    <row r="94" spans="1:17">
      <c r="A94" s="65"/>
      <c r="B94" s="65"/>
      <c r="C94" s="65"/>
      <c r="D94" s="65"/>
      <c r="E94" s="65"/>
      <c r="F94" s="65"/>
      <c r="G94" s="65"/>
      <c r="I94" s="65"/>
      <c r="J94" s="65"/>
      <c r="K94" s="65"/>
      <c r="L94" s="65"/>
      <c r="M94" s="65"/>
      <c r="N94" s="65"/>
      <c r="O94" s="65"/>
      <c r="P94" s="65"/>
      <c r="Q94" s="65"/>
    </row>
    <row r="95" spans="1:17">
      <c r="A95" s="65"/>
      <c r="B95" s="65"/>
      <c r="C95" s="65"/>
      <c r="D95" s="65"/>
      <c r="E95" s="65"/>
      <c r="F95" s="65"/>
      <c r="G95" s="65"/>
      <c r="I95" s="65"/>
      <c r="J95" s="65"/>
      <c r="K95" s="65"/>
      <c r="L95" s="65"/>
      <c r="M95" s="65"/>
      <c r="N95" s="65"/>
      <c r="O95" s="65"/>
      <c r="P95" s="65"/>
      <c r="Q95" s="65"/>
    </row>
    <row r="96" spans="1:17">
      <c r="A96" s="65"/>
      <c r="B96" s="65"/>
      <c r="C96" s="65"/>
      <c r="D96" s="65"/>
      <c r="E96" s="65"/>
      <c r="F96" s="65"/>
      <c r="G96" s="65"/>
      <c r="H96" s="68"/>
      <c r="I96" s="65"/>
      <c r="J96" s="65"/>
      <c r="K96" s="65"/>
      <c r="L96" s="65"/>
      <c r="M96" s="65"/>
      <c r="N96" s="65"/>
      <c r="O96" s="65"/>
      <c r="P96" s="65"/>
      <c r="Q96" s="65"/>
    </row>
    <row r="97" spans="1:17">
      <c r="A97" s="65"/>
      <c r="B97" s="65"/>
      <c r="C97" s="65"/>
      <c r="D97" s="65"/>
      <c r="E97" s="65"/>
      <c r="F97" s="65"/>
      <c r="G97" s="65"/>
      <c r="H97" s="68"/>
      <c r="I97" s="65"/>
      <c r="J97" s="65"/>
      <c r="K97" s="65"/>
      <c r="L97" s="65"/>
      <c r="M97" s="65"/>
      <c r="N97" s="65"/>
      <c r="O97" s="65"/>
      <c r="P97" s="65"/>
      <c r="Q97" s="65"/>
    </row>
    <row r="98" spans="1:17">
      <c r="A98" s="65"/>
      <c r="B98" s="65"/>
      <c r="C98" s="65"/>
      <c r="D98" s="65"/>
      <c r="E98" s="65"/>
      <c r="F98" s="65"/>
      <c r="G98" s="65"/>
      <c r="H98" s="68"/>
      <c r="I98" s="65"/>
      <c r="J98" s="65"/>
      <c r="K98" s="65"/>
      <c r="L98" s="65"/>
      <c r="M98" s="65"/>
      <c r="N98" s="65"/>
      <c r="O98" s="65"/>
      <c r="P98" s="65"/>
      <c r="Q98" s="65"/>
    </row>
    <row r="99" spans="1:17">
      <c r="A99" s="65"/>
      <c r="B99" s="65"/>
      <c r="C99" s="65"/>
      <c r="D99" s="65"/>
      <c r="E99" s="65"/>
      <c r="F99" s="65"/>
      <c r="G99" s="65"/>
      <c r="H99" s="68"/>
      <c r="I99" s="65"/>
      <c r="J99" s="65"/>
      <c r="K99" s="65"/>
      <c r="L99" s="65"/>
      <c r="M99" s="65"/>
      <c r="N99" s="65"/>
      <c r="O99" s="65"/>
      <c r="P99" s="65"/>
      <c r="Q99" s="65"/>
    </row>
    <row r="100" spans="1:17">
      <c r="A100" s="65"/>
      <c r="B100" s="65"/>
      <c r="C100" s="65"/>
      <c r="D100" s="65"/>
      <c r="E100" s="65"/>
      <c r="F100" s="65"/>
      <c r="G100" s="65"/>
      <c r="H100" s="68"/>
      <c r="I100" s="65"/>
      <c r="J100" s="65"/>
      <c r="K100" s="65"/>
      <c r="L100" s="65"/>
      <c r="M100" s="65"/>
      <c r="N100" s="65"/>
      <c r="O100" s="65"/>
      <c r="P100" s="65"/>
      <c r="Q100" s="65"/>
    </row>
    <row r="101" spans="1:17">
      <c r="A101" s="65"/>
      <c r="B101" s="65"/>
      <c r="C101" s="65"/>
      <c r="D101" s="65"/>
      <c r="E101" s="65"/>
      <c r="F101" s="65"/>
      <c r="G101" s="65"/>
      <c r="I101" s="65"/>
      <c r="J101" s="65"/>
      <c r="K101" s="65"/>
      <c r="L101" s="65"/>
      <c r="M101" s="65"/>
      <c r="N101" s="65"/>
      <c r="O101" s="65"/>
      <c r="P101" s="65"/>
      <c r="Q101" s="65"/>
    </row>
    <row r="102" spans="1:17">
      <c r="A102" s="65"/>
      <c r="B102" s="65"/>
      <c r="C102" s="65"/>
      <c r="D102" s="65"/>
      <c r="E102" s="65"/>
      <c r="F102" s="65"/>
      <c r="G102" s="65"/>
      <c r="I102" s="65"/>
      <c r="J102" s="65"/>
      <c r="K102" s="65"/>
      <c r="L102" s="65"/>
      <c r="M102" s="65"/>
      <c r="N102" s="65"/>
      <c r="O102" s="65"/>
      <c r="P102" s="65"/>
      <c r="Q102" s="65"/>
    </row>
    <row r="103" spans="1:17">
      <c r="A103" s="65"/>
      <c r="B103" s="65"/>
      <c r="C103" s="65"/>
      <c r="D103" s="65"/>
      <c r="E103" s="65"/>
      <c r="F103" s="65"/>
      <c r="G103" s="65"/>
      <c r="I103" s="65"/>
      <c r="J103" s="65"/>
      <c r="K103" s="65"/>
      <c r="L103" s="65"/>
      <c r="M103" s="65"/>
      <c r="N103" s="65"/>
      <c r="O103" s="65"/>
      <c r="P103" s="65"/>
      <c r="Q103" s="65"/>
    </row>
    <row r="104" spans="1:17">
      <c r="A104" s="65"/>
      <c r="B104" s="65"/>
      <c r="C104" s="65"/>
      <c r="D104" s="65"/>
      <c r="E104" s="65"/>
      <c r="F104" s="65"/>
      <c r="G104" s="65"/>
      <c r="I104" s="65"/>
      <c r="J104" s="65"/>
      <c r="K104" s="65"/>
      <c r="L104" s="65"/>
      <c r="M104" s="65"/>
      <c r="N104" s="65"/>
      <c r="O104" s="65"/>
      <c r="P104" s="65"/>
      <c r="Q104" s="65"/>
    </row>
    <row r="105" spans="1:17">
      <c r="A105" s="65"/>
      <c r="B105" s="65"/>
      <c r="C105" s="65"/>
      <c r="D105" s="65"/>
      <c r="E105" s="65"/>
      <c r="F105" s="65"/>
      <c r="G105" s="65"/>
      <c r="I105" s="65"/>
      <c r="J105" s="65"/>
      <c r="K105" s="65"/>
      <c r="L105" s="65"/>
      <c r="M105" s="65"/>
      <c r="N105" s="65"/>
      <c r="O105" s="65"/>
      <c r="P105" s="65"/>
      <c r="Q105" s="65"/>
    </row>
    <row r="106" spans="1:17">
      <c r="A106" s="65"/>
      <c r="B106" s="65"/>
      <c r="C106" s="65"/>
      <c r="D106" s="65"/>
      <c r="E106" s="65"/>
      <c r="F106" s="65"/>
      <c r="G106" s="65"/>
      <c r="I106" s="65"/>
      <c r="J106" s="65"/>
      <c r="K106" s="65"/>
      <c r="L106" s="65"/>
      <c r="M106" s="65"/>
      <c r="N106" s="65"/>
      <c r="O106" s="65"/>
      <c r="P106" s="65"/>
      <c r="Q106" s="65"/>
    </row>
    <row r="107" spans="1:17">
      <c r="A107" s="65"/>
      <c r="B107" s="65"/>
      <c r="C107" s="65"/>
      <c r="D107" s="65"/>
      <c r="E107" s="65"/>
      <c r="F107" s="65"/>
      <c r="G107" s="65"/>
      <c r="I107" s="65"/>
      <c r="J107" s="65"/>
      <c r="K107" s="65"/>
      <c r="L107" s="65"/>
      <c r="M107" s="65"/>
      <c r="N107" s="65"/>
      <c r="O107" s="65"/>
      <c r="P107" s="65"/>
      <c r="Q107" s="65"/>
    </row>
    <row r="108" spans="1:17">
      <c r="A108" s="65"/>
      <c r="B108" s="65"/>
      <c r="C108" s="65"/>
      <c r="D108" s="65"/>
      <c r="E108" s="65"/>
      <c r="F108" s="65"/>
      <c r="G108" s="65"/>
      <c r="I108" s="65"/>
      <c r="J108" s="65"/>
      <c r="K108" s="65"/>
      <c r="L108" s="65"/>
      <c r="M108" s="65"/>
      <c r="N108" s="65"/>
      <c r="O108" s="65"/>
      <c r="P108" s="65"/>
      <c r="Q108" s="65"/>
    </row>
    <row r="109" spans="1:17">
      <c r="A109" s="65"/>
      <c r="B109" s="65"/>
      <c r="C109" s="65"/>
      <c r="D109" s="65"/>
      <c r="E109" s="65"/>
      <c r="F109" s="65"/>
      <c r="G109" s="65"/>
      <c r="I109" s="65"/>
      <c r="J109" s="65"/>
      <c r="K109" s="65"/>
      <c r="L109" s="65"/>
      <c r="M109" s="65"/>
      <c r="N109" s="65"/>
      <c r="O109" s="65"/>
      <c r="P109" s="65"/>
      <c r="Q109" s="65"/>
    </row>
    <row r="110" spans="1:17">
      <c r="A110" s="65"/>
      <c r="B110" s="65"/>
      <c r="C110" s="65"/>
      <c r="D110" s="65"/>
      <c r="E110" s="65"/>
      <c r="F110" s="65"/>
      <c r="G110" s="65"/>
      <c r="I110" s="65"/>
      <c r="J110" s="65"/>
      <c r="K110" s="65"/>
      <c r="L110" s="65"/>
      <c r="M110" s="65"/>
      <c r="N110" s="65"/>
      <c r="O110" s="65"/>
      <c r="P110" s="65"/>
      <c r="Q110" s="65"/>
    </row>
    <row r="111" spans="1:17">
      <c r="A111" s="65"/>
      <c r="B111" s="65"/>
      <c r="C111" s="65"/>
      <c r="D111" s="65"/>
      <c r="E111" s="65"/>
      <c r="F111" s="65"/>
      <c r="G111" s="65"/>
      <c r="I111" s="65"/>
      <c r="J111" s="65"/>
      <c r="K111" s="65"/>
      <c r="L111" s="65"/>
      <c r="M111" s="65"/>
      <c r="N111" s="65"/>
      <c r="O111" s="65"/>
      <c r="P111" s="65"/>
      <c r="Q111" s="65"/>
    </row>
    <row r="112" spans="1:17">
      <c r="A112" s="65"/>
      <c r="B112" s="65"/>
      <c r="C112" s="65"/>
      <c r="D112" s="65"/>
      <c r="E112" s="65"/>
      <c r="F112" s="65"/>
      <c r="G112" s="65"/>
      <c r="I112" s="65"/>
      <c r="J112" s="65"/>
      <c r="K112" s="65"/>
      <c r="L112" s="65"/>
      <c r="M112" s="65"/>
      <c r="N112" s="65"/>
      <c r="O112" s="65"/>
      <c r="P112" s="65"/>
      <c r="Q112" s="65"/>
    </row>
    <row r="113" spans="1:17">
      <c r="A113" s="65"/>
      <c r="B113" s="65"/>
      <c r="C113" s="65"/>
      <c r="D113" s="65"/>
      <c r="E113" s="65"/>
      <c r="F113" s="65"/>
      <c r="G113" s="65"/>
      <c r="I113" s="65"/>
      <c r="J113" s="65"/>
      <c r="K113" s="65"/>
      <c r="L113" s="65"/>
      <c r="M113" s="65"/>
      <c r="N113" s="65"/>
      <c r="O113" s="65"/>
      <c r="P113" s="65"/>
      <c r="Q113" s="65"/>
    </row>
    <row r="114" spans="1:17">
      <c r="A114" s="65"/>
      <c r="B114" s="65"/>
      <c r="C114" s="65"/>
      <c r="D114" s="65"/>
      <c r="E114" s="65"/>
      <c r="F114" s="65"/>
      <c r="G114" s="65"/>
      <c r="I114" s="65"/>
      <c r="J114" s="65"/>
      <c r="K114" s="65"/>
      <c r="L114" s="65"/>
      <c r="M114" s="65"/>
      <c r="N114" s="65"/>
      <c r="O114" s="65"/>
      <c r="P114" s="65"/>
      <c r="Q114" s="65"/>
    </row>
    <row r="115" spans="1:17">
      <c r="A115" s="65"/>
      <c r="B115" s="65"/>
      <c r="C115" s="65"/>
      <c r="D115" s="65"/>
      <c r="E115" s="65"/>
      <c r="F115" s="65"/>
      <c r="G115" s="65"/>
      <c r="I115" s="65"/>
      <c r="J115" s="65"/>
      <c r="K115" s="65"/>
      <c r="L115" s="65"/>
      <c r="M115" s="65"/>
      <c r="N115" s="65"/>
      <c r="O115" s="65"/>
      <c r="P115" s="65"/>
      <c r="Q115" s="65"/>
    </row>
    <row r="116" spans="1:17">
      <c r="A116" s="65"/>
      <c r="B116" s="65"/>
      <c r="C116" s="65"/>
      <c r="D116" s="65"/>
      <c r="E116" s="65"/>
      <c r="F116" s="65"/>
      <c r="G116" s="65"/>
      <c r="I116" s="65"/>
      <c r="J116" s="65"/>
      <c r="K116" s="65"/>
      <c r="L116" s="65"/>
      <c r="M116" s="65"/>
      <c r="N116" s="65"/>
      <c r="O116" s="65"/>
      <c r="P116" s="65"/>
      <c r="Q116" s="65"/>
    </row>
    <row r="117" spans="1:17">
      <c r="A117" s="65"/>
      <c r="B117" s="65"/>
      <c r="C117" s="65"/>
      <c r="D117" s="65"/>
      <c r="E117" s="65"/>
      <c r="F117" s="65"/>
      <c r="G117" s="65"/>
      <c r="I117" s="65"/>
      <c r="J117" s="65"/>
      <c r="K117" s="65"/>
      <c r="L117" s="65"/>
      <c r="M117" s="65"/>
      <c r="N117" s="65"/>
      <c r="O117" s="65"/>
      <c r="P117" s="65"/>
      <c r="Q117" s="65"/>
    </row>
    <row r="118" spans="1:17">
      <c r="A118" s="65"/>
      <c r="B118" s="65"/>
      <c r="C118" s="65"/>
      <c r="D118" s="65"/>
      <c r="E118" s="65"/>
      <c r="F118" s="65"/>
      <c r="G118" s="65"/>
      <c r="I118" s="65"/>
      <c r="J118" s="65"/>
      <c r="K118" s="65"/>
      <c r="L118" s="65"/>
      <c r="M118" s="65"/>
      <c r="N118" s="65"/>
      <c r="O118" s="65"/>
      <c r="P118" s="65"/>
      <c r="Q118" s="65"/>
    </row>
    <row r="119" spans="1:17">
      <c r="A119" s="65"/>
      <c r="B119" s="65"/>
      <c r="C119" s="65"/>
      <c r="D119" s="65"/>
      <c r="E119" s="65"/>
      <c r="F119" s="65"/>
      <c r="G119" s="65"/>
      <c r="I119" s="65"/>
      <c r="J119" s="65"/>
      <c r="K119" s="65"/>
      <c r="L119" s="65"/>
      <c r="M119" s="65"/>
      <c r="N119" s="65"/>
      <c r="O119" s="65"/>
      <c r="P119" s="65"/>
      <c r="Q119" s="65"/>
    </row>
    <row r="120" spans="1:17">
      <c r="A120" s="65"/>
      <c r="B120" s="65"/>
      <c r="C120" s="65"/>
      <c r="D120" s="65"/>
      <c r="E120" s="65"/>
      <c r="F120" s="65"/>
      <c r="G120" s="65"/>
      <c r="I120" s="65"/>
      <c r="J120" s="65"/>
      <c r="K120" s="65"/>
      <c r="L120" s="65"/>
      <c r="M120" s="65"/>
      <c r="N120" s="65"/>
      <c r="O120" s="65"/>
      <c r="P120" s="65"/>
      <c r="Q120" s="65"/>
    </row>
    <row r="121" spans="1:17">
      <c r="A121" s="65"/>
      <c r="B121" s="65"/>
      <c r="C121" s="65"/>
      <c r="D121" s="65"/>
      <c r="E121" s="65"/>
      <c r="F121" s="65"/>
      <c r="G121" s="65"/>
      <c r="I121" s="65"/>
      <c r="J121" s="65"/>
      <c r="K121" s="65"/>
      <c r="L121" s="65"/>
      <c r="M121" s="65"/>
      <c r="N121" s="65"/>
      <c r="O121" s="65"/>
      <c r="P121" s="65"/>
      <c r="Q121" s="65"/>
    </row>
    <row r="122" spans="1:17">
      <c r="A122" s="65"/>
      <c r="B122" s="65"/>
      <c r="C122" s="65"/>
      <c r="D122" s="65"/>
      <c r="E122" s="65"/>
      <c r="F122" s="65"/>
      <c r="G122" s="65"/>
      <c r="I122" s="65"/>
      <c r="J122" s="65"/>
      <c r="K122" s="65"/>
      <c r="L122" s="65"/>
      <c r="M122" s="65"/>
      <c r="N122" s="65"/>
      <c r="O122" s="65"/>
      <c r="P122" s="65"/>
      <c r="Q122" s="65"/>
    </row>
    <row r="123" spans="1:17">
      <c r="B123" s="65"/>
      <c r="C123" s="65"/>
      <c r="D123" s="65"/>
      <c r="E123"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AA73"/>
  <sheetViews>
    <sheetView topLeftCell="E1" zoomScale="70" zoomScaleNormal="70" workbookViewId="0">
      <selection activeCell="H51" sqref="H51"/>
    </sheetView>
  </sheetViews>
  <sheetFormatPr defaultColWidth="8.88671875" defaultRowHeight="13.2"/>
  <cols>
    <col min="1" max="1" width="8.88671875" style="485"/>
    <col min="2" max="2" width="13.33203125" style="485" bestFit="1" customWidth="1"/>
    <col min="3" max="3" width="17.5546875" style="485" bestFit="1" customWidth="1"/>
    <col min="4" max="4" width="63.33203125" style="485" bestFit="1" customWidth="1"/>
    <col min="5" max="5" width="10.6640625" style="485" bestFit="1" customWidth="1"/>
    <col min="6" max="6" width="10.88671875" style="485" customWidth="1"/>
    <col min="7" max="7" width="6.5546875" style="485" bestFit="1" customWidth="1"/>
    <col min="8" max="8" width="8.109375" style="485" bestFit="1" customWidth="1"/>
    <col min="9" max="16384" width="8.88671875" style="485"/>
  </cols>
  <sheetData>
    <row r="3" spans="3:24">
      <c r="H3" s="589" t="s">
        <v>0</v>
      </c>
      <c r="K3" s="590"/>
    </row>
    <row r="4" spans="3:24" ht="27.6">
      <c r="C4" s="591" t="s">
        <v>1</v>
      </c>
      <c r="D4" s="625" t="s">
        <v>8</v>
      </c>
      <c r="E4" s="591" t="s">
        <v>2</v>
      </c>
      <c r="F4" s="591" t="s">
        <v>3</v>
      </c>
      <c r="G4" s="591" t="s">
        <v>28</v>
      </c>
      <c r="H4" s="591" t="s">
        <v>218</v>
      </c>
      <c r="I4" s="591" t="s">
        <v>87</v>
      </c>
      <c r="J4" s="591" t="s">
        <v>230</v>
      </c>
      <c r="K4" s="591" t="s">
        <v>89</v>
      </c>
      <c r="L4" s="591" t="s">
        <v>10</v>
      </c>
      <c r="M4" s="592" t="s">
        <v>6</v>
      </c>
      <c r="N4" s="592" t="s">
        <v>4</v>
      </c>
      <c r="O4" s="591" t="s">
        <v>7</v>
      </c>
      <c r="P4" s="591" t="s">
        <v>659</v>
      </c>
      <c r="R4" s="485" t="s">
        <v>220</v>
      </c>
      <c r="T4" s="648">
        <v>1</v>
      </c>
    </row>
    <row r="5" spans="3:24" ht="21" thickBot="1">
      <c r="C5" s="644" t="s">
        <v>11</v>
      </c>
      <c r="D5" s="626" t="s">
        <v>72</v>
      </c>
      <c r="E5" s="644"/>
      <c r="F5" s="644"/>
      <c r="G5" s="644"/>
      <c r="H5" s="644" t="s">
        <v>217</v>
      </c>
      <c r="I5" s="644" t="s">
        <v>13</v>
      </c>
      <c r="J5" s="644"/>
      <c r="K5" s="644" t="s">
        <v>219</v>
      </c>
      <c r="L5" s="644" t="s">
        <v>14</v>
      </c>
      <c r="M5" s="644" t="s">
        <v>83</v>
      </c>
      <c r="N5" s="644" t="s">
        <v>12</v>
      </c>
      <c r="O5" s="644" t="s">
        <v>12</v>
      </c>
      <c r="P5" s="644" t="s">
        <v>90</v>
      </c>
    </row>
    <row r="6" spans="3:24">
      <c r="C6" s="485" t="str">
        <f>LEFT(F6,4)&amp;RIGHT(E6,3)&amp;"X1N"</f>
        <v>TPRSELCX1N</v>
      </c>
      <c r="D6" s="485" t="s">
        <v>563</v>
      </c>
      <c r="E6" s="616" t="s">
        <v>80</v>
      </c>
      <c r="F6" s="491" t="s">
        <v>687</v>
      </c>
      <c r="G6" s="668">
        <v>2015</v>
      </c>
      <c r="H6" s="608" t="str">
        <f>"MKr"&amp;RIGHT('EU Gas Lokaltog'!$H$38,2)</f>
        <v>MKr11</v>
      </c>
      <c r="I6" s="637">
        <v>2012</v>
      </c>
      <c r="J6" s="637"/>
      <c r="K6" s="634">
        <f>$V$32/('EU El IC-reg.tog'!D26*T40/T39)</f>
        <v>3.5954887218045108</v>
      </c>
      <c r="L6" s="622">
        <v>30</v>
      </c>
      <c r="M6" s="669">
        <f>Z20*S7</f>
        <v>2.9389499999999999E-2</v>
      </c>
      <c r="N6" s="622"/>
      <c r="O6" s="670">
        <f>'EU Diesel Lokaltog'!$D$38*'EU Diesel Lokaltog'!$D$70*TRA_Train!$S$7*$O$21/$O$30</f>
        <v>17096.774193548386</v>
      </c>
      <c r="P6" s="671">
        <v>5</v>
      </c>
      <c r="R6" s="1578" t="s">
        <v>84</v>
      </c>
      <c r="S6" s="1579"/>
      <c r="T6" s="1580"/>
    </row>
    <row r="7" spans="3:24">
      <c r="F7" s="491" t="s">
        <v>688</v>
      </c>
      <c r="P7" s="671">
        <v>5</v>
      </c>
      <c r="R7" s="652" t="s">
        <v>564</v>
      </c>
      <c r="S7" s="653">
        <v>1E-3</v>
      </c>
      <c r="T7" s="672" t="s">
        <v>565</v>
      </c>
    </row>
    <row r="8" spans="3:24">
      <c r="C8" s="600"/>
      <c r="D8" s="628"/>
      <c r="E8" s="618"/>
      <c r="F8" s="491" t="s">
        <v>689</v>
      </c>
      <c r="H8" s="608"/>
      <c r="I8" s="600"/>
      <c r="J8" s="600"/>
      <c r="K8" s="603"/>
      <c r="L8" s="622"/>
      <c r="M8" s="669"/>
      <c r="N8" s="622"/>
      <c r="O8" s="670"/>
      <c r="P8" s="671">
        <v>5</v>
      </c>
    </row>
    <row r="9" spans="3:24">
      <c r="C9" s="600"/>
      <c r="D9" s="628"/>
      <c r="E9" s="618"/>
      <c r="F9" s="491" t="s">
        <v>687</v>
      </c>
      <c r="G9" s="668">
        <v>2020</v>
      </c>
      <c r="H9" s="608" t="str">
        <f>"MKr"&amp;RIGHT('EU El IC-reg.tog'!$H$38,2)</f>
        <v>MKr11</v>
      </c>
      <c r="I9" s="600"/>
      <c r="J9" s="600"/>
      <c r="K9" s="634">
        <f>$V$32/('EU El IC-reg.tog'!E26*T40/T39)</f>
        <v>3.7564807541241154</v>
      </c>
      <c r="L9" s="622">
        <v>30</v>
      </c>
      <c r="M9" s="669">
        <f>M6</f>
        <v>2.9389499999999999E-2</v>
      </c>
      <c r="N9" s="622"/>
      <c r="O9" s="670">
        <f>'EU Diesel Lokaltog'!$D$38*'EU Diesel Lokaltog'!$D$70*TRA_Train!$S$7*$O$21/$O$30</f>
        <v>17096.774193548386</v>
      </c>
      <c r="P9" s="671">
        <v>5</v>
      </c>
    </row>
    <row r="10" spans="3:24">
      <c r="C10" s="600"/>
      <c r="D10" s="628"/>
      <c r="E10" s="618"/>
      <c r="F10" s="491" t="s">
        <v>688</v>
      </c>
      <c r="P10" s="671">
        <v>5</v>
      </c>
    </row>
    <row r="11" spans="3:24">
      <c r="C11" s="600"/>
      <c r="D11" s="628"/>
      <c r="E11" s="618"/>
      <c r="F11" s="491" t="s">
        <v>689</v>
      </c>
      <c r="P11" s="671">
        <v>5</v>
      </c>
    </row>
    <row r="12" spans="3:24">
      <c r="C12" s="600"/>
      <c r="D12" s="628"/>
      <c r="E12" s="618"/>
      <c r="F12" s="491" t="s">
        <v>687</v>
      </c>
      <c r="G12" s="668">
        <v>2035</v>
      </c>
      <c r="H12" s="608" t="str">
        <f>"MKr"&amp;RIGHT('EU El IC-reg.tog'!$H$38,2)</f>
        <v>MKr11</v>
      </c>
      <c r="I12" s="600"/>
      <c r="J12" s="600"/>
      <c r="K12" s="634">
        <f>$V$32/('EU El IC-reg.tog'!F26*T40/T39)</f>
        <v>4.5760765550239224</v>
      </c>
      <c r="L12" s="622">
        <v>30</v>
      </c>
      <c r="M12" s="669">
        <f>M6</f>
        <v>2.9389499999999999E-2</v>
      </c>
      <c r="N12" s="622"/>
      <c r="O12" s="670">
        <f>'EU Diesel Lokaltog'!$D$38*'EU Diesel Lokaltog'!$D$70*TRA_Train!$S$7*$O$21/$O$30</f>
        <v>17096.774193548386</v>
      </c>
      <c r="P12" s="671">
        <v>5</v>
      </c>
    </row>
    <row r="13" spans="3:24">
      <c r="C13" s="600"/>
      <c r="D13" s="628"/>
      <c r="E13" s="618"/>
      <c r="F13" s="491" t="s">
        <v>688</v>
      </c>
      <c r="G13" s="668"/>
      <c r="H13" s="608"/>
      <c r="I13" s="600"/>
      <c r="J13" s="600"/>
      <c r="K13" s="603"/>
      <c r="L13" s="622"/>
      <c r="M13" s="669"/>
      <c r="N13" s="622"/>
      <c r="O13" s="636"/>
      <c r="P13" s="671">
        <v>5</v>
      </c>
    </row>
    <row r="14" spans="3:24">
      <c r="F14" s="491" t="s">
        <v>689</v>
      </c>
      <c r="P14" s="671">
        <v>5</v>
      </c>
    </row>
    <row r="15" spans="3:24">
      <c r="C15" s="485" t="str">
        <f>LEFT(F15,4)&amp;RIGHT(E15,3)&amp;"X1N"</f>
        <v>TPRMELCX1N</v>
      </c>
      <c r="D15" s="485" t="s">
        <v>566</v>
      </c>
      <c r="E15" s="618" t="s">
        <v>80</v>
      </c>
      <c r="F15" s="491" t="s">
        <v>690</v>
      </c>
      <c r="G15" s="668">
        <v>2015</v>
      </c>
      <c r="H15" s="608" t="str">
        <f>"MKr"&amp;RIGHT('EU El IC-reg.tog'!$H$38,2)</f>
        <v>MKr11</v>
      </c>
      <c r="I15" s="600">
        <v>2012</v>
      </c>
      <c r="J15" s="600"/>
      <c r="K15" s="634">
        <f>$V$31/('EU El IC-reg.tog'!$D$26*$T$41/$T$39)</f>
        <v>3.3834586466165413</v>
      </c>
      <c r="L15" s="622">
        <v>30</v>
      </c>
      <c r="M15" s="669">
        <f>Z20*S7</f>
        <v>2.9389499999999999E-2</v>
      </c>
      <c r="N15" s="622"/>
      <c r="O15" s="670">
        <f>'EU Diesel Lokaltog'!$D$38*'EU Diesel Lokaltog'!$D$70*TRA_Train!$S$7*$O$21/$O$30</f>
        <v>17096.774193548386</v>
      </c>
      <c r="P15" s="671">
        <v>5</v>
      </c>
    </row>
    <row r="16" spans="3:24">
      <c r="C16" s="600"/>
      <c r="D16" s="628"/>
      <c r="E16" s="618"/>
      <c r="F16" s="491" t="s">
        <v>691</v>
      </c>
      <c r="P16" s="671">
        <v>5</v>
      </c>
      <c r="X16" s="607" t="s">
        <v>584</v>
      </c>
    </row>
    <row r="17" spans="3:27">
      <c r="C17" s="600"/>
      <c r="D17" s="628"/>
      <c r="E17" s="618"/>
      <c r="F17" s="491" t="s">
        <v>690</v>
      </c>
      <c r="G17" s="668">
        <v>2020</v>
      </c>
      <c r="H17" s="608" t="str">
        <f>"MKr"&amp;RIGHT('EU El IC-reg.tog'!$H$38,2)</f>
        <v>MKr11</v>
      </c>
      <c r="I17" s="600"/>
      <c r="J17" s="600"/>
      <c r="K17" s="634">
        <f>$V$31/('EU El IC-reg.tog'!$E$26*$T$41/$T$39)</f>
        <v>3.5349567949725054</v>
      </c>
      <c r="L17" s="622"/>
      <c r="M17" s="669">
        <f>M15</f>
        <v>2.9389499999999999E-2</v>
      </c>
      <c r="N17" s="622"/>
      <c r="O17" s="670">
        <f>'EU Diesel Lokaltog'!$D$38*'EU Diesel Lokaltog'!$D$70*TRA_Train!$S$7*$O$21/$O$30</f>
        <v>17096.774193548386</v>
      </c>
      <c r="P17" s="671">
        <v>5</v>
      </c>
      <c r="X17" s="607"/>
    </row>
    <row r="18" spans="3:27">
      <c r="C18" s="600"/>
      <c r="D18" s="628"/>
      <c r="E18" s="618"/>
      <c r="F18" s="491" t="s">
        <v>691</v>
      </c>
      <c r="P18" s="671">
        <v>5</v>
      </c>
      <c r="X18" s="673" t="s">
        <v>585</v>
      </c>
    </row>
    <row r="19" spans="3:27">
      <c r="C19" s="600"/>
      <c r="D19" s="628"/>
      <c r="E19" s="618"/>
      <c r="F19" s="491" t="s">
        <v>690</v>
      </c>
      <c r="G19" s="668">
        <v>2035</v>
      </c>
      <c r="H19" s="608" t="str">
        <f>"MKr"&amp;RIGHT('EU El IC-reg.tog'!$H$38,2)</f>
        <v>MKr11</v>
      </c>
      <c r="I19" s="600"/>
      <c r="J19" s="600"/>
      <c r="K19" s="634">
        <f>$V$31/('EU El IC-reg.tog'!$F$26*$T$41/$T$39)</f>
        <v>4.3062200956937797</v>
      </c>
      <c r="L19" s="622"/>
      <c r="M19" s="669">
        <f>M17</f>
        <v>2.9389499999999999E-2</v>
      </c>
      <c r="N19" s="622"/>
      <c r="O19" s="670">
        <f>'EU Diesel Lokaltog'!$D$38*'EU Diesel Lokaltog'!$D$70*TRA_Train!$S$7*$O$21/$O$30</f>
        <v>17096.774193548386</v>
      </c>
      <c r="P19" s="671">
        <v>5</v>
      </c>
      <c r="X19" s="607" t="s">
        <v>586</v>
      </c>
    </row>
    <row r="20" spans="3:27">
      <c r="F20" s="491" t="s">
        <v>691</v>
      </c>
      <c r="P20" s="671">
        <v>5</v>
      </c>
      <c r="X20" s="607" t="s">
        <v>587</v>
      </c>
      <c r="Z20" s="485">
        <f>3.11*9.45</f>
        <v>29.389499999999998</v>
      </c>
      <c r="AA20" s="607" t="s">
        <v>588</v>
      </c>
    </row>
    <row r="21" spans="3:27">
      <c r="C21" s="485" t="str">
        <f>LEFT(F21,4)&amp;RIGHT(E21,3)&amp;"X1N"</f>
        <v>TPROELCX1N</v>
      </c>
      <c r="D21" s="485" t="s">
        <v>567</v>
      </c>
      <c r="E21" s="618" t="s">
        <v>80</v>
      </c>
      <c r="F21" s="491" t="s">
        <v>692</v>
      </c>
      <c r="G21" s="668">
        <v>2015</v>
      </c>
      <c r="H21" s="608" t="str">
        <f>"MKr"&amp;RIGHT('EU El IC-reg.tog'!$H$38,2)</f>
        <v>MKr11</v>
      </c>
      <c r="I21" s="600">
        <v>2012</v>
      </c>
      <c r="J21" s="600"/>
      <c r="K21" s="634">
        <f>$V$33/'EU El IC-reg.tog'!D26</f>
        <v>2.9789464095844416</v>
      </c>
      <c r="L21" s="622">
        <v>30</v>
      </c>
      <c r="M21" s="669">
        <f>Z22*S7</f>
        <v>2.9862E-2</v>
      </c>
      <c r="N21" s="622"/>
      <c r="O21" s="671">
        <f>'EU El IC-reg.tog'!D38*'EU El IC-reg.tog'!D70*TRA_Train!$S$7</f>
        <v>53000</v>
      </c>
      <c r="P21" s="671">
        <v>5</v>
      </c>
      <c r="X21" s="607" t="s">
        <v>589</v>
      </c>
      <c r="Z21" s="485">
        <f>4.28*9.45</f>
        <v>40.445999999999998</v>
      </c>
      <c r="AA21" s="607" t="s">
        <v>588</v>
      </c>
    </row>
    <row r="22" spans="3:27">
      <c r="C22" s="600"/>
      <c r="D22" s="628"/>
      <c r="E22" s="618"/>
      <c r="F22" s="491" t="s">
        <v>693</v>
      </c>
      <c r="I22" s="600"/>
      <c r="J22" s="600"/>
      <c r="K22" s="634"/>
      <c r="L22" s="622"/>
      <c r="M22" s="669"/>
      <c r="N22" s="622"/>
      <c r="O22" s="671"/>
      <c r="P22" s="671">
        <v>5</v>
      </c>
      <c r="X22" s="607" t="s">
        <v>590</v>
      </c>
      <c r="Z22" s="485">
        <f>3.16*9.45</f>
        <v>29.861999999999998</v>
      </c>
      <c r="AA22" s="607" t="s">
        <v>588</v>
      </c>
    </row>
    <row r="23" spans="3:27">
      <c r="C23" s="600"/>
      <c r="D23" s="628"/>
      <c r="E23" s="618"/>
      <c r="F23" s="491" t="s">
        <v>694</v>
      </c>
      <c r="G23" s="668"/>
      <c r="I23" s="600"/>
      <c r="J23" s="600"/>
      <c r="K23" s="634"/>
      <c r="L23" s="622"/>
      <c r="M23" s="669"/>
      <c r="N23" s="622"/>
      <c r="O23" s="671"/>
      <c r="P23" s="671">
        <v>5</v>
      </c>
    </row>
    <row r="24" spans="3:27">
      <c r="C24" s="600"/>
      <c r="D24" s="628"/>
      <c r="E24" s="618"/>
      <c r="F24" s="491" t="s">
        <v>692</v>
      </c>
      <c r="G24" s="668">
        <v>2020</v>
      </c>
      <c r="H24" s="608" t="str">
        <f>"MKr"&amp;RIGHT('EU El IC-reg.tog'!$H$38,2)</f>
        <v>MKr11</v>
      </c>
      <c r="I24" s="600"/>
      <c r="J24" s="600"/>
      <c r="K24" s="634">
        <f>$V$33/'EU El IC-reg.tog'!E26</f>
        <v>3.1123320697150882</v>
      </c>
      <c r="L24" s="622">
        <v>30</v>
      </c>
      <c r="M24" s="669">
        <f>Z22*S7</f>
        <v>2.9862E-2</v>
      </c>
      <c r="N24" s="622"/>
      <c r="O24" s="671">
        <f>'EU El IC-reg.tog'!D38*'EU El IC-reg.tog'!D70*TRA_Train!$S$7</f>
        <v>53000</v>
      </c>
      <c r="P24" s="671">
        <v>5</v>
      </c>
    </row>
    <row r="25" spans="3:27">
      <c r="C25" s="600"/>
      <c r="D25" s="628"/>
      <c r="E25" s="618"/>
      <c r="F25" s="491" t="s">
        <v>693</v>
      </c>
      <c r="G25" s="668"/>
      <c r="I25" s="600"/>
      <c r="J25" s="600"/>
      <c r="K25" s="634"/>
      <c r="L25" s="622"/>
      <c r="M25" s="669"/>
      <c r="N25" s="622"/>
      <c r="O25" s="671"/>
      <c r="P25" s="671">
        <v>5</v>
      </c>
    </row>
    <row r="26" spans="3:27">
      <c r="C26" s="600"/>
      <c r="D26" s="628"/>
      <c r="E26" s="618"/>
      <c r="F26" s="491" t="s">
        <v>694</v>
      </c>
      <c r="G26" s="668"/>
      <c r="I26" s="600"/>
      <c r="J26" s="600"/>
      <c r="K26" s="634"/>
      <c r="L26" s="622"/>
      <c r="M26" s="669"/>
      <c r="N26" s="622"/>
      <c r="O26" s="671"/>
      <c r="P26" s="671">
        <v>5</v>
      </c>
    </row>
    <row r="27" spans="3:27">
      <c r="C27" s="600"/>
      <c r="D27" s="628"/>
      <c r="E27" s="618"/>
      <c r="F27" s="491" t="s">
        <v>692</v>
      </c>
      <c r="G27" s="668">
        <v>2035</v>
      </c>
      <c r="H27" s="608" t="str">
        <f>"MKr"&amp;RIGHT('EU El IC-reg.tog'!$H$38,2)</f>
        <v>MKr11</v>
      </c>
      <c r="I27" s="600"/>
      <c r="J27" s="600"/>
      <c r="K27" s="634">
        <f>$V$33/'EU El IC-reg.tog'!F26</f>
        <v>3.7913863394711074</v>
      </c>
      <c r="L27" s="622">
        <v>30</v>
      </c>
      <c r="M27" s="669">
        <f>Z22*S7</f>
        <v>2.9862E-2</v>
      </c>
      <c r="N27" s="622"/>
      <c r="O27" s="671">
        <f>'EU El IC-reg.tog'!D38*'EU El IC-reg.tog'!D70*TRA_Train!$S$7</f>
        <v>53000</v>
      </c>
      <c r="P27" s="671">
        <v>5</v>
      </c>
    </row>
    <row r="28" spans="3:27">
      <c r="C28" s="600"/>
      <c r="D28" s="628"/>
      <c r="E28" s="618"/>
      <c r="F28" s="491" t="s">
        <v>693</v>
      </c>
      <c r="G28" s="668"/>
      <c r="I28" s="600"/>
      <c r="J28" s="600"/>
      <c r="K28" s="634"/>
      <c r="L28" s="622"/>
      <c r="M28" s="669"/>
      <c r="N28" s="622"/>
      <c r="O28" s="671"/>
      <c r="P28" s="671">
        <v>5</v>
      </c>
    </row>
    <row r="29" spans="3:27">
      <c r="C29" s="600"/>
      <c r="D29" s="628"/>
      <c r="E29" s="618"/>
      <c r="F29" s="491" t="s">
        <v>694</v>
      </c>
      <c r="G29" s="668"/>
      <c r="I29" s="600"/>
      <c r="J29" s="600"/>
      <c r="K29" s="634"/>
      <c r="L29" s="622"/>
      <c r="M29" s="669"/>
      <c r="N29" s="622"/>
      <c r="O29" s="671"/>
      <c r="P29" s="671">
        <v>5</v>
      </c>
      <c r="S29" s="485" t="s">
        <v>885</v>
      </c>
      <c r="U29" s="607"/>
    </row>
    <row r="30" spans="3:27">
      <c r="C30" s="485" t="str">
        <f>LEFT(F30,4)&amp;RIGHT(E30,5)&amp;"N"</f>
        <v>TPRODSBL2N</v>
      </c>
      <c r="D30" s="485" t="s">
        <v>568</v>
      </c>
      <c r="E30" s="616" t="s">
        <v>223</v>
      </c>
      <c r="F30" s="491" t="s">
        <v>692</v>
      </c>
      <c r="G30" s="668">
        <v>2015</v>
      </c>
      <c r="H30" s="608" t="str">
        <f>"MKr"&amp;RIGHT('EU El IC-reg.tog'!$H$38,2)</f>
        <v>MKr11</v>
      </c>
      <c r="I30" s="600">
        <v>2012</v>
      </c>
      <c r="J30" s="600">
        <v>2019</v>
      </c>
      <c r="K30" s="634">
        <f>$V$34/'EU Diesel IC-reg.tog'!D26</f>
        <v>1.0545316198903123</v>
      </c>
      <c r="L30" s="622">
        <v>30</v>
      </c>
      <c r="M30" s="669">
        <f>Z22*S7</f>
        <v>2.9862E-2</v>
      </c>
      <c r="N30" s="622"/>
      <c r="O30" s="671">
        <f>'EU Diesel IC-reg.tog'!D38*'EU Diesel IC-reg.tog'!D70*$S$7</f>
        <v>62000.000000000007</v>
      </c>
      <c r="P30" s="671">
        <v>5</v>
      </c>
      <c r="S30" s="485" t="s">
        <v>900</v>
      </c>
      <c r="T30" s="485" t="s">
        <v>775</v>
      </c>
      <c r="U30" s="485" t="s">
        <v>642</v>
      </c>
      <c r="V30" s="485" t="s">
        <v>151</v>
      </c>
    </row>
    <row r="31" spans="3:27">
      <c r="E31" s="616"/>
      <c r="F31" s="491" t="s">
        <v>693</v>
      </c>
      <c r="I31" s="600"/>
      <c r="J31" s="600"/>
      <c r="K31" s="634"/>
      <c r="L31" s="622"/>
      <c r="M31" s="669"/>
      <c r="N31" s="622"/>
      <c r="O31" s="671"/>
      <c r="P31" s="671">
        <v>5</v>
      </c>
      <c r="S31" s="485" t="s">
        <v>896</v>
      </c>
      <c r="T31" s="485" t="s">
        <v>898</v>
      </c>
      <c r="U31" s="1004">
        <v>74.074074074074076</v>
      </c>
      <c r="V31" s="1005">
        <f>1000/U31</f>
        <v>13.5</v>
      </c>
    </row>
    <row r="32" spans="3:27">
      <c r="E32" s="616"/>
      <c r="F32" s="491" t="s">
        <v>694</v>
      </c>
      <c r="G32" s="668"/>
      <c r="I32" s="600"/>
      <c r="J32" s="600"/>
      <c r="K32" s="634"/>
      <c r="L32" s="622"/>
      <c r="M32" s="669"/>
      <c r="N32" s="622"/>
      <c r="O32" s="671"/>
      <c r="P32" s="671">
        <v>5</v>
      </c>
      <c r="S32" s="485" t="s">
        <v>897</v>
      </c>
      <c r="T32" s="485" t="s">
        <v>898</v>
      </c>
      <c r="U32" s="1004">
        <v>34.852920674752546</v>
      </c>
      <c r="V32" s="1005">
        <f t="shared" ref="V32:V34" si="0">1000/U32</f>
        <v>28.691999999999997</v>
      </c>
    </row>
    <row r="33" spans="3:25">
      <c r="C33" s="485" t="str">
        <f>LEFT(F33,4)&amp;RIGHT(E33,5)&amp;"N"</f>
        <v>TPRODSBL3N</v>
      </c>
      <c r="D33" s="485" t="s">
        <v>569</v>
      </c>
      <c r="E33" s="618" t="s">
        <v>224</v>
      </c>
      <c r="F33" s="491" t="s">
        <v>692</v>
      </c>
      <c r="G33" s="668">
        <v>2020</v>
      </c>
      <c r="H33" s="608" t="str">
        <f>"MKr"&amp;RIGHT('EU El IC-reg.tog'!$H$38,2)</f>
        <v>MKr11</v>
      </c>
      <c r="I33" s="600">
        <v>2020</v>
      </c>
      <c r="J33" s="622">
        <v>2034</v>
      </c>
      <c r="K33" s="634">
        <f>$V$34/'EU Diesel IC-reg.tog'!E26</f>
        <v>1.1462300216199046</v>
      </c>
      <c r="L33" s="622">
        <v>30</v>
      </c>
      <c r="M33" s="669">
        <f>Z22*S7</f>
        <v>2.9862E-2</v>
      </c>
      <c r="N33" s="622"/>
      <c r="O33" s="671">
        <f>'EU Diesel IC-reg.tog'!D38*'EU Diesel IC-reg.tog'!D70*$S$7</f>
        <v>62000.000000000007</v>
      </c>
      <c r="P33" s="671">
        <v>5</v>
      </c>
      <c r="S33" s="485" t="s">
        <v>899</v>
      </c>
      <c r="T33" s="485" t="s">
        <v>898</v>
      </c>
      <c r="U33" s="1004">
        <v>23.392972403134614</v>
      </c>
      <c r="V33" s="1005">
        <f t="shared" si="0"/>
        <v>42.747880977536738</v>
      </c>
    </row>
    <row r="34" spans="3:25">
      <c r="E34" s="618"/>
      <c r="F34" s="491" t="s">
        <v>693</v>
      </c>
      <c r="I34" s="600"/>
      <c r="J34" s="600"/>
      <c r="K34" s="634"/>
      <c r="L34" s="622"/>
      <c r="M34" s="669"/>
      <c r="N34" s="622"/>
      <c r="O34" s="671"/>
      <c r="P34" s="671">
        <v>5</v>
      </c>
      <c r="S34" s="485" t="s">
        <v>899</v>
      </c>
      <c r="T34" s="485" t="s">
        <v>29</v>
      </c>
      <c r="U34" s="1004">
        <v>18.503186394715023</v>
      </c>
      <c r="V34" s="1005">
        <f t="shared" si="0"/>
        <v>54.044745519378502</v>
      </c>
    </row>
    <row r="35" spans="3:25">
      <c r="E35" s="618"/>
      <c r="F35" s="491" t="s">
        <v>694</v>
      </c>
      <c r="G35" s="668"/>
      <c r="I35" s="600"/>
      <c r="J35" s="600"/>
      <c r="K35" s="634"/>
      <c r="L35" s="622"/>
      <c r="M35" s="669"/>
      <c r="N35" s="622"/>
      <c r="O35" s="671"/>
      <c r="P35" s="671">
        <v>5</v>
      </c>
    </row>
    <row r="36" spans="3:25">
      <c r="C36" s="485" t="str">
        <f>LEFT(F36,4)&amp;RIGHT(E36,5)&amp;"N"</f>
        <v>TPRODSBL4N</v>
      </c>
      <c r="D36" s="485" t="s">
        <v>570</v>
      </c>
      <c r="E36" s="602" t="s">
        <v>225</v>
      </c>
      <c r="F36" s="491" t="s">
        <v>692</v>
      </c>
      <c r="G36" s="668">
        <v>2035</v>
      </c>
      <c r="H36" s="608" t="str">
        <f>"MKr"&amp;RIGHT('EU El IC-reg.tog'!$H$38,2)</f>
        <v>MKr11</v>
      </c>
      <c r="I36" s="600">
        <v>2035</v>
      </c>
      <c r="J36" s="600"/>
      <c r="K36" s="634">
        <f>$V$34/'EU Diesel IC-reg.tog'!F26</f>
        <v>1.2553947855837051</v>
      </c>
      <c r="L36" s="622">
        <v>30</v>
      </c>
      <c r="M36" s="669">
        <f>Z22*S7</f>
        <v>2.9862E-2</v>
      </c>
      <c r="N36" s="622"/>
      <c r="O36" s="671">
        <f>'EU Diesel IC-reg.tog'!D38*'EU Diesel IC-reg.tog'!D70*$S$7</f>
        <v>62000.000000000007</v>
      </c>
      <c r="P36" s="671">
        <v>5</v>
      </c>
      <c r="S36" s="485" t="s">
        <v>901</v>
      </c>
    </row>
    <row r="37" spans="3:25">
      <c r="C37" s="600"/>
      <c r="D37" s="628"/>
      <c r="E37" s="618"/>
      <c r="F37" s="491" t="s">
        <v>693</v>
      </c>
      <c r="I37" s="600"/>
      <c r="J37" s="600"/>
      <c r="K37" s="634"/>
      <c r="L37" s="622"/>
      <c r="M37" s="674"/>
      <c r="N37" s="622"/>
      <c r="O37" s="671"/>
      <c r="P37" s="671">
        <v>5</v>
      </c>
      <c r="Y37" s="1004"/>
    </row>
    <row r="38" spans="3:25">
      <c r="C38" s="600"/>
      <c r="D38" s="628"/>
      <c r="E38" s="618"/>
      <c r="F38" s="491" t="s">
        <v>694</v>
      </c>
      <c r="G38" s="668"/>
      <c r="I38" s="600"/>
      <c r="J38" s="600"/>
      <c r="K38" s="634"/>
      <c r="L38" s="622">
        <v>30</v>
      </c>
      <c r="M38" s="674"/>
      <c r="N38" s="622"/>
      <c r="O38" s="671"/>
      <c r="P38" s="671">
        <v>5</v>
      </c>
      <c r="S38" s="485" t="s">
        <v>902</v>
      </c>
      <c r="U38" s="485" t="s">
        <v>904</v>
      </c>
    </row>
    <row r="39" spans="3:25">
      <c r="C39" s="600"/>
      <c r="D39" s="628"/>
      <c r="E39" s="618"/>
      <c r="F39" s="602"/>
      <c r="G39" s="668"/>
      <c r="I39" s="600"/>
      <c r="J39" s="600"/>
      <c r="K39" s="634"/>
      <c r="L39" s="622"/>
      <c r="M39" s="674"/>
      <c r="N39" s="622"/>
      <c r="O39" s="671"/>
      <c r="P39" s="671"/>
      <c r="S39" s="485" t="s">
        <v>899</v>
      </c>
      <c r="T39" s="485">
        <v>205</v>
      </c>
    </row>
    <row r="40" spans="3:25">
      <c r="C40" s="600"/>
      <c r="D40" s="628"/>
      <c r="E40" s="618"/>
      <c r="F40" s="602"/>
      <c r="G40" s="668"/>
      <c r="I40" s="600"/>
      <c r="J40" s="600"/>
      <c r="K40" s="634"/>
      <c r="L40" s="622"/>
      <c r="M40" s="674"/>
      <c r="N40" s="622"/>
      <c r="O40" s="671"/>
      <c r="P40" s="671"/>
      <c r="S40" s="485" t="s">
        <v>903</v>
      </c>
      <c r="T40" s="485">
        <v>114</v>
      </c>
    </row>
    <row r="41" spans="3:25">
      <c r="H41" s="589" t="s">
        <v>0</v>
      </c>
      <c r="N41" s="590"/>
      <c r="P41" s="671"/>
      <c r="S41" s="485" t="s">
        <v>896</v>
      </c>
      <c r="T41" s="485">
        <f>T40/2</f>
        <v>57</v>
      </c>
      <c r="U41" s="485" t="s">
        <v>905</v>
      </c>
    </row>
    <row r="42" spans="3:25" ht="27.6">
      <c r="C42" s="591" t="s">
        <v>1</v>
      </c>
      <c r="D42" s="625" t="s">
        <v>8</v>
      </c>
      <c r="E42" s="591" t="s">
        <v>2</v>
      </c>
      <c r="F42" s="591" t="s">
        <v>3</v>
      </c>
      <c r="G42" s="591" t="s">
        <v>28</v>
      </c>
      <c r="H42" s="591" t="s">
        <v>218</v>
      </c>
      <c r="I42" s="591" t="s">
        <v>87</v>
      </c>
      <c r="J42" s="591" t="s">
        <v>230</v>
      </c>
      <c r="K42" s="591" t="s">
        <v>89</v>
      </c>
      <c r="L42" s="591" t="s">
        <v>10</v>
      </c>
      <c r="M42" s="592" t="s">
        <v>6</v>
      </c>
      <c r="N42" s="591" t="s">
        <v>7</v>
      </c>
      <c r="O42" s="591" t="s">
        <v>659</v>
      </c>
      <c r="P42" s="671"/>
    </row>
    <row r="43" spans="3:25" ht="21" thickBot="1">
      <c r="C43" s="644" t="s">
        <v>11</v>
      </c>
      <c r="D43" s="626" t="s">
        <v>72</v>
      </c>
      <c r="E43" s="644"/>
      <c r="F43" s="644"/>
      <c r="G43" s="644"/>
      <c r="H43" s="644" t="s">
        <v>217</v>
      </c>
      <c r="I43" s="644" t="s">
        <v>13</v>
      </c>
      <c r="J43" s="644"/>
      <c r="K43" s="644" t="s">
        <v>631</v>
      </c>
      <c r="L43" s="644" t="s">
        <v>14</v>
      </c>
      <c r="M43" s="644" t="s">
        <v>83</v>
      </c>
      <c r="N43" s="644" t="s">
        <v>12</v>
      </c>
      <c r="O43" s="644" t="s">
        <v>90</v>
      </c>
      <c r="P43" s="671"/>
    </row>
    <row r="44" spans="3:25">
      <c r="C44" s="1030" t="str">
        <f>LEFT(F44,4)&amp;RIGHT(E44,5)&amp;"N"</f>
        <v>TFRNDSBL2N</v>
      </c>
      <c r="D44" s="1031" t="s">
        <v>632</v>
      </c>
      <c r="E44" s="1032" t="s">
        <v>223</v>
      </c>
      <c r="F44" s="1030" t="s">
        <v>947</v>
      </c>
      <c r="G44" s="1033">
        <v>2015</v>
      </c>
      <c r="H44" s="1033" t="s">
        <v>490</v>
      </c>
      <c r="I44" s="1033">
        <v>2012</v>
      </c>
      <c r="J44" s="1033">
        <v>2019</v>
      </c>
      <c r="K44" s="1034">
        <f>K30</f>
        <v>1.0545316198903123</v>
      </c>
      <c r="L44" s="1033">
        <v>30</v>
      </c>
      <c r="M44" s="675">
        <f>M30*0.8</f>
        <v>2.38896E-2</v>
      </c>
      <c r="N44" s="676">
        <f>O30*0.8</f>
        <v>49600.000000000007</v>
      </c>
      <c r="O44" s="485">
        <v>5</v>
      </c>
      <c r="P44" s="671"/>
    </row>
    <row r="45" spans="3:25">
      <c r="F45" s="485" t="s">
        <v>948</v>
      </c>
      <c r="O45" s="485">
        <v>5</v>
      </c>
      <c r="P45" s="671"/>
    </row>
    <row r="46" spans="3:25">
      <c r="C46" s="1030" t="str">
        <f>LEFT(F46,4)&amp;RIGHT(E46,5)&amp;"N"</f>
        <v>TFRNDSBL3N</v>
      </c>
      <c r="D46" s="1031" t="s">
        <v>633</v>
      </c>
      <c r="E46" s="1032" t="s">
        <v>224</v>
      </c>
      <c r="F46" s="1035" t="s">
        <v>947</v>
      </c>
      <c r="G46" s="1035">
        <v>2020</v>
      </c>
      <c r="H46" s="1035" t="s">
        <v>490</v>
      </c>
      <c r="I46" s="1035">
        <v>2020</v>
      </c>
      <c r="J46" s="1035">
        <v>2034</v>
      </c>
      <c r="K46" s="1036">
        <f>K33</f>
        <v>1.1462300216199046</v>
      </c>
      <c r="L46" s="1035">
        <v>30</v>
      </c>
      <c r="M46" s="675">
        <f>M44</f>
        <v>2.38896E-2</v>
      </c>
      <c r="N46" s="676">
        <f>N44</f>
        <v>49600.000000000007</v>
      </c>
      <c r="O46" s="485">
        <v>5</v>
      </c>
      <c r="P46" s="671"/>
    </row>
    <row r="47" spans="3:25">
      <c r="F47" s="485" t="s">
        <v>948</v>
      </c>
      <c r="O47" s="485">
        <v>5</v>
      </c>
      <c r="P47" s="671"/>
    </row>
    <row r="48" spans="3:25">
      <c r="C48" s="1030" t="str">
        <f>LEFT(F48,4)&amp;RIGHT(E48,5)&amp;"N"</f>
        <v>TFRNDSBL4N</v>
      </c>
      <c r="D48" s="1031" t="s">
        <v>634</v>
      </c>
      <c r="E48" s="1032" t="s">
        <v>225</v>
      </c>
      <c r="F48" s="1035" t="s">
        <v>947</v>
      </c>
      <c r="G48" s="1035">
        <v>2015</v>
      </c>
      <c r="H48" s="1035" t="s">
        <v>490</v>
      </c>
      <c r="I48" s="1035">
        <v>2035</v>
      </c>
      <c r="J48" s="1035"/>
      <c r="K48" s="1036">
        <f>K36</f>
        <v>1.2553947855837051</v>
      </c>
      <c r="L48" s="1035">
        <v>30</v>
      </c>
      <c r="M48" s="675">
        <f>M46</f>
        <v>2.38896E-2</v>
      </c>
      <c r="N48" s="676">
        <f>N46</f>
        <v>49600.000000000007</v>
      </c>
      <c r="O48" s="485">
        <v>5</v>
      </c>
      <c r="P48" s="671"/>
    </row>
    <row r="49" spans="2:16">
      <c r="F49" s="485" t="s">
        <v>948</v>
      </c>
      <c r="O49" s="485">
        <v>5</v>
      </c>
      <c r="P49" s="671"/>
    </row>
    <row r="50" spans="2:16">
      <c r="C50" s="1033" t="str">
        <f>LEFT(F50,4)&amp;RIGHT(E50,3)&amp;"X1N"</f>
        <v>TFRNELCX1N</v>
      </c>
      <c r="D50" s="1033" t="s">
        <v>635</v>
      </c>
      <c r="E50" s="1033" t="s">
        <v>80</v>
      </c>
      <c r="F50" s="1033" t="s">
        <v>947</v>
      </c>
      <c r="G50" s="1033">
        <v>2015</v>
      </c>
      <c r="H50" s="1033" t="s">
        <v>490</v>
      </c>
      <c r="I50" s="1033">
        <v>2012</v>
      </c>
      <c r="J50" s="1033"/>
      <c r="K50" s="1034">
        <f>K21</f>
        <v>2.9789464095844416</v>
      </c>
      <c r="L50" s="1033">
        <v>30</v>
      </c>
      <c r="M50" s="677">
        <f>M21*0.8</f>
        <v>2.38896E-2</v>
      </c>
      <c r="N50" s="677">
        <f>O21*0.8</f>
        <v>42400</v>
      </c>
      <c r="O50" s="1073">
        <v>5</v>
      </c>
      <c r="P50" s="671"/>
    </row>
    <row r="51" spans="2:16">
      <c r="C51" s="1035"/>
      <c r="D51" s="1035"/>
      <c r="E51" s="1035"/>
      <c r="F51" s="1030" t="s">
        <v>948</v>
      </c>
      <c r="O51" s="485">
        <v>5</v>
      </c>
      <c r="P51" s="671"/>
    </row>
    <row r="52" spans="2:16">
      <c r="C52" s="1035"/>
      <c r="D52" s="1035"/>
      <c r="E52" s="1035"/>
      <c r="F52" s="485" t="s">
        <v>947</v>
      </c>
      <c r="G52" s="1035">
        <v>2020</v>
      </c>
      <c r="H52" s="1035" t="s">
        <v>490</v>
      </c>
      <c r="I52" s="1035"/>
      <c r="J52" s="1035"/>
      <c r="K52" s="1036">
        <f>K24</f>
        <v>3.1123320697150882</v>
      </c>
      <c r="L52" s="1037">
        <v>30</v>
      </c>
      <c r="M52" s="678">
        <f>M50</f>
        <v>2.38896E-2</v>
      </c>
      <c r="N52" s="678">
        <f>N50</f>
        <v>42400</v>
      </c>
      <c r="O52" s="485">
        <v>5</v>
      </c>
      <c r="P52" s="671"/>
    </row>
    <row r="53" spans="2:16">
      <c r="F53" s="485" t="s">
        <v>948</v>
      </c>
      <c r="O53" s="485">
        <v>5</v>
      </c>
      <c r="P53" s="630"/>
    </row>
    <row r="54" spans="2:16">
      <c r="C54" s="600"/>
      <c r="D54" s="600"/>
      <c r="F54" s="1030" t="s">
        <v>947</v>
      </c>
      <c r="G54" s="1035">
        <v>2015</v>
      </c>
      <c r="H54" s="1035" t="s">
        <v>490</v>
      </c>
      <c r="I54" s="1035"/>
      <c r="J54" s="1035"/>
      <c r="K54" s="1036">
        <f>K27</f>
        <v>3.7913863394711074</v>
      </c>
      <c r="L54" s="1037">
        <v>30</v>
      </c>
      <c r="M54" s="678">
        <f>M52</f>
        <v>2.38896E-2</v>
      </c>
      <c r="N54" s="678">
        <f>N50</f>
        <v>42400</v>
      </c>
      <c r="O54" s="485">
        <v>5</v>
      </c>
    </row>
    <row r="55" spans="2:16">
      <c r="F55" s="485" t="s">
        <v>948</v>
      </c>
    </row>
    <row r="61" spans="2:16">
      <c r="B61" s="623" t="s">
        <v>62</v>
      </c>
      <c r="C61" s="623"/>
      <c r="D61" s="624"/>
      <c r="E61" s="624"/>
      <c r="F61" s="624"/>
      <c r="G61" s="624"/>
      <c r="H61" s="624"/>
      <c r="I61" s="624"/>
    </row>
    <row r="62" spans="2:16" ht="27.6">
      <c r="B62" s="625" t="s">
        <v>63</v>
      </c>
      <c r="C62" s="625" t="s">
        <v>1</v>
      </c>
      <c r="D62" s="625" t="s">
        <v>64</v>
      </c>
      <c r="E62" s="625" t="s">
        <v>65</v>
      </c>
      <c r="F62" s="625" t="s">
        <v>66</v>
      </c>
      <c r="G62" s="625" t="s">
        <v>67</v>
      </c>
      <c r="H62" s="625" t="s">
        <v>68</v>
      </c>
      <c r="I62" s="625" t="s">
        <v>69</v>
      </c>
    </row>
    <row r="63" spans="2:16" ht="41.4" thickBot="1">
      <c r="B63" s="626" t="s">
        <v>70</v>
      </c>
      <c r="C63" s="626" t="s">
        <v>71</v>
      </c>
      <c r="D63" s="626" t="s">
        <v>72</v>
      </c>
      <c r="E63" s="626" t="s">
        <v>73</v>
      </c>
      <c r="F63" s="626" t="s">
        <v>74</v>
      </c>
      <c r="G63" s="626" t="s">
        <v>75</v>
      </c>
      <c r="H63" s="626" t="s">
        <v>76</v>
      </c>
      <c r="I63" s="626" t="s">
        <v>77</v>
      </c>
    </row>
    <row r="64" spans="2:16">
      <c r="B64" s="627" t="s">
        <v>78</v>
      </c>
      <c r="C64" s="485" t="str">
        <f>C6</f>
        <v>TPRSELCX1N</v>
      </c>
      <c r="D64" s="485" t="s">
        <v>563</v>
      </c>
      <c r="E64" s="627" t="s">
        <v>81</v>
      </c>
      <c r="F64" s="629" t="s">
        <v>82</v>
      </c>
      <c r="G64" s="627"/>
      <c r="H64" s="627"/>
      <c r="I64" s="629" t="s">
        <v>79</v>
      </c>
    </row>
    <row r="65" spans="2:10">
      <c r="B65" s="627"/>
      <c r="C65" s="485" t="str">
        <f>C15</f>
        <v>TPRMELCX1N</v>
      </c>
      <c r="D65" s="485" t="s">
        <v>566</v>
      </c>
      <c r="E65" s="627" t="s">
        <v>81</v>
      </c>
      <c r="F65" s="629" t="s">
        <v>82</v>
      </c>
      <c r="G65" s="627"/>
      <c r="H65" s="627"/>
      <c r="I65" s="629" t="s">
        <v>79</v>
      </c>
    </row>
    <row r="66" spans="2:10">
      <c r="B66" s="627"/>
      <c r="C66" s="485" t="str">
        <f>C21</f>
        <v>TPROELCX1N</v>
      </c>
      <c r="D66" s="485" t="s">
        <v>567</v>
      </c>
      <c r="E66" s="627" t="s">
        <v>81</v>
      </c>
      <c r="F66" s="629" t="s">
        <v>82</v>
      </c>
      <c r="G66" s="627"/>
      <c r="H66" s="627"/>
      <c r="I66" s="629" t="s">
        <v>79</v>
      </c>
    </row>
    <row r="67" spans="2:10">
      <c r="B67" s="679"/>
      <c r="C67" s="485" t="str">
        <f>C30</f>
        <v>TPRODSBL2N</v>
      </c>
      <c r="D67" s="485" t="s">
        <v>568</v>
      </c>
      <c r="E67" s="627" t="s">
        <v>81</v>
      </c>
      <c r="F67" s="629" t="s">
        <v>82</v>
      </c>
      <c r="G67" s="627"/>
      <c r="H67" s="627"/>
      <c r="I67" s="629"/>
    </row>
    <row r="68" spans="2:10">
      <c r="B68" s="679"/>
      <c r="C68" s="485" t="str">
        <f>C33</f>
        <v>TPRODSBL3N</v>
      </c>
      <c r="D68" s="485" t="s">
        <v>569</v>
      </c>
      <c r="E68" s="627" t="s">
        <v>81</v>
      </c>
      <c r="F68" s="629" t="s">
        <v>82</v>
      </c>
      <c r="G68" s="627"/>
      <c r="H68" s="627"/>
      <c r="I68" s="629"/>
      <c r="J68" s="624"/>
    </row>
    <row r="69" spans="2:10">
      <c r="B69" s="679"/>
      <c r="C69" s="485" t="str">
        <f>C36</f>
        <v>TPRODSBL4N</v>
      </c>
      <c r="D69" s="485" t="s">
        <v>570</v>
      </c>
      <c r="E69" s="627" t="s">
        <v>81</v>
      </c>
      <c r="F69" s="629" t="s">
        <v>82</v>
      </c>
      <c r="G69" s="627"/>
      <c r="H69" s="627"/>
      <c r="I69" s="629"/>
    </row>
    <row r="70" spans="2:10">
      <c r="C70" s="624" t="str">
        <f>C44</f>
        <v>TFRNDSBL2N</v>
      </c>
      <c r="D70" s="624" t="s">
        <v>632</v>
      </c>
      <c r="E70" s="680" t="s">
        <v>86</v>
      </c>
      <c r="F70" s="680" t="s">
        <v>82</v>
      </c>
      <c r="G70" s="629"/>
      <c r="H70" s="627"/>
      <c r="I70" s="627"/>
    </row>
    <row r="71" spans="2:10">
      <c r="C71" s="624" t="str">
        <f>C46</f>
        <v>TFRNDSBL3N</v>
      </c>
      <c r="D71" s="624" t="s">
        <v>633</v>
      </c>
      <c r="E71" s="680" t="s">
        <v>86</v>
      </c>
      <c r="F71" s="680" t="s">
        <v>82</v>
      </c>
      <c r="G71" s="629"/>
      <c r="H71" s="627"/>
      <c r="I71" s="627"/>
    </row>
    <row r="72" spans="2:10">
      <c r="C72" s="624" t="str">
        <f>C48</f>
        <v>TFRNDSBL4N</v>
      </c>
      <c r="D72" s="624" t="s">
        <v>634</v>
      </c>
      <c r="E72" s="680" t="s">
        <v>86</v>
      </c>
      <c r="F72" s="680" t="s">
        <v>82</v>
      </c>
      <c r="G72" s="680"/>
      <c r="H72" s="624"/>
      <c r="I72" s="624"/>
    </row>
    <row r="73" spans="2:10">
      <c r="C73" s="624" t="str">
        <f>C50</f>
        <v>TFRNELCX1N</v>
      </c>
      <c r="D73" s="624" t="s">
        <v>635</v>
      </c>
      <c r="E73" s="680" t="s">
        <v>86</v>
      </c>
      <c r="F73" s="680" t="s">
        <v>82</v>
      </c>
      <c r="I73" s="607" t="s">
        <v>79</v>
      </c>
    </row>
  </sheetData>
  <mergeCells count="1">
    <mergeCell ref="R6:T6"/>
  </mergeCells>
  <conditionalFormatting sqref="N4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2060"/>
    <pageSetUpPr fitToPage="1"/>
  </sheetPr>
  <dimension ref="B1:R114"/>
  <sheetViews>
    <sheetView topLeftCell="A16" zoomScale="80" zoomScaleNormal="80" workbookViewId="0">
      <selection activeCell="D66" sqref="D66"/>
    </sheetView>
  </sheetViews>
  <sheetFormatPr defaultColWidth="8.88671875" defaultRowHeight="13.8"/>
  <cols>
    <col min="1" max="1" width="2.88671875" style="65" customWidth="1"/>
    <col min="2" max="2" width="26.88671875" style="65" customWidth="1"/>
    <col min="3" max="3" width="15" style="65" customWidth="1"/>
    <col min="4" max="7" width="14.5546875" style="65" customWidth="1"/>
    <col min="8" max="8" width="15.88671875" style="65" customWidth="1"/>
    <col min="9" max="9" width="5.6640625" style="65" customWidth="1"/>
    <col min="10" max="10" width="48.5546875" style="65" customWidth="1"/>
    <col min="11" max="11" width="10" style="65" bestFit="1" customWidth="1"/>
    <col min="12" max="12" width="15.88671875" style="65" customWidth="1"/>
    <col min="13" max="14" width="9" style="65" bestFit="1" customWidth="1"/>
    <col min="15" max="15" width="37.88671875" style="65" customWidth="1"/>
    <col min="16" max="16384" width="8.88671875" style="65"/>
  </cols>
  <sheetData>
    <row r="1" spans="2:18" s="62" customFormat="1" ht="21">
      <c r="B1" s="62" t="s">
        <v>206</v>
      </c>
      <c r="Q1" s="62">
        <v>0</v>
      </c>
      <c r="R1" s="62">
        <v>0</v>
      </c>
    </row>
    <row r="4" spans="2:18" ht="14.4" thickBot="1">
      <c r="B4" s="154" t="s">
        <v>91</v>
      </c>
    </row>
    <row r="5" spans="2:18">
      <c r="B5" s="157" t="s">
        <v>201</v>
      </c>
      <c r="C5" s="85"/>
      <c r="D5" s="85"/>
      <c r="E5" s="85"/>
      <c r="F5" s="85"/>
      <c r="G5" s="85"/>
      <c r="H5" s="85"/>
      <c r="I5" s="85"/>
      <c r="J5" s="85"/>
      <c r="K5" s="85"/>
      <c r="L5" s="85"/>
      <c r="M5" s="85"/>
      <c r="N5" s="83"/>
    </row>
    <row r="6" spans="2:18" ht="12.75" customHeight="1">
      <c r="B6" s="433" t="s">
        <v>200</v>
      </c>
      <c r="C6" s="432"/>
      <c r="D6" s="432"/>
      <c r="E6" s="432"/>
      <c r="F6" s="432"/>
      <c r="G6" s="432"/>
      <c r="H6" s="432"/>
      <c r="I6" s="432"/>
      <c r="J6" s="432"/>
      <c r="K6" s="432"/>
      <c r="L6" s="432"/>
      <c r="M6" s="432"/>
      <c r="N6" s="431"/>
    </row>
    <row r="7" spans="2:18">
      <c r="B7" s="433"/>
      <c r="C7" s="432"/>
      <c r="D7" s="432"/>
      <c r="E7" s="432"/>
      <c r="F7" s="432"/>
      <c r="G7" s="432"/>
      <c r="H7" s="432"/>
      <c r="I7" s="432"/>
      <c r="J7" s="432"/>
      <c r="K7" s="432"/>
      <c r="L7" s="432"/>
      <c r="M7" s="432"/>
      <c r="N7" s="431"/>
    </row>
    <row r="8" spans="2:18">
      <c r="B8" s="433"/>
      <c r="C8" s="432"/>
      <c r="D8" s="432"/>
      <c r="E8" s="432"/>
      <c r="F8" s="432"/>
      <c r="G8" s="432"/>
      <c r="H8" s="432"/>
      <c r="I8" s="432"/>
      <c r="J8" s="432"/>
      <c r="K8" s="432"/>
      <c r="L8" s="432"/>
      <c r="M8" s="432"/>
      <c r="N8" s="431"/>
    </row>
    <row r="9" spans="2:18">
      <c r="B9" s="156" t="s">
        <v>232</v>
      </c>
      <c r="C9" s="61" t="s">
        <v>231</v>
      </c>
      <c r="D9" s="432"/>
      <c r="E9" s="432"/>
      <c r="F9" s="432"/>
      <c r="G9" s="432"/>
      <c r="H9" s="432"/>
      <c r="I9" s="432"/>
      <c r="J9" s="432"/>
      <c r="K9" s="432"/>
      <c r="L9" s="432"/>
      <c r="M9" s="432"/>
      <c r="N9" s="431"/>
    </row>
    <row r="10" spans="2:18">
      <c r="B10" s="433"/>
      <c r="C10" s="432"/>
      <c r="D10" s="432"/>
      <c r="E10" s="432"/>
      <c r="F10" s="432"/>
      <c r="G10" s="432"/>
      <c r="H10" s="432"/>
      <c r="I10" s="432"/>
      <c r="J10" s="432"/>
      <c r="K10" s="432"/>
      <c r="L10" s="432"/>
      <c r="M10" s="432"/>
      <c r="N10" s="431"/>
    </row>
    <row r="11" spans="2:18">
      <c r="B11" s="436" t="s">
        <v>93</v>
      </c>
      <c r="C11" s="435"/>
      <c r="D11" s="435"/>
      <c r="E11" s="435"/>
      <c r="F11" s="435"/>
      <c r="G11" s="435"/>
      <c r="H11" s="77"/>
      <c r="I11" s="435"/>
      <c r="J11" s="435"/>
      <c r="K11" s="435"/>
      <c r="L11" s="435"/>
      <c r="M11" s="435"/>
      <c r="N11" s="434"/>
    </row>
    <row r="12" spans="2:18">
      <c r="B12" s="1581" t="s">
        <v>199</v>
      </c>
      <c r="C12" s="1582"/>
      <c r="D12" s="1582"/>
      <c r="E12" s="1582"/>
      <c r="F12" s="1582"/>
      <c r="G12" s="1582"/>
      <c r="H12" s="1582"/>
      <c r="I12" s="1582"/>
      <c r="J12" s="1582"/>
      <c r="K12" s="1582"/>
      <c r="L12" s="1582"/>
      <c r="M12" s="1582"/>
      <c r="N12" s="1583"/>
    </row>
    <row r="13" spans="2:18" ht="17.25" customHeight="1">
      <c r="B13" s="1581"/>
      <c r="C13" s="1582"/>
      <c r="D13" s="1582"/>
      <c r="E13" s="1582"/>
      <c r="F13" s="1582"/>
      <c r="G13" s="1582"/>
      <c r="H13" s="1582"/>
      <c r="I13" s="1582"/>
      <c r="J13" s="1582"/>
      <c r="K13" s="1582"/>
      <c r="L13" s="1582"/>
      <c r="M13" s="1582"/>
      <c r="N13" s="1583"/>
    </row>
    <row r="14" spans="2:18">
      <c r="B14" s="1581" t="s">
        <v>198</v>
      </c>
      <c r="C14" s="1582"/>
      <c r="D14" s="1582"/>
      <c r="E14" s="1582"/>
      <c r="F14" s="1582"/>
      <c r="G14" s="1582"/>
      <c r="H14" s="1582"/>
      <c r="I14" s="1582"/>
      <c r="J14" s="1582"/>
      <c r="K14" s="1582"/>
      <c r="L14" s="1582"/>
      <c r="M14" s="1582"/>
      <c r="N14" s="1583"/>
    </row>
    <row r="15" spans="2:18">
      <c r="B15" s="1581"/>
      <c r="C15" s="1582"/>
      <c r="D15" s="1582"/>
      <c r="E15" s="1582"/>
      <c r="F15" s="1582"/>
      <c r="G15" s="1582"/>
      <c r="H15" s="1582"/>
      <c r="I15" s="1582"/>
      <c r="J15" s="1582"/>
      <c r="K15" s="1582"/>
      <c r="L15" s="1582"/>
      <c r="M15" s="1582"/>
      <c r="N15" s="1583"/>
    </row>
    <row r="16" spans="2:18">
      <c r="B16" s="1581"/>
      <c r="C16" s="1582"/>
      <c r="D16" s="1582"/>
      <c r="E16" s="1582"/>
      <c r="F16" s="1582"/>
      <c r="G16" s="1582"/>
      <c r="H16" s="1582"/>
      <c r="I16" s="1582"/>
      <c r="J16" s="1582"/>
      <c r="K16" s="1582"/>
      <c r="L16" s="1582"/>
      <c r="M16" s="1582"/>
      <c r="N16" s="1583"/>
    </row>
    <row r="17" spans="2:14" ht="14.4" thickBot="1">
      <c r="B17" s="1584"/>
      <c r="C17" s="1585"/>
      <c r="D17" s="1585"/>
      <c r="E17" s="1585"/>
      <c r="F17" s="1585"/>
      <c r="G17" s="1585"/>
      <c r="H17" s="1585"/>
      <c r="I17" s="1585"/>
      <c r="J17" s="1585"/>
      <c r="K17" s="1585"/>
      <c r="L17" s="1585"/>
      <c r="M17" s="1585"/>
      <c r="N17" s="1586"/>
    </row>
    <row r="19" spans="2:14" ht="13.5" customHeight="1" thickBot="1">
      <c r="B19" s="154" t="s">
        <v>95</v>
      </c>
      <c r="E19" s="153"/>
    </row>
    <row r="20" spans="2:14" ht="12.75" customHeight="1">
      <c r="B20" s="88"/>
      <c r="C20" s="110"/>
      <c r="D20" s="85"/>
      <c r="E20" s="85"/>
      <c r="F20" s="85"/>
      <c r="G20" s="85"/>
      <c r="H20" s="85"/>
      <c r="I20" s="85" t="s">
        <v>96</v>
      </c>
      <c r="J20" s="83" t="s">
        <v>97</v>
      </c>
    </row>
    <row r="21" spans="2:14">
      <c r="B21" s="109"/>
      <c r="C21" s="108" t="s">
        <v>98</v>
      </c>
      <c r="D21" s="427" t="s">
        <v>485</v>
      </c>
      <c r="E21" s="426">
        <v>2020</v>
      </c>
      <c r="F21" s="426">
        <v>2035</v>
      </c>
      <c r="G21" s="426">
        <v>2050</v>
      </c>
      <c r="H21" s="106" t="s">
        <v>99</v>
      </c>
      <c r="I21" s="152"/>
      <c r="J21" s="104"/>
    </row>
    <row r="22" spans="2:14" ht="12.75" customHeight="1">
      <c r="B22" s="128" t="s">
        <v>100</v>
      </c>
      <c r="C22" s="118"/>
      <c r="D22" s="151"/>
      <c r="E22" s="151"/>
      <c r="F22" s="151"/>
      <c r="G22" s="151"/>
      <c r="H22" s="151"/>
      <c r="I22" s="77"/>
      <c r="J22" s="74"/>
    </row>
    <row r="23" spans="2:14">
      <c r="B23" s="145" t="s">
        <v>101</v>
      </c>
      <c r="C23" s="118" t="s">
        <v>197</v>
      </c>
      <c r="D23" s="453">
        <f>D67/D79</f>
        <v>0.23599999999999999</v>
      </c>
      <c r="E23" s="453">
        <f>E67/E79</f>
        <v>0.25217391304347825</v>
      </c>
      <c r="F23" s="453">
        <f>F67/F79</f>
        <v>0.27142857142857146</v>
      </c>
      <c r="G23" s="453">
        <f>G67/G79</f>
        <v>0.27999999999999997</v>
      </c>
      <c r="H23" s="147"/>
      <c r="I23" s="187" t="s">
        <v>648</v>
      </c>
      <c r="J23" s="141"/>
    </row>
    <row r="24" spans="2:14">
      <c r="B24" s="145" t="s">
        <v>102</v>
      </c>
      <c r="C24" s="118" t="s">
        <v>197</v>
      </c>
      <c r="D24" s="425">
        <f>D23</f>
        <v>0.23599999999999999</v>
      </c>
      <c r="E24" s="425">
        <f>E23</f>
        <v>0.25217391304347825</v>
      </c>
      <c r="F24" s="425">
        <f>F23</f>
        <v>0.27142857142857146</v>
      </c>
      <c r="G24" s="425">
        <f>G23</f>
        <v>0.27999999999999997</v>
      </c>
      <c r="H24" s="147"/>
      <c r="I24" s="187" t="s">
        <v>648</v>
      </c>
      <c r="J24" s="141"/>
    </row>
    <row r="25" spans="2:14">
      <c r="B25" s="145" t="s">
        <v>196</v>
      </c>
      <c r="C25" s="118" t="s">
        <v>104</v>
      </c>
      <c r="D25" s="442">
        <f>D79</f>
        <v>0.25</v>
      </c>
      <c r="E25" s="442">
        <f>E79</f>
        <v>0.23</v>
      </c>
      <c r="F25" s="442">
        <f>F79</f>
        <v>0.21</v>
      </c>
      <c r="G25" s="442">
        <f>G79</f>
        <v>0.2</v>
      </c>
      <c r="H25" s="142"/>
      <c r="I25" s="187"/>
      <c r="J25" s="141"/>
    </row>
    <row r="26" spans="2:14">
      <c r="B26" s="145" t="s">
        <v>195</v>
      </c>
      <c r="C26" s="118" t="s">
        <v>104</v>
      </c>
      <c r="D26" s="125">
        <f>D25*205</f>
        <v>51.25</v>
      </c>
      <c r="E26" s="125">
        <f t="shared" ref="E26:G26" si="0">E25*205</f>
        <v>47.15</v>
      </c>
      <c r="F26" s="125">
        <f t="shared" si="0"/>
        <v>43.05</v>
      </c>
      <c r="G26" s="125">
        <f t="shared" si="0"/>
        <v>41</v>
      </c>
      <c r="H26" s="142"/>
      <c r="I26" s="187"/>
      <c r="J26" s="141"/>
    </row>
    <row r="27" spans="2:14">
      <c r="B27" s="133" t="s">
        <v>106</v>
      </c>
      <c r="C27" s="118" t="s">
        <v>107</v>
      </c>
      <c r="D27" s="140">
        <v>30</v>
      </c>
      <c r="E27" s="125">
        <v>30</v>
      </c>
      <c r="F27" s="125">
        <v>30</v>
      </c>
      <c r="G27" s="125">
        <v>30</v>
      </c>
      <c r="H27" s="125"/>
      <c r="I27" s="187" t="s">
        <v>649</v>
      </c>
      <c r="J27" s="74" t="s">
        <v>205</v>
      </c>
    </row>
    <row r="28" spans="2:14">
      <c r="B28" s="133" t="s">
        <v>108</v>
      </c>
      <c r="C28" s="118" t="s">
        <v>109</v>
      </c>
      <c r="D28" s="138">
        <f>+D71</f>
        <v>17.7</v>
      </c>
      <c r="E28" s="138">
        <f>+E71</f>
        <v>17.399999999999999</v>
      </c>
      <c r="F28" s="138">
        <f>+F71</f>
        <v>17.100000000000001</v>
      </c>
      <c r="G28" s="138">
        <f>+G71</f>
        <v>16.8</v>
      </c>
      <c r="H28" s="138"/>
      <c r="I28" s="187"/>
      <c r="J28" s="74"/>
    </row>
    <row r="29" spans="2:14">
      <c r="B29" s="78"/>
      <c r="C29" s="137"/>
      <c r="D29" s="98"/>
      <c r="E29" s="98"/>
      <c r="F29" s="98"/>
      <c r="G29" s="98"/>
      <c r="H29" s="98"/>
      <c r="I29" s="77"/>
      <c r="J29" s="74"/>
    </row>
    <row r="30" spans="2:14">
      <c r="B30" s="128" t="s">
        <v>110</v>
      </c>
      <c r="C30" s="118"/>
      <c r="D30" s="98"/>
      <c r="E30" s="98"/>
      <c r="F30" s="98"/>
      <c r="G30" s="98"/>
      <c r="H30" s="98"/>
      <c r="I30" s="77"/>
      <c r="J30" s="74"/>
    </row>
    <row r="31" spans="2:14">
      <c r="B31" s="133" t="s">
        <v>111</v>
      </c>
      <c r="C31" s="118" t="s">
        <v>15</v>
      </c>
      <c r="D31" s="136">
        <v>321934.82728212443</v>
      </c>
      <c r="E31" s="136">
        <v>321934.82728212443</v>
      </c>
      <c r="F31" s="136">
        <v>321934.82728212443</v>
      </c>
      <c r="G31" s="136">
        <v>321934.82728212443</v>
      </c>
      <c r="H31" s="135">
        <v>2015</v>
      </c>
      <c r="I31" s="79"/>
      <c r="J31" s="74"/>
    </row>
    <row r="32" spans="2:14">
      <c r="B32" s="78" t="s">
        <v>16</v>
      </c>
      <c r="C32" s="118" t="s">
        <v>17</v>
      </c>
      <c r="D32" s="136">
        <v>3761.8289847506021</v>
      </c>
      <c r="E32" s="136">
        <v>2623.1063513254298</v>
      </c>
      <c r="F32" s="136">
        <v>2669.1257609978056</v>
      </c>
      <c r="G32" s="136">
        <v>2716.7887210156237</v>
      </c>
      <c r="H32" s="135">
        <v>2015</v>
      </c>
      <c r="I32" s="79"/>
      <c r="J32" s="74"/>
    </row>
    <row r="33" spans="2:10">
      <c r="B33" s="129" t="s">
        <v>18</v>
      </c>
      <c r="C33" s="118" t="s">
        <v>17</v>
      </c>
      <c r="D33" s="136">
        <v>1183.1820631086539</v>
      </c>
      <c r="E33" s="136">
        <v>1203.5817538519068</v>
      </c>
      <c r="F33" s="136">
        <v>1224.6972232177293</v>
      </c>
      <c r="G33" s="136">
        <v>1246.5668164894746</v>
      </c>
      <c r="H33" s="135">
        <v>2015</v>
      </c>
      <c r="I33" s="79"/>
      <c r="J33" s="74"/>
    </row>
    <row r="34" spans="2:10">
      <c r="B34" s="129" t="s">
        <v>19</v>
      </c>
      <c r="C34" s="118" t="s">
        <v>17</v>
      </c>
      <c r="D34" s="136">
        <v>2578.6469216419482</v>
      </c>
      <c r="E34" s="136">
        <v>2623.1063513254298</v>
      </c>
      <c r="F34" s="136">
        <v>2669.1257609978056</v>
      </c>
      <c r="G34" s="136">
        <v>2716.7887210156237</v>
      </c>
      <c r="H34" s="135">
        <v>2015</v>
      </c>
      <c r="I34" s="79"/>
      <c r="J34" s="74"/>
    </row>
    <row r="35" spans="2:10">
      <c r="B35" s="129"/>
      <c r="C35" s="118"/>
      <c r="D35" s="136"/>
      <c r="E35" s="136"/>
      <c r="F35" s="136"/>
      <c r="G35" s="136"/>
      <c r="H35" s="135"/>
      <c r="I35" s="79"/>
      <c r="J35" s="74"/>
    </row>
    <row r="36" spans="2:10">
      <c r="B36" s="129" t="s">
        <v>112</v>
      </c>
      <c r="C36" s="118" t="s">
        <v>17</v>
      </c>
      <c r="D36" s="136">
        <v>0</v>
      </c>
      <c r="E36" s="136">
        <v>0</v>
      </c>
      <c r="F36" s="136">
        <v>0</v>
      </c>
      <c r="G36" s="136">
        <v>0</v>
      </c>
      <c r="H36" s="135">
        <v>2015</v>
      </c>
      <c r="I36" s="79"/>
      <c r="J36" s="74"/>
    </row>
    <row r="37" spans="2:10">
      <c r="B37" s="128"/>
      <c r="C37" s="118"/>
      <c r="D37" s="134"/>
      <c r="E37" s="98"/>
      <c r="F37" s="98"/>
      <c r="G37" s="98"/>
      <c r="H37" s="98"/>
      <c r="I37" s="79"/>
      <c r="J37" s="74"/>
    </row>
    <row r="38" spans="2:10">
      <c r="B38" s="133" t="s">
        <v>111</v>
      </c>
      <c r="C38" s="118" t="s">
        <v>15</v>
      </c>
      <c r="D38" s="127">
        <f>62000000/D70</f>
        <v>302439.02439024393</v>
      </c>
      <c r="E38" s="127">
        <f>62000000/E70</f>
        <v>302439.02439024393</v>
      </c>
      <c r="F38" s="127">
        <f>62000000/F70</f>
        <v>302439.02439024393</v>
      </c>
      <c r="G38" s="127">
        <f>62000000/G70</f>
        <v>302439.02439024393</v>
      </c>
      <c r="H38" s="130">
        <v>2011</v>
      </c>
      <c r="I38" s="187" t="s">
        <v>650</v>
      </c>
      <c r="J38" s="74" t="s">
        <v>424</v>
      </c>
    </row>
    <row r="39" spans="2:10">
      <c r="B39" s="240" t="s">
        <v>16</v>
      </c>
      <c r="C39" s="118" t="s">
        <v>17</v>
      </c>
      <c r="D39" s="258">
        <f>SUM(D40:D43)</f>
        <v>3534.0192848221441</v>
      </c>
      <c r="E39" s="258">
        <f>E$72</f>
        <v>2464.255677039529</v>
      </c>
      <c r="F39" s="258">
        <f>F$72</f>
        <v>2507.4882327770647</v>
      </c>
      <c r="G39" s="258">
        <f>G$72</f>
        <v>2552.2648083623694</v>
      </c>
      <c r="H39" s="130">
        <v>2011</v>
      </c>
      <c r="I39" s="187"/>
      <c r="J39" s="74"/>
    </row>
    <row r="40" spans="2:10">
      <c r="B40" s="129" t="s">
        <v>18</v>
      </c>
      <c r="C40" s="118" t="s">
        <v>17</v>
      </c>
      <c r="D40" s="424">
        <v>1111.5306531561662</v>
      </c>
      <c r="E40" s="424">
        <v>1130.6949747623071</v>
      </c>
      <c r="F40" s="424">
        <v>1150.5317287055052</v>
      </c>
      <c r="G40" s="424">
        <v>1171.076938146675</v>
      </c>
      <c r="H40" s="130">
        <v>2011</v>
      </c>
      <c r="I40" s="187" t="s">
        <v>649</v>
      </c>
      <c r="J40" s="74" t="s">
        <v>194</v>
      </c>
    </row>
    <row r="41" spans="2:10">
      <c r="B41" s="129" t="s">
        <v>19</v>
      </c>
      <c r="C41" s="118" t="s">
        <v>17</v>
      </c>
      <c r="D41" s="423">
        <f>D72</f>
        <v>2422.4886316659781</v>
      </c>
      <c r="E41" s="423">
        <f>E72</f>
        <v>2464.255677039529</v>
      </c>
      <c r="F41" s="423">
        <f>F72</f>
        <v>2507.4882327770647</v>
      </c>
      <c r="G41" s="423">
        <f>G72</f>
        <v>2552.2648083623694</v>
      </c>
      <c r="H41" s="130">
        <v>2011</v>
      </c>
      <c r="I41" s="187" t="s">
        <v>649</v>
      </c>
      <c r="J41" s="74" t="s">
        <v>194</v>
      </c>
    </row>
    <row r="42" spans="2:10">
      <c r="B42" s="129"/>
      <c r="C42" s="118"/>
      <c r="D42" s="98"/>
      <c r="E42" s="98"/>
      <c r="F42" s="98"/>
      <c r="G42" s="98"/>
      <c r="H42" s="130"/>
      <c r="I42" s="187"/>
      <c r="J42" s="74"/>
    </row>
    <row r="43" spans="2:10">
      <c r="B43" s="129" t="s">
        <v>112</v>
      </c>
      <c r="C43" s="118" t="s">
        <v>17</v>
      </c>
      <c r="D43" s="422">
        <v>0</v>
      </c>
      <c r="E43" s="422">
        <v>0</v>
      </c>
      <c r="F43" s="422">
        <v>0</v>
      </c>
      <c r="G43" s="422">
        <v>0</v>
      </c>
      <c r="H43" s="130">
        <v>2011</v>
      </c>
      <c r="I43" s="187" t="s">
        <v>649</v>
      </c>
      <c r="J43" s="74" t="s">
        <v>194</v>
      </c>
    </row>
    <row r="44" spans="2:10">
      <c r="B44" s="129"/>
      <c r="C44" s="118"/>
      <c r="D44" s="98"/>
      <c r="E44" s="122"/>
      <c r="F44" s="122"/>
      <c r="G44" s="122"/>
      <c r="H44" s="98"/>
      <c r="I44" s="187"/>
      <c r="J44" s="74"/>
    </row>
    <row r="45" spans="2:10">
      <c r="B45" s="128" t="s">
        <v>113</v>
      </c>
      <c r="C45" s="118"/>
      <c r="D45" s="98"/>
      <c r="E45" s="122"/>
      <c r="F45" s="122"/>
      <c r="G45" s="122"/>
      <c r="H45" s="127"/>
      <c r="I45" s="187"/>
      <c r="J45" s="74"/>
    </row>
    <row r="46" spans="2:10">
      <c r="B46" s="123" t="s">
        <v>30</v>
      </c>
      <c r="C46" s="118"/>
      <c r="D46" s="98"/>
      <c r="E46" s="122"/>
      <c r="F46" s="122"/>
      <c r="G46" s="122"/>
      <c r="H46" s="126"/>
      <c r="I46" s="187"/>
      <c r="J46" s="74"/>
    </row>
    <row r="47" spans="2:10">
      <c r="B47" s="78" t="s">
        <v>20</v>
      </c>
      <c r="C47" s="118" t="s">
        <v>133</v>
      </c>
      <c r="D47" s="421"/>
      <c r="E47" s="421"/>
      <c r="F47" s="421"/>
      <c r="G47" s="421"/>
      <c r="H47" s="126"/>
      <c r="I47" s="187"/>
      <c r="J47" s="119" t="s">
        <v>114</v>
      </c>
    </row>
    <row r="48" spans="2:10">
      <c r="B48" s="78" t="s">
        <v>21</v>
      </c>
      <c r="C48" s="118" t="s">
        <v>133</v>
      </c>
      <c r="D48" s="305"/>
      <c r="E48" s="305"/>
      <c r="F48" s="305"/>
      <c r="G48" s="305"/>
      <c r="H48" s="120"/>
      <c r="I48" s="187"/>
      <c r="J48" s="74"/>
    </row>
    <row r="49" spans="2:10">
      <c r="B49" s="78" t="s">
        <v>22</v>
      </c>
      <c r="C49" s="118" t="s">
        <v>133</v>
      </c>
      <c r="D49" s="305"/>
      <c r="E49" s="305"/>
      <c r="F49" s="305"/>
      <c r="G49" s="305"/>
      <c r="H49" s="98"/>
      <c r="I49" s="187"/>
      <c r="J49" s="74"/>
    </row>
    <row r="50" spans="2:10">
      <c r="B50" s="78" t="s">
        <v>23</v>
      </c>
      <c r="C50" s="118" t="s">
        <v>133</v>
      </c>
      <c r="D50" s="305"/>
      <c r="E50" s="305"/>
      <c r="F50" s="305"/>
      <c r="G50" s="305"/>
      <c r="H50" s="125"/>
      <c r="I50" s="187"/>
      <c r="J50" s="74"/>
    </row>
    <row r="51" spans="2:10">
      <c r="B51" s="78" t="s">
        <v>115</v>
      </c>
      <c r="C51" s="118" t="s">
        <v>133</v>
      </c>
      <c r="D51" s="305">
        <f t="shared" ref="D51:G52" si="1">D84/3.6</f>
        <v>1.3888888888888888</v>
      </c>
      <c r="E51" s="305">
        <f t="shared" si="1"/>
        <v>1.3888888888888888</v>
      </c>
      <c r="F51" s="305">
        <f t="shared" si="1"/>
        <v>1.3888888888888888</v>
      </c>
      <c r="G51" s="305">
        <f t="shared" si="1"/>
        <v>1.3888888888888888</v>
      </c>
      <c r="H51" s="98"/>
      <c r="I51" s="187"/>
      <c r="J51" s="74"/>
    </row>
    <row r="52" spans="2:10">
      <c r="B52" s="78" t="s">
        <v>24</v>
      </c>
      <c r="C52" s="118" t="s">
        <v>133</v>
      </c>
      <c r="D52" s="305">
        <f t="shared" si="1"/>
        <v>2.777777777777778E-2</v>
      </c>
      <c r="E52" s="305">
        <f t="shared" si="1"/>
        <v>1.3888888888888892E-3</v>
      </c>
      <c r="F52" s="305">
        <f t="shared" si="1"/>
        <v>1.3888888888888892E-3</v>
      </c>
      <c r="G52" s="305">
        <f t="shared" si="1"/>
        <v>1.3888888888888892E-3</v>
      </c>
      <c r="H52" s="98"/>
      <c r="I52" s="187"/>
      <c r="J52" s="74"/>
    </row>
    <row r="53" spans="2:10">
      <c r="B53" s="78"/>
      <c r="C53" s="118"/>
      <c r="D53" s="305"/>
      <c r="E53" s="305"/>
      <c r="F53" s="305"/>
      <c r="G53" s="305"/>
      <c r="H53" s="98"/>
      <c r="I53" s="187"/>
      <c r="J53" s="74"/>
    </row>
    <row r="54" spans="2:10">
      <c r="B54" s="123" t="s">
        <v>31</v>
      </c>
      <c r="C54" s="118"/>
      <c r="D54" s="305"/>
      <c r="E54" s="305"/>
      <c r="F54" s="305"/>
      <c r="G54" s="305"/>
      <c r="H54" s="120"/>
      <c r="I54" s="187"/>
      <c r="J54" s="74"/>
    </row>
    <row r="55" spans="2:10">
      <c r="B55" s="78" t="s">
        <v>20</v>
      </c>
      <c r="C55" s="118" t="s">
        <v>133</v>
      </c>
      <c r="D55" s="421"/>
      <c r="E55" s="421"/>
      <c r="F55" s="421"/>
      <c r="G55" s="421"/>
      <c r="H55" s="197"/>
      <c r="I55" s="187"/>
      <c r="J55" s="119" t="s">
        <v>114</v>
      </c>
    </row>
    <row r="56" spans="2:10">
      <c r="B56" s="78" t="s">
        <v>21</v>
      </c>
      <c r="C56" s="118" t="s">
        <v>133</v>
      </c>
      <c r="D56" s="452">
        <f t="shared" ref="D56:G60" si="2">D48</f>
        <v>0</v>
      </c>
      <c r="E56" s="452">
        <f t="shared" si="2"/>
        <v>0</v>
      </c>
      <c r="F56" s="452">
        <f t="shared" si="2"/>
        <v>0</v>
      </c>
      <c r="G56" s="452">
        <f t="shared" si="2"/>
        <v>0</v>
      </c>
      <c r="H56" s="197"/>
      <c r="I56" s="187"/>
      <c r="J56" s="74"/>
    </row>
    <row r="57" spans="2:10">
      <c r="B57" s="78" t="s">
        <v>22</v>
      </c>
      <c r="C57" s="118" t="s">
        <v>133</v>
      </c>
      <c r="D57" s="452">
        <f t="shared" si="2"/>
        <v>0</v>
      </c>
      <c r="E57" s="452">
        <f t="shared" si="2"/>
        <v>0</v>
      </c>
      <c r="F57" s="452">
        <f t="shared" si="2"/>
        <v>0</v>
      </c>
      <c r="G57" s="452">
        <f t="shared" si="2"/>
        <v>0</v>
      </c>
      <c r="H57" s="197"/>
      <c r="I57" s="187"/>
      <c r="J57" s="74"/>
    </row>
    <row r="58" spans="2:10">
      <c r="B58" s="78" t="s">
        <v>23</v>
      </c>
      <c r="C58" s="118" t="s">
        <v>133</v>
      </c>
      <c r="D58" s="452">
        <f t="shared" si="2"/>
        <v>0</v>
      </c>
      <c r="E58" s="452">
        <f t="shared" si="2"/>
        <v>0</v>
      </c>
      <c r="F58" s="452">
        <f t="shared" si="2"/>
        <v>0</v>
      </c>
      <c r="G58" s="452">
        <f t="shared" si="2"/>
        <v>0</v>
      </c>
      <c r="H58" s="197"/>
      <c r="I58" s="187"/>
      <c r="J58" s="74"/>
    </row>
    <row r="59" spans="2:10">
      <c r="B59" s="78" t="s">
        <v>115</v>
      </c>
      <c r="C59" s="118" t="s">
        <v>133</v>
      </c>
      <c r="D59" s="452">
        <f t="shared" si="2"/>
        <v>1.3888888888888888</v>
      </c>
      <c r="E59" s="452">
        <f t="shared" si="2"/>
        <v>1.3888888888888888</v>
      </c>
      <c r="F59" s="452">
        <f t="shared" si="2"/>
        <v>1.3888888888888888</v>
      </c>
      <c r="G59" s="452">
        <f t="shared" si="2"/>
        <v>1.3888888888888888</v>
      </c>
      <c r="H59" s="197"/>
      <c r="I59" s="187"/>
      <c r="J59" s="74"/>
    </row>
    <row r="60" spans="2:10">
      <c r="B60" s="78" t="s">
        <v>24</v>
      </c>
      <c r="C60" s="118" t="s">
        <v>133</v>
      </c>
      <c r="D60" s="452">
        <f t="shared" si="2"/>
        <v>2.777777777777778E-2</v>
      </c>
      <c r="E60" s="452">
        <f t="shared" si="2"/>
        <v>1.3888888888888892E-3</v>
      </c>
      <c r="F60" s="452">
        <f t="shared" si="2"/>
        <v>1.3888888888888892E-3</v>
      </c>
      <c r="G60" s="452">
        <f t="shared" si="2"/>
        <v>1.3888888888888892E-3</v>
      </c>
      <c r="H60" s="135"/>
      <c r="I60" s="187"/>
      <c r="J60" s="74"/>
    </row>
    <row r="61" spans="2:10" ht="14.4" thickBot="1">
      <c r="B61" s="115"/>
      <c r="C61" s="114"/>
      <c r="D61" s="113"/>
      <c r="E61" s="72"/>
      <c r="F61" s="72"/>
      <c r="G61" s="72"/>
      <c r="H61" s="72"/>
      <c r="I61" s="193"/>
      <c r="J61" s="90"/>
    </row>
    <row r="64" spans="2:10" ht="16.2" thickBot="1">
      <c r="B64" s="89" t="s">
        <v>116</v>
      </c>
    </row>
    <row r="65" spans="2:10">
      <c r="B65" s="88"/>
      <c r="C65" s="110"/>
      <c r="D65" s="85"/>
      <c r="E65" s="85"/>
      <c r="F65" s="85"/>
      <c r="G65" s="85"/>
      <c r="H65" s="85"/>
      <c r="I65" s="85"/>
      <c r="J65" s="83"/>
    </row>
    <row r="66" spans="2:10">
      <c r="B66" s="109"/>
      <c r="C66" s="108" t="s">
        <v>98</v>
      </c>
      <c r="D66" s="427" t="s">
        <v>485</v>
      </c>
      <c r="E66" s="426">
        <v>2020</v>
      </c>
      <c r="F66" s="426">
        <v>2035</v>
      </c>
      <c r="G66" s="426">
        <v>2050</v>
      </c>
      <c r="H66" s="106"/>
      <c r="I66" s="152" t="s">
        <v>96</v>
      </c>
      <c r="J66" s="104" t="s">
        <v>97</v>
      </c>
    </row>
    <row r="67" spans="2:10">
      <c r="B67" s="240" t="s">
        <v>25</v>
      </c>
      <c r="C67" s="95" t="s">
        <v>151</v>
      </c>
      <c r="D67" s="420">
        <f>0.059</f>
        <v>5.8999999999999997E-2</v>
      </c>
      <c r="E67" s="420">
        <v>5.8000000000000003E-2</v>
      </c>
      <c r="F67" s="420">
        <v>5.7000000000000002E-2</v>
      </c>
      <c r="G67" s="420">
        <v>5.6000000000000001E-2</v>
      </c>
      <c r="H67" s="420"/>
      <c r="I67" s="77" t="s">
        <v>648</v>
      </c>
      <c r="J67" s="74"/>
    </row>
    <row r="68" spans="2:10">
      <c r="B68" s="240"/>
      <c r="C68" s="95"/>
      <c r="D68" s="420"/>
      <c r="E68" s="420"/>
      <c r="F68" s="420"/>
      <c r="G68" s="420"/>
      <c r="H68" s="420"/>
      <c r="I68" s="77"/>
      <c r="J68" s="74"/>
    </row>
    <row r="69" spans="2:10">
      <c r="B69" s="240" t="s">
        <v>120</v>
      </c>
      <c r="C69" s="95" t="s">
        <v>121</v>
      </c>
      <c r="D69" s="419">
        <v>300000</v>
      </c>
      <c r="E69" s="419">
        <v>300000</v>
      </c>
      <c r="F69" s="419">
        <v>300000</v>
      </c>
      <c r="G69" s="419">
        <v>300000</v>
      </c>
      <c r="H69" s="419"/>
      <c r="I69" s="187" t="s">
        <v>649</v>
      </c>
      <c r="J69" s="74" t="s">
        <v>204</v>
      </c>
    </row>
    <row r="70" spans="2:10">
      <c r="B70" s="240" t="s">
        <v>401</v>
      </c>
      <c r="C70" s="95" t="s">
        <v>400</v>
      </c>
      <c r="D70" s="419">
        <v>205</v>
      </c>
      <c r="E70" s="419">
        <v>205</v>
      </c>
      <c r="F70" s="419">
        <v>205</v>
      </c>
      <c r="G70" s="419">
        <v>205</v>
      </c>
      <c r="H70" s="419"/>
      <c r="I70" s="187"/>
      <c r="J70" s="74"/>
    </row>
    <row r="71" spans="2:10">
      <c r="B71" s="240" t="s">
        <v>413</v>
      </c>
      <c r="C71" s="95" t="s">
        <v>109</v>
      </c>
      <c r="D71" s="417">
        <f>+D67*D69/1000</f>
        <v>17.7</v>
      </c>
      <c r="E71" s="417">
        <f>+E67*E69/1000</f>
        <v>17.399999999999999</v>
      </c>
      <c r="F71" s="417">
        <f>+F67*F69/1000</f>
        <v>17.100000000000001</v>
      </c>
      <c r="G71" s="417">
        <f>+G67*G69/1000</f>
        <v>16.8</v>
      </c>
      <c r="H71" s="417"/>
      <c r="I71" s="77"/>
      <c r="J71" s="74" t="s">
        <v>191</v>
      </c>
    </row>
    <row r="72" spans="2:10">
      <c r="B72" s="240" t="s">
        <v>412</v>
      </c>
      <c r="C72" s="95" t="s">
        <v>17</v>
      </c>
      <c r="D72" s="416">
        <f>D73*1000/(D67)</f>
        <v>2422.4886316659781</v>
      </c>
      <c r="E72" s="416">
        <f>E73*1000/(E67)</f>
        <v>2464.255677039529</v>
      </c>
      <c r="F72" s="416">
        <f>F73*1000/(F67)</f>
        <v>2507.4882327770647</v>
      </c>
      <c r="G72" s="416">
        <f>G73*1000/(G67)</f>
        <v>2552.2648083623694</v>
      </c>
      <c r="H72" s="416"/>
      <c r="I72" s="77"/>
      <c r="J72" s="74"/>
    </row>
    <row r="73" spans="2:10">
      <c r="B73" s="240" t="s">
        <v>123</v>
      </c>
      <c r="C73" s="95" t="s">
        <v>411</v>
      </c>
      <c r="D73" s="415">
        <f>29.3/D70</f>
        <v>0.1429268292682927</v>
      </c>
      <c r="E73" s="415">
        <f>29.3/E70</f>
        <v>0.1429268292682927</v>
      </c>
      <c r="F73" s="415">
        <f>29.3/F70</f>
        <v>0.1429268292682927</v>
      </c>
      <c r="G73" s="415">
        <f>29.3/G70</f>
        <v>0.1429268292682927</v>
      </c>
      <c r="H73" s="414"/>
      <c r="I73" s="349" t="s">
        <v>583</v>
      </c>
      <c r="J73" s="74" t="s">
        <v>203</v>
      </c>
    </row>
    <row r="74" spans="2:10">
      <c r="B74" s="413"/>
      <c r="C74" s="95"/>
      <c r="D74" s="412"/>
      <c r="E74" s="411"/>
      <c r="F74" s="410"/>
      <c r="G74" s="410"/>
      <c r="H74" s="410"/>
      <c r="I74" s="187"/>
      <c r="J74" s="74"/>
    </row>
    <row r="75" spans="2:10" ht="14.4" thickBot="1">
      <c r="B75" s="73"/>
      <c r="C75" s="91"/>
      <c r="D75" s="409"/>
      <c r="E75" s="409"/>
      <c r="F75" s="409"/>
      <c r="G75" s="409"/>
      <c r="H75" s="409"/>
      <c r="I75" s="72"/>
      <c r="J75" s="90"/>
    </row>
    <row r="77" spans="2:10" ht="18.75" customHeight="1" thickBot="1">
      <c r="B77" s="89" t="s">
        <v>125</v>
      </c>
    </row>
    <row r="78" spans="2:10">
      <c r="B78" s="88"/>
      <c r="C78" s="85"/>
      <c r="D78" s="408"/>
      <c r="E78" s="408"/>
      <c r="F78" s="408"/>
      <c r="G78" s="408"/>
      <c r="H78" s="408"/>
      <c r="I78" s="85"/>
      <c r="J78" s="83"/>
    </row>
    <row r="79" spans="2:10" ht="12.75" customHeight="1">
      <c r="B79" s="78" t="s">
        <v>189</v>
      </c>
      <c r="C79" s="77" t="s">
        <v>151</v>
      </c>
      <c r="D79" s="184">
        <f>0.25</f>
        <v>0.25</v>
      </c>
      <c r="E79" s="184">
        <v>0.23</v>
      </c>
      <c r="F79" s="184">
        <v>0.21</v>
      </c>
      <c r="G79" s="184">
        <v>0.2</v>
      </c>
      <c r="H79" s="184"/>
      <c r="I79" s="187" t="s">
        <v>648</v>
      </c>
      <c r="J79" s="74"/>
    </row>
    <row r="80" spans="2:10">
      <c r="B80" s="78"/>
      <c r="C80" s="77"/>
      <c r="D80" s="82"/>
      <c r="E80" s="81"/>
      <c r="F80" s="81"/>
      <c r="G80" s="81"/>
      <c r="H80" s="81"/>
      <c r="I80" s="187"/>
      <c r="J80" s="74"/>
    </row>
    <row r="81" spans="2:10">
      <c r="B81" s="78"/>
      <c r="C81" s="77"/>
      <c r="D81" s="406"/>
      <c r="E81" s="406"/>
      <c r="F81" s="406"/>
      <c r="G81" s="406"/>
      <c r="H81" s="406"/>
      <c r="I81" s="349"/>
      <c r="J81" s="74"/>
    </row>
    <row r="82" spans="2:10" ht="12.75" customHeight="1">
      <c r="B82" s="78" t="s">
        <v>188</v>
      </c>
      <c r="C82" s="77" t="s">
        <v>184</v>
      </c>
      <c r="D82" s="406">
        <v>2.1</v>
      </c>
      <c r="E82" s="159">
        <f t="shared" ref="E82:G84" si="3">D82</f>
        <v>2.1</v>
      </c>
      <c r="F82" s="159">
        <f t="shared" si="3"/>
        <v>2.1</v>
      </c>
      <c r="G82" s="159">
        <f t="shared" si="3"/>
        <v>2.1</v>
      </c>
      <c r="H82" s="406"/>
      <c r="I82" s="349" t="s">
        <v>651</v>
      </c>
      <c r="J82" s="74"/>
    </row>
    <row r="83" spans="2:10">
      <c r="B83" s="78" t="s">
        <v>186</v>
      </c>
      <c r="C83" s="77" t="s">
        <v>184</v>
      </c>
      <c r="D83" s="406">
        <v>0.66</v>
      </c>
      <c r="E83" s="159">
        <f t="shared" si="3"/>
        <v>0.66</v>
      </c>
      <c r="F83" s="159">
        <f t="shared" si="3"/>
        <v>0.66</v>
      </c>
      <c r="G83" s="159">
        <f t="shared" si="3"/>
        <v>0.66</v>
      </c>
      <c r="H83" s="406"/>
      <c r="I83" s="349" t="s">
        <v>651</v>
      </c>
      <c r="J83" s="74"/>
    </row>
    <row r="84" spans="2:10">
      <c r="B84" s="78" t="s">
        <v>115</v>
      </c>
      <c r="C84" s="77" t="s">
        <v>184</v>
      </c>
      <c r="D84" s="406">
        <v>5</v>
      </c>
      <c r="E84" s="159">
        <f t="shared" si="3"/>
        <v>5</v>
      </c>
      <c r="F84" s="159">
        <f t="shared" si="3"/>
        <v>5</v>
      </c>
      <c r="G84" s="159">
        <f t="shared" si="3"/>
        <v>5</v>
      </c>
      <c r="H84" s="406"/>
      <c r="I84" s="349" t="s">
        <v>651</v>
      </c>
      <c r="J84" s="74"/>
    </row>
    <row r="85" spans="2:10">
      <c r="B85" s="78" t="s">
        <v>185</v>
      </c>
      <c r="C85" s="77" t="s">
        <v>184</v>
      </c>
      <c r="D85" s="406">
        <v>0.1</v>
      </c>
      <c r="E85" s="159">
        <f>D85*0.05</f>
        <v>5.000000000000001E-3</v>
      </c>
      <c r="F85" s="159">
        <f>E85</f>
        <v>5.000000000000001E-3</v>
      </c>
      <c r="G85" s="159">
        <f>F85</f>
        <v>5.000000000000001E-3</v>
      </c>
      <c r="H85" s="406"/>
      <c r="I85" s="349" t="s">
        <v>651</v>
      </c>
      <c r="J85" s="74" t="s">
        <v>183</v>
      </c>
    </row>
    <row r="86" spans="2:10" ht="14.4" thickBot="1">
      <c r="B86" s="73"/>
      <c r="C86" s="72"/>
      <c r="D86" s="72"/>
      <c r="E86" s="72"/>
      <c r="F86" s="72"/>
      <c r="G86" s="72"/>
      <c r="H86" s="72"/>
      <c r="I86" s="72"/>
      <c r="J86" s="70"/>
    </row>
    <row r="87" spans="2:10" ht="13.5" customHeight="1">
      <c r="F87" s="68"/>
      <c r="G87" s="68"/>
      <c r="H87" s="68"/>
    </row>
    <row r="88" spans="2:10" ht="12.75" customHeight="1">
      <c r="B88" s="382"/>
      <c r="C88" s="382"/>
      <c r="D88" s="449"/>
      <c r="E88" s="382"/>
      <c r="F88" s="448"/>
      <c r="G88" s="448"/>
      <c r="H88" s="448"/>
      <c r="I88" s="382"/>
      <c r="J88" s="382"/>
    </row>
    <row r="89" spans="2:10" ht="12.75" customHeight="1">
      <c r="B89" s="382"/>
      <c r="C89" s="382"/>
      <c r="D89" s="382"/>
      <c r="E89" s="382"/>
      <c r="F89" s="448"/>
      <c r="G89" s="448"/>
      <c r="H89" s="448"/>
      <c r="I89" s="382"/>
      <c r="J89" s="382"/>
    </row>
    <row r="90" spans="2:10" ht="12.75" customHeight="1">
      <c r="B90" s="450"/>
      <c r="C90" s="450"/>
      <c r="D90" s="450"/>
      <c r="E90" s="450"/>
      <c r="F90" s="450"/>
      <c r="G90" s="450"/>
      <c r="H90" s="450"/>
      <c r="I90" s="450"/>
      <c r="J90" s="450"/>
    </row>
    <row r="91" spans="2:10" ht="12.75" customHeight="1">
      <c r="B91" s="450"/>
      <c r="C91" s="450"/>
      <c r="D91" s="450"/>
      <c r="E91" s="450"/>
      <c r="F91" s="450"/>
      <c r="G91" s="450"/>
      <c r="H91" s="450"/>
      <c r="I91" s="450"/>
      <c r="J91" s="450"/>
    </row>
    <row r="92" spans="2:10" ht="12.75" customHeight="1">
      <c r="B92" s="450"/>
      <c r="C92" s="450"/>
      <c r="D92" s="450"/>
      <c r="E92" s="450"/>
      <c r="F92" s="450"/>
      <c r="G92" s="450"/>
      <c r="H92" s="450"/>
      <c r="I92" s="450"/>
      <c r="J92" s="450"/>
    </row>
    <row r="93" spans="2:10" ht="12.75" customHeight="1">
      <c r="B93" s="382"/>
      <c r="C93" s="450"/>
      <c r="D93" s="450"/>
      <c r="E93" s="450"/>
      <c r="F93" s="450"/>
      <c r="G93" s="450"/>
      <c r="H93" s="451"/>
      <c r="I93" s="450"/>
      <c r="J93" s="450"/>
    </row>
    <row r="94" spans="2:10" ht="12.75" customHeight="1">
      <c r="B94" s="450"/>
      <c r="C94" s="450"/>
      <c r="D94" s="450"/>
      <c r="E94" s="450"/>
      <c r="F94" s="450"/>
      <c r="G94" s="450"/>
      <c r="H94" s="450"/>
      <c r="I94" s="450"/>
      <c r="J94" s="450"/>
    </row>
    <row r="95" spans="2:10" ht="12.75" customHeight="1">
      <c r="B95" s="382"/>
      <c r="C95" s="450"/>
      <c r="D95" s="450"/>
      <c r="E95" s="450"/>
      <c r="F95" s="450"/>
      <c r="G95" s="450"/>
      <c r="H95" s="450"/>
      <c r="I95" s="450"/>
      <c r="J95" s="450"/>
    </row>
    <row r="96" spans="2:10">
      <c r="B96" s="450"/>
      <c r="C96" s="450"/>
      <c r="D96" s="450"/>
      <c r="E96" s="450"/>
      <c r="F96" s="450"/>
      <c r="G96" s="450"/>
      <c r="H96" s="450"/>
      <c r="I96" s="450"/>
      <c r="J96" s="450"/>
    </row>
    <row r="97" spans="2:10">
      <c r="B97" s="450"/>
      <c r="C97" s="450"/>
      <c r="D97" s="450"/>
      <c r="E97" s="450"/>
      <c r="F97" s="450"/>
      <c r="G97" s="450"/>
      <c r="H97" s="450"/>
      <c r="I97" s="450"/>
      <c r="J97" s="450"/>
    </row>
    <row r="98" spans="2:10" ht="12.75" customHeight="1">
      <c r="B98" s="450"/>
      <c r="C98" s="450"/>
      <c r="D98" s="450"/>
      <c r="E98" s="450"/>
      <c r="F98" s="450"/>
      <c r="G98" s="450"/>
      <c r="H98" s="450"/>
      <c r="I98" s="450"/>
      <c r="J98" s="450"/>
    </row>
    <row r="99" spans="2:10">
      <c r="B99" s="450"/>
      <c r="C99" s="450"/>
      <c r="D99" s="450"/>
      <c r="E99" s="450"/>
      <c r="F99" s="450"/>
      <c r="G99" s="450"/>
      <c r="H99" s="450"/>
      <c r="I99" s="450"/>
      <c r="J99" s="450"/>
    </row>
    <row r="100" spans="2:10">
      <c r="B100" s="382"/>
      <c r="C100" s="382"/>
      <c r="D100" s="382"/>
      <c r="E100" s="382"/>
      <c r="F100" s="382"/>
      <c r="G100" s="382"/>
      <c r="H100" s="448"/>
      <c r="I100" s="382"/>
      <c r="J100" s="382"/>
    </row>
    <row r="101" spans="2:10">
      <c r="B101" s="382"/>
      <c r="C101" s="382"/>
      <c r="D101" s="449"/>
      <c r="E101" s="382"/>
      <c r="F101" s="382"/>
      <c r="G101" s="382"/>
      <c r="H101" s="448"/>
      <c r="I101" s="382"/>
      <c r="J101" s="382"/>
    </row>
    <row r="102" spans="2:10">
      <c r="B102" s="382"/>
      <c r="C102" s="382"/>
      <c r="D102" s="382"/>
      <c r="E102" s="382"/>
      <c r="F102" s="382"/>
      <c r="G102" s="382"/>
      <c r="H102" s="382"/>
      <c r="I102" s="447"/>
      <c r="J102" s="382"/>
    </row>
    <row r="103" spans="2:10">
      <c r="I103" s="66"/>
    </row>
    <row r="104" spans="2:10" ht="12.75" customHeight="1"/>
    <row r="105" spans="2:10" ht="12.75" customHeight="1"/>
    <row r="107" spans="2:10" ht="12.75" customHeight="1"/>
    <row r="109" spans="2:10" ht="12.75" customHeight="1"/>
    <row r="112" spans="2:10" ht="12.75" customHeight="1"/>
    <row r="114" ht="12.75" customHeight="1"/>
  </sheetData>
  <mergeCells count="2">
    <mergeCell ref="B12:N13"/>
    <mergeCell ref="B14:N1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'C:\Users\B003920\Desktop\[Kopi af alternativ_drivmiddelmodel_3.0_2.xlsm]Sheet1'!#REF!</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rgb="FF002060"/>
    <pageSetUpPr fitToPage="1"/>
  </sheetPr>
  <dimension ref="B1:R105"/>
  <sheetViews>
    <sheetView zoomScale="80" zoomScaleNormal="80" workbookViewId="0">
      <selection activeCell="G37" sqref="G37"/>
    </sheetView>
  </sheetViews>
  <sheetFormatPr defaultColWidth="8.88671875" defaultRowHeight="13.8"/>
  <cols>
    <col min="1" max="1" width="2.88671875" style="65" customWidth="1"/>
    <col min="2" max="2" width="26.88671875" style="65" customWidth="1"/>
    <col min="3" max="3" width="15" style="65" customWidth="1"/>
    <col min="4" max="7" width="14.5546875" style="65" customWidth="1"/>
    <col min="8" max="8" width="15.88671875" style="65" customWidth="1"/>
    <col min="9" max="9" width="10.88671875" style="454" customWidth="1"/>
    <col min="10" max="10" width="45.44140625" style="65" customWidth="1"/>
    <col min="11" max="11" width="10.88671875" style="65" bestFit="1" customWidth="1"/>
    <col min="12" max="12" width="9.33203125" style="65" bestFit="1" customWidth="1"/>
    <col min="13" max="13" width="30.6640625" style="65" bestFit="1" customWidth="1"/>
    <col min="14" max="14" width="8.88671875" style="65"/>
    <col min="15" max="15" width="37.88671875" style="65" customWidth="1"/>
    <col min="16" max="17" width="8.88671875" style="65"/>
    <col min="18" max="18" width="12.109375" style="65" customWidth="1"/>
    <col min="19" max="16384" width="8.88671875" style="65"/>
  </cols>
  <sheetData>
    <row r="1" spans="2:18" s="62" customFormat="1" ht="21">
      <c r="B1" s="62" t="s">
        <v>216</v>
      </c>
      <c r="I1" s="477"/>
      <c r="Q1" s="62">
        <v>0</v>
      </c>
      <c r="R1" s="62">
        <v>0</v>
      </c>
    </row>
    <row r="2" spans="2:18" ht="15.6">
      <c r="B2" s="89"/>
    </row>
    <row r="4" spans="2:18" ht="14.4" thickBot="1">
      <c r="B4" s="154" t="s">
        <v>91</v>
      </c>
    </row>
    <row r="5" spans="2:18">
      <c r="B5" s="157" t="s">
        <v>201</v>
      </c>
      <c r="C5" s="85"/>
      <c r="D5" s="85"/>
      <c r="E5" s="85"/>
      <c r="F5" s="85"/>
      <c r="G5" s="85"/>
      <c r="H5" s="85"/>
      <c r="I5" s="464"/>
      <c r="J5" s="85"/>
      <c r="K5" s="85"/>
      <c r="L5" s="85"/>
      <c r="M5" s="85"/>
      <c r="N5" s="83"/>
    </row>
    <row r="6" spans="2:18" ht="12.75" customHeight="1">
      <c r="B6" s="476" t="s">
        <v>215</v>
      </c>
      <c r="C6" s="474"/>
      <c r="D6" s="474"/>
      <c r="E6" s="474"/>
      <c r="F6" s="474"/>
      <c r="G6" s="474"/>
      <c r="H6" s="474"/>
      <c r="I6" s="474"/>
      <c r="J6" s="474"/>
      <c r="K6" s="474"/>
      <c r="L6" s="474"/>
      <c r="M6" s="474"/>
      <c r="N6" s="473"/>
    </row>
    <row r="7" spans="2:18">
      <c r="B7" s="475" t="s">
        <v>214</v>
      </c>
      <c r="C7" s="474"/>
      <c r="D7" s="474"/>
      <c r="E7" s="474"/>
      <c r="F7" s="474"/>
      <c r="G7" s="474"/>
      <c r="H7" s="474"/>
      <c r="I7" s="474"/>
      <c r="J7" s="474"/>
      <c r="K7" s="474"/>
      <c r="L7" s="474"/>
      <c r="M7" s="474"/>
      <c r="N7" s="473"/>
    </row>
    <row r="8" spans="2:18" ht="12.75" customHeight="1">
      <c r="B8" s="472"/>
      <c r="C8" s="471"/>
      <c r="D8" s="471"/>
      <c r="E8" s="471"/>
      <c r="F8" s="471"/>
      <c r="G8" s="471"/>
      <c r="H8" s="471"/>
      <c r="I8" s="471"/>
      <c r="J8" s="471"/>
      <c r="K8" s="471"/>
      <c r="L8" s="471"/>
      <c r="M8" s="471"/>
      <c r="N8" s="470"/>
    </row>
    <row r="9" spans="2:18">
      <c r="B9" s="156" t="s">
        <v>232</v>
      </c>
      <c r="C9" s="61" t="s">
        <v>231</v>
      </c>
      <c r="D9" s="471"/>
      <c r="E9" s="471"/>
      <c r="F9" s="471"/>
      <c r="G9" s="471"/>
      <c r="H9" s="471"/>
      <c r="I9" s="471"/>
      <c r="J9" s="471"/>
      <c r="K9" s="471"/>
      <c r="L9" s="471"/>
      <c r="M9" s="471"/>
      <c r="N9" s="470"/>
    </row>
    <row r="10" spans="2:18">
      <c r="B10" s="472"/>
      <c r="C10" s="471"/>
      <c r="D10" s="471"/>
      <c r="E10" s="471"/>
      <c r="F10" s="471"/>
      <c r="G10" s="471"/>
      <c r="H10" s="471"/>
      <c r="I10" s="471"/>
      <c r="J10" s="471"/>
      <c r="K10" s="471"/>
      <c r="L10" s="471"/>
      <c r="M10" s="471"/>
      <c r="N10" s="470"/>
    </row>
    <row r="11" spans="2:18">
      <c r="B11" s="155" t="s">
        <v>93</v>
      </c>
      <c r="C11" s="77"/>
      <c r="D11" s="77"/>
      <c r="E11" s="77"/>
      <c r="F11" s="77"/>
      <c r="G11" s="77"/>
      <c r="H11" s="77"/>
      <c r="I11" s="458"/>
      <c r="J11" s="77"/>
      <c r="K11" s="77"/>
      <c r="L11" s="77"/>
      <c r="M11" s="77"/>
      <c r="N11" s="74"/>
    </row>
    <row r="12" spans="2:18">
      <c r="B12" s="1588" t="s">
        <v>213</v>
      </c>
      <c r="C12" s="1589"/>
      <c r="D12" s="1589"/>
      <c r="E12" s="1589"/>
      <c r="F12" s="1589"/>
      <c r="G12" s="1589"/>
      <c r="H12" s="1589"/>
      <c r="I12" s="1589"/>
      <c r="J12" s="1589"/>
      <c r="K12" s="1589"/>
      <c r="L12" s="1589"/>
      <c r="M12" s="1589"/>
      <c r="N12" s="1590"/>
    </row>
    <row r="13" spans="2:18">
      <c r="B13" s="1588"/>
      <c r="C13" s="1589"/>
      <c r="D13" s="1589"/>
      <c r="E13" s="1589"/>
      <c r="F13" s="1589"/>
      <c r="G13" s="1589"/>
      <c r="H13" s="1589"/>
      <c r="I13" s="1589"/>
      <c r="J13" s="1589"/>
      <c r="K13" s="1589"/>
      <c r="L13" s="1589"/>
      <c r="M13" s="1589"/>
      <c r="N13" s="1590"/>
    </row>
    <row r="14" spans="2:18">
      <c r="B14" s="1591" t="s">
        <v>212</v>
      </c>
      <c r="C14" s="1592"/>
      <c r="D14" s="1592"/>
      <c r="E14" s="1592"/>
      <c r="F14" s="1592"/>
      <c r="G14" s="1592"/>
      <c r="H14" s="1592"/>
      <c r="I14" s="1592"/>
      <c r="J14" s="1592"/>
      <c r="K14" s="1592"/>
      <c r="L14" s="1592"/>
      <c r="M14" s="1592"/>
      <c r="N14" s="1593"/>
    </row>
    <row r="15" spans="2:18">
      <c r="B15" s="1591"/>
      <c r="C15" s="1592"/>
      <c r="D15" s="1592"/>
      <c r="E15" s="1592"/>
      <c r="F15" s="1592"/>
      <c r="G15" s="1592"/>
      <c r="H15" s="1592"/>
      <c r="I15" s="1592"/>
      <c r="J15" s="1592"/>
      <c r="K15" s="1592"/>
      <c r="L15" s="1592"/>
      <c r="M15" s="1592"/>
      <c r="N15" s="1593"/>
    </row>
    <row r="16" spans="2:18">
      <c r="B16" s="128"/>
      <c r="C16" s="77"/>
      <c r="D16" s="77"/>
      <c r="E16" s="77"/>
      <c r="F16" s="77"/>
      <c r="G16" s="77"/>
      <c r="H16" s="77"/>
      <c r="I16" s="458"/>
      <c r="J16" s="77"/>
      <c r="K16" s="77"/>
      <c r="L16" s="77"/>
      <c r="M16" s="77"/>
      <c r="N16" s="74"/>
    </row>
    <row r="17" spans="2:14" ht="14.4" thickBot="1">
      <c r="B17" s="73"/>
      <c r="C17" s="72"/>
      <c r="D17" s="72"/>
      <c r="E17" s="72"/>
      <c r="F17" s="72"/>
      <c r="G17" s="72"/>
      <c r="H17" s="72"/>
      <c r="I17" s="457"/>
      <c r="J17" s="72"/>
      <c r="K17" s="72"/>
      <c r="L17" s="72"/>
      <c r="M17" s="72"/>
      <c r="N17" s="90"/>
    </row>
    <row r="19" spans="2:14" ht="14.4" thickBot="1">
      <c r="B19" s="154" t="s">
        <v>95</v>
      </c>
      <c r="E19" s="153"/>
    </row>
    <row r="20" spans="2:14" ht="12.75" customHeight="1">
      <c r="B20" s="88"/>
      <c r="C20" s="110"/>
      <c r="D20" s="168"/>
      <c r="E20" s="85"/>
      <c r="F20" s="85"/>
      <c r="G20" s="85"/>
      <c r="H20" s="85"/>
      <c r="I20" s="464" t="s">
        <v>96</v>
      </c>
      <c r="J20" s="83" t="s">
        <v>97</v>
      </c>
    </row>
    <row r="21" spans="2:14">
      <c r="B21" s="109"/>
      <c r="C21" s="108" t="s">
        <v>98</v>
      </c>
      <c r="D21" s="107">
        <v>2015</v>
      </c>
      <c r="E21" s="106">
        <v>2020</v>
      </c>
      <c r="F21" s="106">
        <v>2035</v>
      </c>
      <c r="G21" s="106">
        <v>2050</v>
      </c>
      <c r="H21" s="106" t="s">
        <v>99</v>
      </c>
      <c r="I21" s="463"/>
      <c r="J21" s="104"/>
    </row>
    <row r="22" spans="2:14">
      <c r="B22" s="128" t="s">
        <v>100</v>
      </c>
      <c r="C22" s="118"/>
      <c r="D22" s="140"/>
      <c r="E22" s="125"/>
      <c r="F22" s="125"/>
      <c r="G22" s="125"/>
      <c r="H22" s="151"/>
      <c r="I22" s="458"/>
      <c r="J22" s="74"/>
    </row>
    <row r="23" spans="2:14">
      <c r="B23" s="145" t="s">
        <v>101</v>
      </c>
      <c r="C23" s="118" t="s">
        <v>197</v>
      </c>
      <c r="D23" s="469">
        <f>D67/D78</f>
        <v>0.64285714285714279</v>
      </c>
      <c r="E23" s="469">
        <f>E67/E78</f>
        <v>0.67164179104477606</v>
      </c>
      <c r="F23" s="469">
        <f>F67/F78</f>
        <v>0.74545454545454548</v>
      </c>
      <c r="G23" s="469">
        <f>G67/G78</f>
        <v>0.77083333333333326</v>
      </c>
      <c r="H23" s="147"/>
      <c r="I23" s="465" t="s">
        <v>648</v>
      </c>
      <c r="J23" s="74"/>
    </row>
    <row r="24" spans="2:14">
      <c r="B24" s="145" t="s">
        <v>102</v>
      </c>
      <c r="C24" s="118" t="s">
        <v>197</v>
      </c>
      <c r="D24" s="425">
        <f>D23</f>
        <v>0.64285714285714279</v>
      </c>
      <c r="E24" s="425">
        <f>E23</f>
        <v>0.67164179104477606</v>
      </c>
      <c r="F24" s="425">
        <f>F23</f>
        <v>0.74545454545454548</v>
      </c>
      <c r="G24" s="425">
        <f>G23</f>
        <v>0.77083333333333326</v>
      </c>
      <c r="H24" s="147"/>
      <c r="I24" s="465" t="s">
        <v>648</v>
      </c>
      <c r="J24" s="74"/>
    </row>
    <row r="25" spans="2:14">
      <c r="B25" s="145" t="s">
        <v>196</v>
      </c>
      <c r="C25" s="118" t="s">
        <v>104</v>
      </c>
      <c r="D25" s="425">
        <f>D78</f>
        <v>7.0000000000000007E-2</v>
      </c>
      <c r="E25" s="425">
        <f>E78</f>
        <v>6.7000000000000004E-2</v>
      </c>
      <c r="F25" s="425">
        <f>F78</f>
        <v>5.5E-2</v>
      </c>
      <c r="G25" s="425">
        <f>G78</f>
        <v>4.8000000000000001E-2</v>
      </c>
      <c r="H25" s="142"/>
      <c r="I25" s="465" t="s">
        <v>648</v>
      </c>
      <c r="J25" s="74"/>
    </row>
    <row r="26" spans="2:14">
      <c r="B26" s="145" t="s">
        <v>195</v>
      </c>
      <c r="C26" s="118" t="s">
        <v>104</v>
      </c>
      <c r="D26" s="468">
        <f>D25*205</f>
        <v>14.350000000000001</v>
      </c>
      <c r="E26" s="468">
        <f t="shared" ref="E26:G26" si="0">E25*205</f>
        <v>13.735000000000001</v>
      </c>
      <c r="F26" s="468">
        <f t="shared" si="0"/>
        <v>11.275</v>
      </c>
      <c r="G26" s="468">
        <f t="shared" si="0"/>
        <v>9.84</v>
      </c>
      <c r="H26" s="142"/>
      <c r="I26" s="465"/>
      <c r="J26" s="74"/>
    </row>
    <row r="27" spans="2:14">
      <c r="B27" s="133" t="s">
        <v>106</v>
      </c>
      <c r="C27" s="118" t="s">
        <v>107</v>
      </c>
      <c r="D27" s="140">
        <v>30</v>
      </c>
      <c r="E27" s="125">
        <v>30</v>
      </c>
      <c r="F27" s="125">
        <v>30</v>
      </c>
      <c r="G27" s="125">
        <v>30</v>
      </c>
      <c r="H27" s="125"/>
      <c r="I27" s="458" t="s">
        <v>649</v>
      </c>
      <c r="J27" s="74" t="s">
        <v>211</v>
      </c>
    </row>
    <row r="28" spans="2:14">
      <c r="B28" s="133" t="s">
        <v>108</v>
      </c>
      <c r="C28" s="118" t="s">
        <v>109</v>
      </c>
      <c r="D28" s="177">
        <f>+D71</f>
        <v>11.25</v>
      </c>
      <c r="E28" s="139">
        <f>+E71</f>
        <v>11.25</v>
      </c>
      <c r="F28" s="139">
        <f>+F71</f>
        <v>10.25</v>
      </c>
      <c r="G28" s="139">
        <f>+G71</f>
        <v>9.25</v>
      </c>
      <c r="H28" s="138"/>
      <c r="I28" s="465"/>
      <c r="J28" s="74" t="s">
        <v>210</v>
      </c>
    </row>
    <row r="29" spans="2:14">
      <c r="B29" s="78"/>
      <c r="C29" s="137"/>
      <c r="D29" s="134"/>
      <c r="E29" s="98"/>
      <c r="F29" s="98"/>
      <c r="G29" s="98"/>
      <c r="H29" s="98"/>
      <c r="I29" s="467"/>
      <c r="J29" s="74"/>
    </row>
    <row r="30" spans="2:14">
      <c r="B30" s="128" t="s">
        <v>110</v>
      </c>
      <c r="C30" s="118"/>
      <c r="D30" s="134"/>
      <c r="E30" s="98"/>
      <c r="F30" s="98"/>
      <c r="G30" s="98"/>
      <c r="H30" s="98"/>
      <c r="I30" s="467"/>
      <c r="J30" s="74"/>
    </row>
    <row r="31" spans="2:14">
      <c r="B31" s="133" t="s">
        <v>111</v>
      </c>
      <c r="C31" s="118" t="s">
        <v>15</v>
      </c>
      <c r="D31" s="136">
        <v>248530.75873385544</v>
      </c>
      <c r="E31" s="136">
        <v>248530.75873385544</v>
      </c>
      <c r="F31" s="136">
        <v>248530.75873385544</v>
      </c>
      <c r="G31" s="136">
        <v>248530.75873385544</v>
      </c>
      <c r="H31" s="135">
        <v>2015</v>
      </c>
      <c r="I31" s="466"/>
      <c r="J31" s="74"/>
    </row>
    <row r="32" spans="2:14">
      <c r="B32" s="78" t="s">
        <v>16</v>
      </c>
      <c r="C32" s="118" t="s">
        <v>17</v>
      </c>
      <c r="D32" s="136">
        <v>4490.3208069409429</v>
      </c>
      <c r="E32" s="136">
        <v>4490.3208069409429</v>
      </c>
      <c r="F32" s="136">
        <v>4928.4008856668888</v>
      </c>
      <c r="G32" s="136">
        <v>5461.2009814146613</v>
      </c>
      <c r="H32" s="135">
        <v>2015</v>
      </c>
      <c r="I32" s="466"/>
      <c r="J32" s="74"/>
    </row>
    <row r="33" spans="2:10">
      <c r="B33" s="129" t="s">
        <v>18</v>
      </c>
      <c r="C33" s="118" t="s">
        <v>17</v>
      </c>
      <c r="D33" s="136">
        <v>1437.0917793090916</v>
      </c>
      <c r="E33" s="136">
        <v>1437.0917793090916</v>
      </c>
      <c r="F33" s="136">
        <v>1577.2958553392468</v>
      </c>
      <c r="G33" s="136">
        <v>1747.8143261867331</v>
      </c>
      <c r="H33" s="135">
        <v>2015</v>
      </c>
      <c r="I33" s="466"/>
      <c r="J33" s="74"/>
    </row>
    <row r="34" spans="2:10">
      <c r="B34" s="129" t="s">
        <v>19</v>
      </c>
      <c r="C34" s="118" t="s">
        <v>17</v>
      </c>
      <c r="D34" s="136">
        <v>3053.2290276318513</v>
      </c>
      <c r="E34" s="136">
        <v>3053.2290276318513</v>
      </c>
      <c r="F34" s="136">
        <v>3351.1050303276415</v>
      </c>
      <c r="G34" s="136">
        <v>3713.3866552279273</v>
      </c>
      <c r="H34" s="135">
        <v>2015</v>
      </c>
      <c r="I34" s="466"/>
      <c r="J34" s="74"/>
    </row>
    <row r="35" spans="2:10">
      <c r="B35" s="129"/>
      <c r="C35" s="118"/>
      <c r="D35" s="136"/>
      <c r="E35" s="136"/>
      <c r="F35" s="136"/>
      <c r="G35" s="136"/>
      <c r="H35" s="135"/>
      <c r="I35" s="466"/>
      <c r="J35" s="74"/>
    </row>
    <row r="36" spans="2:10">
      <c r="B36" s="129" t="s">
        <v>112</v>
      </c>
      <c r="C36" s="118" t="s">
        <v>17</v>
      </c>
      <c r="D36" s="136">
        <v>0</v>
      </c>
      <c r="E36" s="136">
        <v>0</v>
      </c>
      <c r="F36" s="136">
        <v>0</v>
      </c>
      <c r="G36" s="136">
        <v>0</v>
      </c>
      <c r="H36" s="135">
        <v>2015</v>
      </c>
      <c r="I36" s="466"/>
      <c r="J36" s="74"/>
    </row>
    <row r="37" spans="2:10">
      <c r="B37" s="128"/>
      <c r="C37" s="118"/>
      <c r="D37" s="134"/>
      <c r="E37" s="98"/>
      <c r="F37" s="98"/>
      <c r="G37" s="98"/>
      <c r="H37" s="98"/>
      <c r="I37" s="466"/>
      <c r="J37" s="74"/>
    </row>
    <row r="38" spans="2:10">
      <c r="B38" s="133" t="s">
        <v>111</v>
      </c>
      <c r="C38" s="118" t="s">
        <v>15</v>
      </c>
      <c r="D38" s="176">
        <f>53000000/D70</f>
        <v>233480.17621145374</v>
      </c>
      <c r="E38" s="176">
        <f>53000000/E70</f>
        <v>233480.17621145374</v>
      </c>
      <c r="F38" s="176">
        <f>53000000/F70</f>
        <v>233480.17621145374</v>
      </c>
      <c r="G38" s="176">
        <f>53000000/G70</f>
        <v>233480.17621145374</v>
      </c>
      <c r="H38" s="130">
        <v>2011</v>
      </c>
      <c r="I38" s="349" t="s">
        <v>650</v>
      </c>
      <c r="J38" s="74" t="s">
        <v>425</v>
      </c>
    </row>
    <row r="39" spans="2:10">
      <c r="B39" s="78" t="s">
        <v>16</v>
      </c>
      <c r="C39" s="118" t="s">
        <v>17</v>
      </c>
      <c r="D39" s="175">
        <f>SUM(D40:D43)</f>
        <v>4218.3949326498914</v>
      </c>
      <c r="E39" s="126">
        <f>SUM(E40:E43)</f>
        <v>4218.3949326498914</v>
      </c>
      <c r="F39" s="126">
        <f>SUM(F40:F43)</f>
        <v>4629.9456577864657</v>
      </c>
      <c r="G39" s="126">
        <f>SUM(G40:G43)</f>
        <v>5130.4803234931114</v>
      </c>
      <c r="H39" s="130">
        <v>2011</v>
      </c>
      <c r="I39" s="465"/>
      <c r="J39" s="74"/>
    </row>
    <row r="40" spans="2:10">
      <c r="B40" s="129" t="s">
        <v>18</v>
      </c>
      <c r="C40" s="118" t="s">
        <v>17</v>
      </c>
      <c r="D40" s="424">
        <v>1350.0640466978596</v>
      </c>
      <c r="E40" s="424">
        <v>1350.0640466978596</v>
      </c>
      <c r="F40" s="424">
        <v>1481.7776122293581</v>
      </c>
      <c r="G40" s="424">
        <v>1641.9697865244239</v>
      </c>
      <c r="H40" s="130">
        <v>2011</v>
      </c>
      <c r="I40" s="465"/>
      <c r="J40" s="74"/>
    </row>
    <row r="41" spans="2:10">
      <c r="B41" s="129" t="s">
        <v>19</v>
      </c>
      <c r="C41" s="118" t="s">
        <v>17</v>
      </c>
      <c r="D41" s="174">
        <f>D72</f>
        <v>2868.3308859520316</v>
      </c>
      <c r="E41" s="174">
        <f>E72</f>
        <v>2868.3308859520316</v>
      </c>
      <c r="F41" s="174">
        <f>F72</f>
        <v>3148.1680455571077</v>
      </c>
      <c r="G41" s="174">
        <f>G72</f>
        <v>3488.5105369686871</v>
      </c>
      <c r="H41" s="130">
        <v>2011</v>
      </c>
      <c r="I41" s="349" t="s">
        <v>583</v>
      </c>
      <c r="J41" s="74" t="s">
        <v>203</v>
      </c>
    </row>
    <row r="42" spans="2:10">
      <c r="B42" s="129"/>
      <c r="C42" s="118"/>
      <c r="D42" s="134"/>
      <c r="E42" s="98"/>
      <c r="F42" s="98"/>
      <c r="G42" s="98"/>
      <c r="H42" s="130"/>
      <c r="I42" s="465"/>
      <c r="J42" s="74"/>
    </row>
    <row r="43" spans="2:10">
      <c r="B43" s="129" t="s">
        <v>112</v>
      </c>
      <c r="C43" s="118" t="s">
        <v>17</v>
      </c>
      <c r="D43" s="140">
        <v>0</v>
      </c>
      <c r="E43" s="125">
        <v>0</v>
      </c>
      <c r="F43" s="125">
        <v>0</v>
      </c>
      <c r="G43" s="125">
        <v>0</v>
      </c>
      <c r="H43" s="130">
        <v>2011</v>
      </c>
      <c r="I43" s="465"/>
      <c r="J43" s="74"/>
    </row>
    <row r="44" spans="2:10">
      <c r="B44" s="129"/>
      <c r="C44" s="118"/>
      <c r="D44" s="134"/>
      <c r="E44" s="98"/>
      <c r="F44" s="98"/>
      <c r="G44" s="98"/>
      <c r="H44" s="98"/>
      <c r="I44" s="465"/>
      <c r="J44" s="74"/>
    </row>
    <row r="45" spans="2:10">
      <c r="B45" s="128" t="s">
        <v>209</v>
      </c>
      <c r="C45" s="118"/>
      <c r="D45" s="134"/>
      <c r="E45" s="98"/>
      <c r="F45" s="98"/>
      <c r="G45" s="98"/>
      <c r="H45" s="127"/>
      <c r="I45" s="465"/>
      <c r="J45" s="74"/>
    </row>
    <row r="46" spans="2:10">
      <c r="B46" s="123" t="s">
        <v>30</v>
      </c>
      <c r="C46" s="118"/>
      <c r="D46" s="134"/>
      <c r="E46" s="98"/>
      <c r="F46" s="98"/>
      <c r="G46" s="98"/>
      <c r="H46" s="126"/>
      <c r="I46" s="465"/>
      <c r="J46" s="74"/>
    </row>
    <row r="47" spans="2:10">
      <c r="B47" s="78" t="s">
        <v>20</v>
      </c>
      <c r="C47" s="118" t="s">
        <v>139</v>
      </c>
      <c r="D47" s="421"/>
      <c r="E47" s="421"/>
      <c r="F47" s="421"/>
      <c r="G47" s="421"/>
      <c r="H47" s="126"/>
      <c r="I47" s="465"/>
      <c r="J47" s="1594" t="s">
        <v>207</v>
      </c>
    </row>
    <row r="48" spans="2:10">
      <c r="B48" s="78" t="s">
        <v>21</v>
      </c>
      <c r="C48" s="118" t="s">
        <v>139</v>
      </c>
      <c r="D48" s="305"/>
      <c r="E48" s="305"/>
      <c r="F48" s="305"/>
      <c r="G48" s="305"/>
      <c r="H48" s="120"/>
      <c r="I48" s="349"/>
      <c r="J48" s="1594"/>
    </row>
    <row r="49" spans="2:10">
      <c r="B49" s="78" t="s">
        <v>22</v>
      </c>
      <c r="C49" s="118" t="s">
        <v>139</v>
      </c>
      <c r="D49" s="305"/>
      <c r="E49" s="305"/>
      <c r="F49" s="305"/>
      <c r="G49" s="305"/>
      <c r="H49" s="98"/>
      <c r="I49" s="349"/>
      <c r="J49" s="74"/>
    </row>
    <row r="50" spans="2:10">
      <c r="B50" s="78" t="s">
        <v>23</v>
      </c>
      <c r="C50" s="118" t="s">
        <v>139</v>
      </c>
      <c r="D50" s="305"/>
      <c r="E50" s="305"/>
      <c r="F50" s="305"/>
      <c r="G50" s="305"/>
      <c r="H50" s="125"/>
      <c r="I50" s="349"/>
      <c r="J50" s="74"/>
    </row>
    <row r="51" spans="2:10">
      <c r="B51" s="78" t="s">
        <v>115</v>
      </c>
      <c r="C51" s="118" t="s">
        <v>139</v>
      </c>
      <c r="D51" s="305">
        <f t="shared" ref="D51:G52" si="1">D83/$D$78</f>
        <v>0</v>
      </c>
      <c r="E51" s="305">
        <f t="shared" si="1"/>
        <v>0</v>
      </c>
      <c r="F51" s="305">
        <f t="shared" si="1"/>
        <v>0</v>
      </c>
      <c r="G51" s="305">
        <f t="shared" si="1"/>
        <v>0</v>
      </c>
      <c r="H51" s="98"/>
      <c r="I51" s="349"/>
      <c r="J51" s="74"/>
    </row>
    <row r="52" spans="2:10">
      <c r="B52" s="78" t="s">
        <v>24</v>
      </c>
      <c r="C52" s="118" t="s">
        <v>139</v>
      </c>
      <c r="D52" s="305">
        <f t="shared" si="1"/>
        <v>0</v>
      </c>
      <c r="E52" s="305">
        <f t="shared" si="1"/>
        <v>0</v>
      </c>
      <c r="F52" s="305">
        <f t="shared" si="1"/>
        <v>0</v>
      </c>
      <c r="G52" s="305">
        <f t="shared" si="1"/>
        <v>0</v>
      </c>
      <c r="H52" s="98"/>
      <c r="I52" s="349"/>
      <c r="J52" s="74"/>
    </row>
    <row r="53" spans="2:10">
      <c r="B53" s="78"/>
      <c r="C53" s="118"/>
      <c r="D53" s="305"/>
      <c r="E53" s="305"/>
      <c r="F53" s="305"/>
      <c r="G53" s="305"/>
      <c r="H53" s="98"/>
      <c r="I53" s="349"/>
      <c r="J53" s="74"/>
    </row>
    <row r="54" spans="2:10">
      <c r="B54" s="123" t="s">
        <v>31</v>
      </c>
      <c r="C54" s="118"/>
      <c r="D54" s="305"/>
      <c r="E54" s="305"/>
      <c r="F54" s="305"/>
      <c r="G54" s="305"/>
      <c r="H54" s="120"/>
      <c r="I54" s="349"/>
      <c r="J54" s="74"/>
    </row>
    <row r="55" spans="2:10">
      <c r="B55" s="78" t="s">
        <v>20</v>
      </c>
      <c r="C55" s="118" t="s">
        <v>139</v>
      </c>
      <c r="D55" s="421"/>
      <c r="E55" s="421"/>
      <c r="F55" s="421"/>
      <c r="G55" s="421"/>
      <c r="H55" s="197"/>
      <c r="I55" s="349"/>
      <c r="J55" s="74"/>
    </row>
    <row r="56" spans="2:10">
      <c r="B56" s="78" t="s">
        <v>21</v>
      </c>
      <c r="C56" s="118" t="s">
        <v>139</v>
      </c>
      <c r="D56" s="305">
        <f t="shared" ref="D56:G60" si="2">D48</f>
        <v>0</v>
      </c>
      <c r="E56" s="305">
        <f t="shared" si="2"/>
        <v>0</v>
      </c>
      <c r="F56" s="305">
        <f t="shared" si="2"/>
        <v>0</v>
      </c>
      <c r="G56" s="305">
        <f t="shared" si="2"/>
        <v>0</v>
      </c>
      <c r="H56" s="197"/>
      <c r="I56" s="349"/>
      <c r="J56" s="74"/>
    </row>
    <row r="57" spans="2:10">
      <c r="B57" s="78" t="s">
        <v>22</v>
      </c>
      <c r="C57" s="118" t="s">
        <v>139</v>
      </c>
      <c r="D57" s="305">
        <f t="shared" si="2"/>
        <v>0</v>
      </c>
      <c r="E57" s="305">
        <f t="shared" si="2"/>
        <v>0</v>
      </c>
      <c r="F57" s="305">
        <f t="shared" si="2"/>
        <v>0</v>
      </c>
      <c r="G57" s="305">
        <f t="shared" si="2"/>
        <v>0</v>
      </c>
      <c r="H57" s="197"/>
      <c r="I57" s="349"/>
      <c r="J57" s="74"/>
    </row>
    <row r="58" spans="2:10">
      <c r="B58" s="78" t="s">
        <v>23</v>
      </c>
      <c r="C58" s="118" t="s">
        <v>139</v>
      </c>
      <c r="D58" s="305">
        <f t="shared" si="2"/>
        <v>0</v>
      </c>
      <c r="E58" s="305">
        <f t="shared" si="2"/>
        <v>0</v>
      </c>
      <c r="F58" s="305">
        <f t="shared" si="2"/>
        <v>0</v>
      </c>
      <c r="G58" s="305">
        <f t="shared" si="2"/>
        <v>0</v>
      </c>
      <c r="H58" s="197"/>
      <c r="I58" s="349"/>
      <c r="J58" s="74"/>
    </row>
    <row r="59" spans="2:10">
      <c r="B59" s="78" t="s">
        <v>115</v>
      </c>
      <c r="C59" s="118" t="s">
        <v>139</v>
      </c>
      <c r="D59" s="305">
        <f t="shared" si="2"/>
        <v>0</v>
      </c>
      <c r="E59" s="305">
        <f t="shared" si="2"/>
        <v>0</v>
      </c>
      <c r="F59" s="305">
        <f t="shared" si="2"/>
        <v>0</v>
      </c>
      <c r="G59" s="305">
        <f t="shared" si="2"/>
        <v>0</v>
      </c>
      <c r="H59" s="197"/>
      <c r="I59" s="349"/>
      <c r="J59" s="74"/>
    </row>
    <row r="60" spans="2:10">
      <c r="B60" s="78" t="s">
        <v>24</v>
      </c>
      <c r="C60" s="118" t="s">
        <v>139</v>
      </c>
      <c r="D60" s="305">
        <f t="shared" si="2"/>
        <v>0</v>
      </c>
      <c r="E60" s="305">
        <f t="shared" si="2"/>
        <v>0</v>
      </c>
      <c r="F60" s="305">
        <f t="shared" si="2"/>
        <v>0</v>
      </c>
      <c r="G60" s="305">
        <f t="shared" si="2"/>
        <v>0</v>
      </c>
      <c r="H60" s="135"/>
      <c r="I60" s="349"/>
      <c r="J60" s="74"/>
    </row>
    <row r="61" spans="2:10" ht="14.4" thickBot="1">
      <c r="B61" s="115"/>
      <c r="C61" s="114"/>
      <c r="D61" s="113"/>
      <c r="E61" s="72"/>
      <c r="F61" s="72"/>
      <c r="G61" s="72"/>
      <c r="H61" s="72"/>
      <c r="I61" s="460"/>
      <c r="J61" s="90"/>
    </row>
    <row r="64" spans="2:10" ht="16.2" thickBot="1">
      <c r="B64" s="89" t="s">
        <v>116</v>
      </c>
    </row>
    <row r="65" spans="2:10">
      <c r="B65" s="88"/>
      <c r="C65" s="110"/>
      <c r="D65" s="85"/>
      <c r="E65" s="85"/>
      <c r="F65" s="85"/>
      <c r="G65" s="85"/>
      <c r="H65" s="85"/>
      <c r="I65" s="464" t="s">
        <v>96</v>
      </c>
      <c r="J65" s="83" t="s">
        <v>97</v>
      </c>
    </row>
    <row r="66" spans="2:10">
      <c r="B66" s="109"/>
      <c r="C66" s="108" t="s">
        <v>98</v>
      </c>
      <c r="D66" s="107">
        <v>2015</v>
      </c>
      <c r="E66" s="106">
        <v>2020</v>
      </c>
      <c r="F66" s="106">
        <v>2035</v>
      </c>
      <c r="G66" s="106">
        <v>2050</v>
      </c>
      <c r="H66" s="106"/>
      <c r="I66" s="463"/>
      <c r="J66" s="104"/>
    </row>
    <row r="67" spans="2:10">
      <c r="B67" s="78" t="s">
        <v>25</v>
      </c>
      <c r="C67" s="95" t="s">
        <v>151</v>
      </c>
      <c r="D67" s="393">
        <f>0.045</f>
        <v>4.4999999999999998E-2</v>
      </c>
      <c r="E67" s="393">
        <v>4.4999999999999998E-2</v>
      </c>
      <c r="F67" s="393">
        <v>4.1000000000000002E-2</v>
      </c>
      <c r="G67" s="393">
        <v>3.6999999999999998E-2</v>
      </c>
      <c r="H67" s="359"/>
      <c r="I67" s="458" t="s">
        <v>648</v>
      </c>
      <c r="J67" s="74"/>
    </row>
    <row r="68" spans="2:10">
      <c r="B68" s="78"/>
      <c r="C68" s="95"/>
      <c r="D68" s="461"/>
      <c r="E68" s="359"/>
      <c r="F68" s="359"/>
      <c r="G68" s="359"/>
      <c r="H68" s="359"/>
      <c r="I68" s="458"/>
      <c r="J68" s="74"/>
    </row>
    <row r="69" spans="2:10">
      <c r="B69" s="78" t="s">
        <v>120</v>
      </c>
      <c r="C69" s="95" t="s">
        <v>121</v>
      </c>
      <c r="D69" s="462">
        <v>250000</v>
      </c>
      <c r="E69" s="462">
        <v>250000</v>
      </c>
      <c r="F69" s="462">
        <v>250000</v>
      </c>
      <c r="G69" s="462">
        <v>250000</v>
      </c>
      <c r="H69" s="462"/>
      <c r="I69" s="458" t="s">
        <v>649</v>
      </c>
      <c r="J69" s="74" t="s">
        <v>208</v>
      </c>
    </row>
    <row r="70" spans="2:10">
      <c r="B70" s="240" t="s">
        <v>401</v>
      </c>
      <c r="C70" s="95" t="s">
        <v>400</v>
      </c>
      <c r="D70" s="419">
        <v>227</v>
      </c>
      <c r="E70" s="419">
        <v>227</v>
      </c>
      <c r="F70" s="419">
        <v>227</v>
      </c>
      <c r="G70" s="419">
        <v>227</v>
      </c>
      <c r="H70" s="98"/>
      <c r="I70" s="458"/>
      <c r="J70" s="119"/>
    </row>
    <row r="71" spans="2:10">
      <c r="B71" s="240" t="s">
        <v>413</v>
      </c>
      <c r="C71" s="95" t="s">
        <v>109</v>
      </c>
      <c r="D71" s="417">
        <f>+D67*D69/1000</f>
        <v>11.25</v>
      </c>
      <c r="E71" s="417">
        <f>+E67*E69/1000</f>
        <v>11.25</v>
      </c>
      <c r="F71" s="417">
        <f>+F67*F69/1000</f>
        <v>10.25</v>
      </c>
      <c r="G71" s="417">
        <f>+G67*G69/1000</f>
        <v>9.25</v>
      </c>
      <c r="H71" s="77"/>
      <c r="I71" s="458"/>
      <c r="J71" s="74"/>
    </row>
    <row r="72" spans="2:10">
      <c r="B72" s="240" t="s">
        <v>412</v>
      </c>
      <c r="C72" s="95" t="s">
        <v>17</v>
      </c>
      <c r="D72" s="416">
        <f>D73*1000/(D67)</f>
        <v>2868.3308859520316</v>
      </c>
      <c r="E72" s="416">
        <f>E73*1000/(E67)</f>
        <v>2868.3308859520316</v>
      </c>
      <c r="F72" s="416">
        <f>F73*1000/(F67)</f>
        <v>3148.1680455571077</v>
      </c>
      <c r="G72" s="416">
        <f>G73*1000/(G67)</f>
        <v>3488.5105369686871</v>
      </c>
      <c r="H72" s="414"/>
      <c r="I72" s="349" t="s">
        <v>583</v>
      </c>
      <c r="J72" s="74" t="s">
        <v>203</v>
      </c>
    </row>
    <row r="73" spans="2:10">
      <c r="B73" s="240" t="s">
        <v>123</v>
      </c>
      <c r="C73" s="95" t="s">
        <v>411</v>
      </c>
      <c r="D73" s="415">
        <f>29.3/D70</f>
        <v>0.12907488986784141</v>
      </c>
      <c r="E73" s="415">
        <f>29.3/E70</f>
        <v>0.12907488986784141</v>
      </c>
      <c r="F73" s="415">
        <f>29.3/F70</f>
        <v>0.12907488986784141</v>
      </c>
      <c r="G73" s="415">
        <f>29.3/G70</f>
        <v>0.12907488986784141</v>
      </c>
      <c r="H73" s="302"/>
      <c r="I73" s="349"/>
      <c r="J73" s="74"/>
    </row>
    <row r="74" spans="2:10">
      <c r="B74" s="78"/>
      <c r="C74" s="95"/>
      <c r="D74" s="461"/>
      <c r="E74" s="97"/>
      <c r="F74" s="97"/>
      <c r="G74" s="97"/>
      <c r="H74" s="97"/>
      <c r="I74" s="458" t="s">
        <v>583</v>
      </c>
      <c r="J74" s="74"/>
    </row>
    <row r="75" spans="2:10" ht="14.4" thickBot="1">
      <c r="B75" s="73"/>
      <c r="C75" s="91"/>
      <c r="D75" s="194"/>
      <c r="E75" s="194"/>
      <c r="F75" s="194"/>
      <c r="G75" s="194"/>
      <c r="H75" s="194"/>
      <c r="I75" s="460"/>
      <c r="J75" s="90"/>
    </row>
    <row r="76" spans="2:10">
      <c r="D76" s="192"/>
      <c r="E76" s="192"/>
      <c r="F76" s="192"/>
      <c r="G76" s="192"/>
      <c r="H76" s="192"/>
    </row>
    <row r="77" spans="2:10" ht="16.2" thickBot="1">
      <c r="B77" s="89" t="s">
        <v>125</v>
      </c>
    </row>
    <row r="78" spans="2:10">
      <c r="B78" s="88" t="s">
        <v>149</v>
      </c>
      <c r="C78" s="85"/>
      <c r="D78" s="459">
        <v>7.0000000000000007E-2</v>
      </c>
      <c r="E78" s="166">
        <v>6.7000000000000004E-2</v>
      </c>
      <c r="F78" s="166">
        <v>5.5E-2</v>
      </c>
      <c r="G78" s="166">
        <v>4.8000000000000001E-2</v>
      </c>
      <c r="H78" s="166"/>
      <c r="I78" s="351" t="s">
        <v>648</v>
      </c>
      <c r="J78" s="83"/>
    </row>
    <row r="79" spans="2:10">
      <c r="B79" s="78"/>
      <c r="C79" s="77"/>
      <c r="D79" s="77"/>
      <c r="E79" s="77"/>
      <c r="F79" s="77"/>
      <c r="G79" s="77"/>
      <c r="H79" s="77"/>
      <c r="I79" s="458"/>
      <c r="J79" s="74"/>
    </row>
    <row r="80" spans="2:10">
      <c r="B80" s="78" t="s">
        <v>20</v>
      </c>
      <c r="C80" s="77" t="s">
        <v>27</v>
      </c>
      <c r="D80" s="181">
        <v>0</v>
      </c>
      <c r="E80" s="181">
        <v>0</v>
      </c>
      <c r="F80" s="181">
        <v>0</v>
      </c>
      <c r="G80" s="181">
        <v>0</v>
      </c>
      <c r="H80" s="181"/>
      <c r="I80" s="458"/>
      <c r="J80" s="74"/>
    </row>
    <row r="81" spans="2:10" ht="12.75" customHeight="1">
      <c r="B81" s="78" t="s">
        <v>21</v>
      </c>
      <c r="C81" s="77" t="s">
        <v>27</v>
      </c>
      <c r="D81" s="181">
        <v>0</v>
      </c>
      <c r="E81" s="181">
        <v>0</v>
      </c>
      <c r="F81" s="181">
        <v>0</v>
      </c>
      <c r="G81" s="181">
        <v>0</v>
      </c>
      <c r="H81" s="181"/>
      <c r="I81" s="458"/>
      <c r="J81" s="74"/>
    </row>
    <row r="82" spans="2:10" ht="12.75" customHeight="1">
      <c r="B82" s="78" t="s">
        <v>22</v>
      </c>
      <c r="C82" s="77" t="s">
        <v>27</v>
      </c>
      <c r="D82" s="181">
        <v>0</v>
      </c>
      <c r="E82" s="181">
        <v>0</v>
      </c>
      <c r="F82" s="181">
        <v>0</v>
      </c>
      <c r="G82" s="181">
        <v>0</v>
      </c>
      <c r="H82" s="181"/>
      <c r="I82" s="458"/>
      <c r="J82" s="74"/>
    </row>
    <row r="83" spans="2:10" ht="12.75" customHeight="1">
      <c r="B83" s="78" t="s">
        <v>23</v>
      </c>
      <c r="C83" s="77" t="s">
        <v>27</v>
      </c>
      <c r="D83" s="181">
        <v>0</v>
      </c>
      <c r="E83" s="181">
        <v>0</v>
      </c>
      <c r="F83" s="181">
        <v>0</v>
      </c>
      <c r="G83" s="181">
        <v>0</v>
      </c>
      <c r="H83" s="181"/>
      <c r="I83" s="458"/>
      <c r="J83" s="74"/>
    </row>
    <row r="84" spans="2:10" ht="12.75" customHeight="1">
      <c r="B84" s="78" t="s">
        <v>115</v>
      </c>
      <c r="C84" s="77" t="s">
        <v>27</v>
      </c>
      <c r="D84" s="181">
        <v>0</v>
      </c>
      <c r="E84" s="181">
        <v>0</v>
      </c>
      <c r="F84" s="181">
        <v>0</v>
      </c>
      <c r="G84" s="181">
        <v>0</v>
      </c>
      <c r="H84" s="181"/>
      <c r="I84" s="458"/>
      <c r="J84" s="74"/>
    </row>
    <row r="85" spans="2:10">
      <c r="B85" s="78" t="s">
        <v>24</v>
      </c>
      <c r="C85" s="77" t="s">
        <v>27</v>
      </c>
      <c r="D85" s="181">
        <v>0</v>
      </c>
      <c r="E85" s="181">
        <v>0</v>
      </c>
      <c r="F85" s="181">
        <v>0</v>
      </c>
      <c r="G85" s="181">
        <v>0</v>
      </c>
      <c r="H85" s="181"/>
      <c r="I85" s="458"/>
      <c r="J85" s="74"/>
    </row>
    <row r="86" spans="2:10" ht="14.4" thickBot="1">
      <c r="B86" s="73"/>
      <c r="C86" s="72"/>
      <c r="D86" s="72"/>
      <c r="E86" s="72"/>
      <c r="F86" s="72"/>
      <c r="G86" s="72"/>
      <c r="H86" s="72"/>
      <c r="I86" s="457"/>
      <c r="J86" s="90"/>
    </row>
    <row r="87" spans="2:10" ht="13.5" customHeight="1"/>
    <row r="88" spans="2:10" ht="12.75" customHeight="1"/>
    <row r="89" spans="2:10" ht="12.75" customHeight="1">
      <c r="B89" s="89"/>
      <c r="F89" s="68"/>
      <c r="G89" s="68"/>
      <c r="H89" s="68"/>
    </row>
    <row r="90" spans="2:10" ht="16.5" customHeight="1">
      <c r="B90" s="1587"/>
      <c r="C90" s="1587"/>
      <c r="D90" s="1587"/>
      <c r="E90" s="1587"/>
      <c r="F90" s="1587"/>
      <c r="G90" s="1587"/>
      <c r="H90" s="1587"/>
      <c r="I90" s="1587"/>
      <c r="J90" s="1587"/>
    </row>
    <row r="91" spans="2:10" ht="12.75" customHeight="1">
      <c r="B91" s="450"/>
      <c r="C91" s="450"/>
      <c r="D91" s="450"/>
      <c r="E91" s="450"/>
      <c r="F91" s="450"/>
      <c r="G91" s="450"/>
      <c r="H91" s="450"/>
      <c r="I91" s="455"/>
      <c r="J91" s="450"/>
    </row>
    <row r="92" spans="2:10">
      <c r="B92" s="1587"/>
      <c r="C92" s="1587"/>
      <c r="D92" s="1587"/>
      <c r="E92" s="1587"/>
      <c r="F92" s="1587"/>
      <c r="G92" s="1587"/>
      <c r="H92" s="1587"/>
      <c r="I92" s="1587"/>
      <c r="J92" s="1587"/>
    </row>
    <row r="93" spans="2:10">
      <c r="B93" s="382"/>
      <c r="C93" s="382"/>
      <c r="D93" s="382"/>
      <c r="E93" s="382"/>
      <c r="F93" s="382"/>
      <c r="G93" s="382"/>
      <c r="H93" s="382"/>
      <c r="I93" s="456"/>
      <c r="J93" s="382"/>
    </row>
    <row r="94" spans="2:10" ht="12.75" customHeight="1">
      <c r="B94" s="1587"/>
      <c r="C94" s="1587"/>
      <c r="D94" s="1587"/>
      <c r="E94" s="1587"/>
      <c r="F94" s="1587"/>
      <c r="G94" s="1587"/>
      <c r="H94" s="1587"/>
      <c r="I94" s="1587"/>
      <c r="J94" s="1587"/>
    </row>
    <row r="95" spans="2:10">
      <c r="B95" s="1587"/>
      <c r="C95" s="1587"/>
      <c r="D95" s="1587"/>
      <c r="E95" s="1587"/>
      <c r="F95" s="1587"/>
      <c r="G95" s="1587"/>
      <c r="H95" s="1587"/>
      <c r="I95" s="1587"/>
      <c r="J95" s="1587"/>
    </row>
    <row r="96" spans="2:10">
      <c r="B96" s="1587"/>
      <c r="C96" s="1587"/>
      <c r="D96" s="1587"/>
      <c r="E96" s="1587"/>
      <c r="F96" s="1587"/>
      <c r="G96" s="1587"/>
      <c r="H96" s="1587"/>
      <c r="I96" s="1587"/>
      <c r="J96" s="1587"/>
    </row>
    <row r="97" spans="2:10" ht="12.75" customHeight="1">
      <c r="B97" s="1587"/>
      <c r="C97" s="1587"/>
      <c r="D97" s="1587"/>
      <c r="E97" s="1587"/>
      <c r="F97" s="1587"/>
      <c r="G97" s="1587"/>
      <c r="H97" s="1587"/>
      <c r="I97" s="1587"/>
      <c r="J97" s="1587"/>
    </row>
    <row r="98" spans="2:10" ht="12.75" customHeight="1">
      <c r="B98" s="1587"/>
      <c r="C98" s="1587"/>
      <c r="D98" s="1587"/>
      <c r="E98" s="1587"/>
      <c r="F98" s="1587"/>
      <c r="G98" s="1587"/>
      <c r="H98" s="1587"/>
      <c r="I98" s="1587"/>
      <c r="J98" s="1587"/>
    </row>
    <row r="99" spans="2:10" ht="12.75" customHeight="1">
      <c r="B99" s="450"/>
      <c r="C99" s="450"/>
      <c r="D99" s="450"/>
      <c r="E99" s="450"/>
      <c r="F99" s="450"/>
      <c r="G99" s="450"/>
      <c r="H99" s="448"/>
      <c r="I99" s="455"/>
      <c r="J99" s="450"/>
    </row>
    <row r="100" spans="2:10" ht="13.5" customHeight="1">
      <c r="H100" s="68"/>
    </row>
    <row r="101" spans="2:10" ht="12.75" customHeight="1"/>
    <row r="102" spans="2:10" ht="12.75" customHeight="1"/>
    <row r="103" spans="2:10" ht="12.75" customHeight="1"/>
    <row r="105" spans="2:10">
      <c r="E105" s="188"/>
    </row>
  </sheetData>
  <mergeCells count="10">
    <mergeCell ref="B98:J98"/>
    <mergeCell ref="B90:J90"/>
    <mergeCell ref="B12:N13"/>
    <mergeCell ref="B14:N15"/>
    <mergeCell ref="J47:J48"/>
    <mergeCell ref="B92:J92"/>
    <mergeCell ref="B94:J94"/>
    <mergeCell ref="B95:J95"/>
    <mergeCell ref="B96:J96"/>
    <mergeCell ref="B97:J9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'C:\Users\B003920\Desktop\[Kopi af alternativ_drivmiddelmodel_3.0_2.xlsm]Sheet1'!#REF!</xm:f>
          </x14:formula1>
          <xm:sqref>C9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002060"/>
    <pageSetUpPr fitToPage="1"/>
  </sheetPr>
  <dimension ref="B1:R114"/>
  <sheetViews>
    <sheetView topLeftCell="A17" zoomScale="80" zoomScaleNormal="80" workbookViewId="0">
      <selection activeCell="D65" sqref="D65"/>
    </sheetView>
  </sheetViews>
  <sheetFormatPr defaultColWidth="8.88671875" defaultRowHeight="13.8"/>
  <cols>
    <col min="1" max="1" width="2.88671875" style="65" customWidth="1"/>
    <col min="2" max="2" width="26.88671875" style="65" customWidth="1"/>
    <col min="3" max="3" width="15" style="65" customWidth="1"/>
    <col min="4" max="7" width="14.5546875" style="65" customWidth="1"/>
    <col min="8" max="8" width="15.88671875" style="65" customWidth="1"/>
    <col min="9" max="9" width="5.6640625" style="65" customWidth="1"/>
    <col min="10" max="10" width="48.5546875" style="65" customWidth="1"/>
    <col min="11" max="11" width="10" style="65" bestFit="1" customWidth="1"/>
    <col min="12" max="12" width="15.88671875" style="65" customWidth="1"/>
    <col min="13" max="14" width="9" style="65" bestFit="1" customWidth="1"/>
    <col min="15" max="15" width="37.88671875" style="65" customWidth="1"/>
    <col min="16" max="16384" width="8.88671875" style="65"/>
  </cols>
  <sheetData>
    <row r="1" spans="2:18" s="62" customFormat="1" ht="21">
      <c r="B1" s="62" t="s">
        <v>202</v>
      </c>
      <c r="Q1" s="62">
        <v>0</v>
      </c>
      <c r="R1" s="62">
        <v>0</v>
      </c>
    </row>
    <row r="4" spans="2:18" ht="14.4" thickBot="1">
      <c r="B4" s="154" t="s">
        <v>91</v>
      </c>
    </row>
    <row r="5" spans="2:18">
      <c r="B5" s="157" t="s">
        <v>201</v>
      </c>
      <c r="C5" s="85"/>
      <c r="D5" s="85"/>
      <c r="E5" s="85"/>
      <c r="F5" s="85"/>
      <c r="G5" s="85"/>
      <c r="H5" s="85"/>
      <c r="I5" s="85"/>
      <c r="J5" s="85"/>
      <c r="K5" s="85"/>
      <c r="L5" s="85"/>
      <c r="M5" s="85"/>
      <c r="N5" s="83"/>
    </row>
    <row r="6" spans="2:18" ht="12.75" customHeight="1">
      <c r="B6" s="433" t="s">
        <v>200</v>
      </c>
      <c r="C6" s="438"/>
      <c r="D6" s="438"/>
      <c r="E6" s="438"/>
      <c r="F6" s="438"/>
      <c r="G6" s="438"/>
      <c r="H6" s="438"/>
      <c r="I6" s="438"/>
      <c r="J6" s="438"/>
      <c r="K6" s="438"/>
      <c r="L6" s="438"/>
      <c r="M6" s="438"/>
      <c r="N6" s="437"/>
    </row>
    <row r="7" spans="2:18">
      <c r="B7" s="439"/>
      <c r="C7" s="438"/>
      <c r="D7" s="438"/>
      <c r="E7" s="438"/>
      <c r="F7" s="438"/>
      <c r="G7" s="438"/>
      <c r="H7" s="438"/>
      <c r="I7" s="438"/>
      <c r="J7" s="438"/>
      <c r="K7" s="438"/>
      <c r="L7" s="438"/>
      <c r="M7" s="438"/>
      <c r="N7" s="437"/>
    </row>
    <row r="8" spans="2:18">
      <c r="B8" s="439"/>
      <c r="C8" s="438"/>
      <c r="D8" s="438"/>
      <c r="E8" s="438"/>
      <c r="F8" s="438"/>
      <c r="G8" s="438"/>
      <c r="H8" s="438"/>
      <c r="I8" s="438"/>
      <c r="J8" s="438"/>
      <c r="K8" s="438"/>
      <c r="L8" s="438"/>
      <c r="M8" s="438"/>
      <c r="N8" s="437"/>
    </row>
    <row r="9" spans="2:18">
      <c r="B9" s="156" t="s">
        <v>232</v>
      </c>
      <c r="C9" s="61" t="s">
        <v>231</v>
      </c>
      <c r="D9" s="438"/>
      <c r="E9" s="438"/>
      <c r="F9" s="438"/>
      <c r="G9" s="438"/>
      <c r="H9" s="438"/>
      <c r="I9" s="438"/>
      <c r="J9" s="438"/>
      <c r="K9" s="438"/>
      <c r="L9" s="438"/>
      <c r="M9" s="438"/>
      <c r="N9" s="437"/>
    </row>
    <row r="10" spans="2:18" ht="24" customHeight="1">
      <c r="B10" s="439"/>
      <c r="C10" s="438"/>
      <c r="D10" s="438"/>
      <c r="E10" s="438"/>
      <c r="F10" s="438"/>
      <c r="G10" s="438"/>
      <c r="H10" s="438"/>
      <c r="I10" s="438"/>
      <c r="J10" s="438"/>
      <c r="K10" s="438"/>
      <c r="L10" s="438"/>
      <c r="M10" s="438"/>
      <c r="N10" s="437"/>
    </row>
    <row r="11" spans="2:18">
      <c r="B11" s="436" t="s">
        <v>93</v>
      </c>
      <c r="C11" s="435"/>
      <c r="D11" s="435"/>
      <c r="E11" s="435"/>
      <c r="F11" s="435"/>
      <c r="G11" s="435"/>
      <c r="H11" s="77"/>
      <c r="I11" s="435"/>
      <c r="J11" s="435"/>
      <c r="K11" s="435"/>
      <c r="L11" s="435"/>
      <c r="M11" s="435"/>
      <c r="N11" s="434"/>
    </row>
    <row r="12" spans="2:18">
      <c r="B12" s="433" t="s">
        <v>199</v>
      </c>
      <c r="C12" s="432"/>
      <c r="D12" s="432"/>
      <c r="E12" s="432"/>
      <c r="F12" s="432"/>
      <c r="G12" s="432"/>
      <c r="H12" s="432"/>
      <c r="I12" s="432"/>
      <c r="J12" s="432"/>
      <c r="K12" s="432"/>
      <c r="L12" s="432"/>
      <c r="M12" s="432"/>
      <c r="N12" s="431"/>
    </row>
    <row r="13" spans="2:18" ht="17.25" customHeight="1">
      <c r="B13" s="433"/>
      <c r="C13" s="432"/>
      <c r="D13" s="432"/>
      <c r="E13" s="432"/>
      <c r="F13" s="432"/>
      <c r="G13" s="432"/>
      <c r="H13" s="432"/>
      <c r="I13" s="432"/>
      <c r="J13" s="432"/>
      <c r="K13" s="432"/>
      <c r="L13" s="432"/>
      <c r="M13" s="432"/>
      <c r="N13" s="431"/>
    </row>
    <row r="14" spans="2:18">
      <c r="B14" s="433" t="s">
        <v>198</v>
      </c>
      <c r="C14" s="432"/>
      <c r="D14" s="432"/>
      <c r="E14" s="432"/>
      <c r="F14" s="432"/>
      <c r="G14" s="432"/>
      <c r="H14" s="432"/>
      <c r="I14" s="432"/>
      <c r="J14" s="432"/>
      <c r="K14" s="432"/>
      <c r="L14" s="432"/>
      <c r="M14" s="432"/>
      <c r="N14" s="431"/>
    </row>
    <row r="15" spans="2:18">
      <c r="B15" s="433"/>
      <c r="C15" s="432"/>
      <c r="D15" s="432"/>
      <c r="E15" s="432"/>
      <c r="F15" s="432"/>
      <c r="G15" s="432"/>
      <c r="H15" s="432"/>
      <c r="I15" s="432"/>
      <c r="J15" s="432"/>
      <c r="K15" s="432"/>
      <c r="L15" s="432"/>
      <c r="M15" s="432"/>
      <c r="N15" s="431"/>
    </row>
    <row r="16" spans="2:18">
      <c r="B16" s="433"/>
      <c r="C16" s="432"/>
      <c r="D16" s="432"/>
      <c r="E16" s="432"/>
      <c r="F16" s="432"/>
      <c r="G16" s="432"/>
      <c r="H16" s="432"/>
      <c r="I16" s="432"/>
      <c r="J16" s="432"/>
      <c r="K16" s="432"/>
      <c r="L16" s="432"/>
      <c r="M16" s="432"/>
      <c r="N16" s="431"/>
    </row>
    <row r="17" spans="2:14" ht="18" customHeight="1" thickBot="1">
      <c r="B17" s="430"/>
      <c r="C17" s="429"/>
      <c r="D17" s="429"/>
      <c r="E17" s="429"/>
      <c r="F17" s="429"/>
      <c r="G17" s="429"/>
      <c r="H17" s="429"/>
      <c r="I17" s="429"/>
      <c r="J17" s="429"/>
      <c r="K17" s="429"/>
      <c r="L17" s="429"/>
      <c r="M17" s="429"/>
      <c r="N17" s="428"/>
    </row>
    <row r="19" spans="2:14" ht="13.5" customHeight="1" thickBot="1">
      <c r="B19" s="154" t="s">
        <v>95</v>
      </c>
      <c r="E19" s="153"/>
    </row>
    <row r="20" spans="2:14" ht="12.75" customHeight="1">
      <c r="B20" s="88"/>
      <c r="C20" s="110"/>
      <c r="D20" s="85"/>
      <c r="E20" s="85"/>
      <c r="F20" s="85"/>
      <c r="G20" s="85"/>
      <c r="H20" s="85"/>
      <c r="I20" s="85" t="s">
        <v>96</v>
      </c>
      <c r="J20" s="83" t="s">
        <v>97</v>
      </c>
    </row>
    <row r="21" spans="2:14" ht="12.75" customHeight="1">
      <c r="B21" s="109"/>
      <c r="C21" s="108" t="s">
        <v>98</v>
      </c>
      <c r="D21" s="427" t="s">
        <v>485</v>
      </c>
      <c r="E21" s="426">
        <v>2020</v>
      </c>
      <c r="F21" s="426">
        <v>2035</v>
      </c>
      <c r="G21" s="426">
        <v>2050</v>
      </c>
      <c r="H21" s="106" t="s">
        <v>99</v>
      </c>
      <c r="I21" s="152"/>
      <c r="J21" s="104"/>
    </row>
    <row r="22" spans="2:14" ht="12.75" customHeight="1">
      <c r="B22" s="128" t="s">
        <v>100</v>
      </c>
      <c r="C22" s="118"/>
      <c r="D22" s="151"/>
      <c r="E22" s="151"/>
      <c r="F22" s="151"/>
      <c r="G22" s="151"/>
      <c r="H22" s="151"/>
      <c r="I22" s="77"/>
      <c r="J22" s="74"/>
    </row>
    <row r="23" spans="2:14">
      <c r="B23" s="145" t="s">
        <v>101</v>
      </c>
      <c r="C23" s="118" t="s">
        <v>197</v>
      </c>
      <c r="D23" s="150">
        <f>D67/D79</f>
        <v>0.1111111111111111</v>
      </c>
      <c r="E23" s="150">
        <f>E67/E79</f>
        <v>0.11600000000000001</v>
      </c>
      <c r="F23" s="150">
        <f>F67/F79</f>
        <v>0.13181818181818183</v>
      </c>
      <c r="G23" s="150">
        <f>G67/G79</f>
        <v>0.13181818181818183</v>
      </c>
      <c r="H23" s="147"/>
      <c r="I23" s="349" t="s">
        <v>648</v>
      </c>
      <c r="J23" s="141"/>
    </row>
    <row r="24" spans="2:14">
      <c r="B24" s="145" t="s">
        <v>102</v>
      </c>
      <c r="C24" s="118" t="s">
        <v>197</v>
      </c>
      <c r="D24" s="425">
        <f>D23</f>
        <v>0.1111111111111111</v>
      </c>
      <c r="E24" s="425">
        <f>E23</f>
        <v>0.11600000000000001</v>
      </c>
      <c r="F24" s="425">
        <f>F23</f>
        <v>0.13181818181818183</v>
      </c>
      <c r="G24" s="425">
        <f>G23</f>
        <v>0.13181818181818183</v>
      </c>
      <c r="H24" s="147"/>
      <c r="I24" s="187" t="s">
        <v>648</v>
      </c>
      <c r="J24" s="141"/>
    </row>
    <row r="25" spans="2:14">
      <c r="B25" s="145" t="s">
        <v>196</v>
      </c>
      <c r="C25" s="118" t="s">
        <v>104</v>
      </c>
      <c r="D25" s="425">
        <f>D79</f>
        <v>0.27</v>
      </c>
      <c r="E25" s="425">
        <f>E79</f>
        <v>0.25</v>
      </c>
      <c r="F25" s="425">
        <f>F79</f>
        <v>0.22</v>
      </c>
      <c r="G25" s="425">
        <f>G79</f>
        <v>0.22</v>
      </c>
      <c r="H25" s="142"/>
      <c r="I25" s="187"/>
      <c r="J25" s="141"/>
    </row>
    <row r="26" spans="2:14">
      <c r="B26" s="145" t="s">
        <v>195</v>
      </c>
      <c r="C26" s="118" t="s">
        <v>104</v>
      </c>
      <c r="D26" s="125">
        <f>D25*114</f>
        <v>30.78</v>
      </c>
      <c r="E26" s="125">
        <f t="shared" ref="E26:G26" si="0">E25*114</f>
        <v>28.5</v>
      </c>
      <c r="F26" s="125">
        <f t="shared" si="0"/>
        <v>25.080000000000002</v>
      </c>
      <c r="G26" s="125">
        <f t="shared" si="0"/>
        <v>25.080000000000002</v>
      </c>
      <c r="H26" s="142"/>
      <c r="I26" s="187"/>
      <c r="J26" s="141"/>
    </row>
    <row r="27" spans="2:14">
      <c r="B27" s="133" t="s">
        <v>106</v>
      </c>
      <c r="C27" s="118" t="s">
        <v>107</v>
      </c>
      <c r="D27" s="140">
        <v>25</v>
      </c>
      <c r="E27" s="125">
        <v>17</v>
      </c>
      <c r="F27" s="125">
        <v>17</v>
      </c>
      <c r="G27" s="125">
        <v>17</v>
      </c>
      <c r="H27" s="125"/>
      <c r="I27" s="349"/>
      <c r="J27" s="74"/>
    </row>
    <row r="28" spans="2:14">
      <c r="B28" s="133" t="s">
        <v>108</v>
      </c>
      <c r="C28" s="118" t="s">
        <v>109</v>
      </c>
      <c r="D28" s="138">
        <f>+D71</f>
        <v>4.5</v>
      </c>
      <c r="E28" s="138">
        <f>+E71</f>
        <v>4.3499999999999996</v>
      </c>
      <c r="F28" s="138">
        <f>+F71</f>
        <v>4.3499999999999996</v>
      </c>
      <c r="G28" s="138">
        <f>+G71</f>
        <v>4.3499999999999996</v>
      </c>
      <c r="H28" s="138"/>
      <c r="I28" s="187"/>
      <c r="J28" s="74"/>
    </row>
    <row r="29" spans="2:14">
      <c r="B29" s="78"/>
      <c r="C29" s="137"/>
      <c r="D29" s="98"/>
      <c r="E29" s="98"/>
      <c r="F29" s="98"/>
      <c r="G29" s="98"/>
      <c r="H29" s="98"/>
      <c r="I29" s="77"/>
      <c r="J29" s="74"/>
    </row>
    <row r="30" spans="2:14">
      <c r="B30" s="128" t="s">
        <v>110</v>
      </c>
      <c r="C30" s="118"/>
      <c r="D30" s="98"/>
      <c r="E30" s="98"/>
      <c r="F30" s="98"/>
      <c r="G30" s="98"/>
      <c r="H30" s="98"/>
      <c r="I30" s="77"/>
      <c r="J30" s="74"/>
    </row>
    <row r="31" spans="2:14">
      <c r="B31" s="133" t="s">
        <v>111</v>
      </c>
      <c r="C31" s="118" t="s">
        <v>15</v>
      </c>
      <c r="D31" s="136">
        <v>186747.70682749152</v>
      </c>
      <c r="E31" s="136">
        <v>186747.70682749152</v>
      </c>
      <c r="F31" s="136">
        <v>186747.70682749152</v>
      </c>
      <c r="G31" s="136">
        <v>186747.70682749152</v>
      </c>
      <c r="H31" s="135">
        <v>2015</v>
      </c>
      <c r="I31" s="79"/>
      <c r="J31" s="74"/>
    </row>
    <row r="32" spans="2:14">
      <c r="B32" s="78" t="s">
        <v>16</v>
      </c>
      <c r="C32" s="118" t="s">
        <v>17</v>
      </c>
      <c r="D32" s="136">
        <v>12064.003837721759</v>
      </c>
      <c r="E32" s="136">
        <v>13241.878135913932</v>
      </c>
      <c r="F32" s="136">
        <v>13241.878135913932</v>
      </c>
      <c r="G32" s="136">
        <v>13241.878135913932</v>
      </c>
      <c r="H32" s="135">
        <v>2015</v>
      </c>
      <c r="I32" s="79"/>
      <c r="J32" s="74"/>
    </row>
    <row r="33" spans="2:10">
      <c r="B33" s="129" t="s">
        <v>18</v>
      </c>
      <c r="C33" s="118" t="s">
        <v>17</v>
      </c>
      <c r="D33" s="136">
        <v>2944.4908209792543</v>
      </c>
      <c r="E33" s="136">
        <v>3807.899153076859</v>
      </c>
      <c r="F33" s="136">
        <v>3807.899153076859</v>
      </c>
      <c r="G33" s="136">
        <v>3807.899153076859</v>
      </c>
      <c r="H33" s="135">
        <v>2015</v>
      </c>
      <c r="I33" s="79"/>
      <c r="J33" s="74"/>
    </row>
    <row r="34" spans="2:10">
      <c r="B34" s="129" t="s">
        <v>19</v>
      </c>
      <c r="C34" s="118" t="s">
        <v>17</v>
      </c>
      <c r="D34" s="136">
        <v>9119.513016742505</v>
      </c>
      <c r="E34" s="136">
        <v>9433.9789828370722</v>
      </c>
      <c r="F34" s="136">
        <v>9433.9789828370722</v>
      </c>
      <c r="G34" s="136">
        <v>9433.9789828370722</v>
      </c>
      <c r="H34" s="135">
        <v>2015</v>
      </c>
      <c r="I34" s="79"/>
      <c r="J34" s="74"/>
    </row>
    <row r="35" spans="2:10">
      <c r="B35" s="129"/>
      <c r="C35" s="118"/>
      <c r="D35" s="136"/>
      <c r="E35" s="136"/>
      <c r="F35" s="136"/>
      <c r="G35" s="136"/>
      <c r="H35" s="135"/>
      <c r="I35" s="79"/>
      <c r="J35" s="74"/>
    </row>
    <row r="36" spans="2:10">
      <c r="B36" s="129" t="s">
        <v>112</v>
      </c>
      <c r="C36" s="118" t="s">
        <v>17</v>
      </c>
      <c r="D36" s="136">
        <v>0</v>
      </c>
      <c r="E36" s="136">
        <v>0</v>
      </c>
      <c r="F36" s="136">
        <v>0</v>
      </c>
      <c r="G36" s="136">
        <v>0</v>
      </c>
      <c r="H36" s="135">
        <v>2015</v>
      </c>
      <c r="I36" s="79"/>
      <c r="J36" s="74"/>
    </row>
    <row r="37" spans="2:10">
      <c r="B37" s="128"/>
      <c r="C37" s="118"/>
      <c r="D37" s="134"/>
      <c r="E37" s="98"/>
      <c r="F37" s="98"/>
      <c r="G37" s="98"/>
      <c r="H37" s="98"/>
      <c r="I37" s="79"/>
      <c r="J37" s="74"/>
    </row>
    <row r="38" spans="2:10">
      <c r="B38" s="133" t="s">
        <v>111</v>
      </c>
      <c r="C38" s="118" t="s">
        <v>415</v>
      </c>
      <c r="D38" s="127">
        <f>20000000/D70</f>
        <v>175438.59649122806</v>
      </c>
      <c r="E38" s="127">
        <f>20000000/E70</f>
        <v>175438.59649122806</v>
      </c>
      <c r="F38" s="127">
        <f>20000000/F70</f>
        <v>175438.59649122806</v>
      </c>
      <c r="G38" s="127">
        <f>20000000/G70</f>
        <v>175438.59649122806</v>
      </c>
      <c r="H38" s="130">
        <v>2011</v>
      </c>
      <c r="I38" s="349" t="s">
        <v>652</v>
      </c>
      <c r="J38" s="74" t="s">
        <v>414</v>
      </c>
    </row>
    <row r="39" spans="2:10">
      <c r="B39" s="240" t="s">
        <v>16</v>
      </c>
      <c r="C39" s="118" t="s">
        <v>17</v>
      </c>
      <c r="D39" s="258">
        <f>SUM(D40:D43)</f>
        <v>11333.429134472892</v>
      </c>
      <c r="E39" s="258">
        <f>SUM(E40:E43)</f>
        <v>12439.97345155419</v>
      </c>
      <c r="F39" s="258">
        <f>SUM(F40:F43)</f>
        <v>12439.97345155419</v>
      </c>
      <c r="G39" s="258">
        <f>SUM(G40:G43)</f>
        <v>12439.97345155419</v>
      </c>
      <c r="H39" s="130">
        <v>2011</v>
      </c>
      <c r="I39" s="349"/>
      <c r="J39" s="74"/>
    </row>
    <row r="40" spans="2:10">
      <c r="B40" s="129" t="s">
        <v>18</v>
      </c>
      <c r="C40" s="118" t="s">
        <v>17</v>
      </c>
      <c r="D40" s="424">
        <v>2766.1776724845859</v>
      </c>
      <c r="E40" s="424">
        <v>3577.2995253593913</v>
      </c>
      <c r="F40" s="424">
        <v>3577.2995253593913</v>
      </c>
      <c r="G40" s="424">
        <v>3577.2995253593913</v>
      </c>
      <c r="H40" s="130">
        <v>2011</v>
      </c>
      <c r="I40" s="349" t="s">
        <v>649</v>
      </c>
      <c r="J40" s="74" t="s">
        <v>194</v>
      </c>
    </row>
    <row r="41" spans="2:10">
      <c r="B41" s="129" t="s">
        <v>19</v>
      </c>
      <c r="C41" s="118" t="s">
        <v>17</v>
      </c>
      <c r="D41" s="423">
        <f>D72</f>
        <v>8567.2514619883059</v>
      </c>
      <c r="E41" s="423">
        <f>E72</f>
        <v>8862.6739261947987</v>
      </c>
      <c r="F41" s="423">
        <f>F72</f>
        <v>8862.6739261947987</v>
      </c>
      <c r="G41" s="423">
        <f>G72</f>
        <v>8862.6739261947987</v>
      </c>
      <c r="H41" s="130">
        <v>2011</v>
      </c>
      <c r="I41" s="349" t="s">
        <v>649</v>
      </c>
      <c r="J41" s="74" t="s">
        <v>194</v>
      </c>
    </row>
    <row r="42" spans="2:10">
      <c r="B42" s="129"/>
      <c r="C42" s="118"/>
      <c r="D42" s="98"/>
      <c r="E42" s="98"/>
      <c r="F42" s="98"/>
      <c r="G42" s="98"/>
      <c r="H42" s="130"/>
      <c r="I42" s="349"/>
      <c r="J42" s="74"/>
    </row>
    <row r="43" spans="2:10">
      <c r="B43" s="129" t="s">
        <v>112</v>
      </c>
      <c r="C43" s="118" t="s">
        <v>17</v>
      </c>
      <c r="D43" s="422">
        <v>0</v>
      </c>
      <c r="E43" s="422">
        <v>0</v>
      </c>
      <c r="F43" s="422">
        <v>0</v>
      </c>
      <c r="G43" s="422">
        <v>0</v>
      </c>
      <c r="H43" s="130">
        <v>2011</v>
      </c>
      <c r="I43" s="349" t="s">
        <v>649</v>
      </c>
      <c r="J43" s="74" t="s">
        <v>194</v>
      </c>
    </row>
    <row r="44" spans="2:10">
      <c r="B44" s="129"/>
      <c r="C44" s="118"/>
      <c r="D44" s="98"/>
      <c r="E44" s="122"/>
      <c r="F44" s="122"/>
      <c r="G44" s="122"/>
      <c r="H44" s="98"/>
      <c r="I44" s="187"/>
      <c r="J44" s="74"/>
    </row>
    <row r="45" spans="2:10">
      <c r="B45" s="128" t="s">
        <v>113</v>
      </c>
      <c r="C45" s="118"/>
      <c r="D45" s="98"/>
      <c r="E45" s="122"/>
      <c r="F45" s="122"/>
      <c r="G45" s="122"/>
      <c r="H45" s="127"/>
      <c r="I45" s="187"/>
      <c r="J45" s="74"/>
    </row>
    <row r="46" spans="2:10">
      <c r="B46" s="123" t="s">
        <v>30</v>
      </c>
      <c r="C46" s="118"/>
      <c r="D46" s="98"/>
      <c r="E46" s="122"/>
      <c r="F46" s="122"/>
      <c r="G46" s="122"/>
      <c r="H46" s="126"/>
      <c r="I46" s="187"/>
      <c r="J46" s="74"/>
    </row>
    <row r="47" spans="2:10">
      <c r="B47" s="78" t="s">
        <v>20</v>
      </c>
      <c r="C47" s="118" t="s">
        <v>133</v>
      </c>
      <c r="D47" s="421"/>
      <c r="E47" s="421"/>
      <c r="F47" s="421"/>
      <c r="G47" s="421"/>
      <c r="H47" s="126"/>
      <c r="I47" s="187"/>
      <c r="J47" s="74"/>
    </row>
    <row r="48" spans="2:10">
      <c r="B48" s="78" t="s">
        <v>21</v>
      </c>
      <c r="C48" s="118" t="s">
        <v>133</v>
      </c>
      <c r="D48" s="305"/>
      <c r="E48" s="305"/>
      <c r="F48" s="305"/>
      <c r="G48" s="305"/>
      <c r="H48" s="120"/>
      <c r="I48" s="187"/>
      <c r="J48" s="74"/>
    </row>
    <row r="49" spans="2:10">
      <c r="B49" s="78" t="s">
        <v>22</v>
      </c>
      <c r="C49" s="118" t="s">
        <v>133</v>
      </c>
      <c r="D49" s="305"/>
      <c r="E49" s="305"/>
      <c r="F49" s="305"/>
      <c r="G49" s="305"/>
      <c r="H49" s="98"/>
      <c r="I49" s="187"/>
      <c r="J49" s="74"/>
    </row>
    <row r="50" spans="2:10">
      <c r="B50" s="78" t="s">
        <v>23</v>
      </c>
      <c r="C50" s="118" t="s">
        <v>133</v>
      </c>
      <c r="D50" s="305"/>
      <c r="E50" s="305"/>
      <c r="F50" s="305"/>
      <c r="G50" s="305"/>
      <c r="H50" s="125"/>
      <c r="I50" s="187"/>
      <c r="J50" s="74"/>
    </row>
    <row r="51" spans="2:10">
      <c r="B51" s="78" t="s">
        <v>115</v>
      </c>
      <c r="C51" s="118" t="s">
        <v>133</v>
      </c>
      <c r="D51" s="305">
        <f t="shared" ref="D51:G52" si="1">D84/3.6</f>
        <v>1.3277777777777777</v>
      </c>
      <c r="E51" s="305">
        <f t="shared" si="1"/>
        <v>1.3277777777777777</v>
      </c>
      <c r="F51" s="305">
        <f t="shared" si="1"/>
        <v>1.3277777777777777</v>
      </c>
      <c r="G51" s="305">
        <f t="shared" si="1"/>
        <v>1.3277777777777777</v>
      </c>
      <c r="H51" s="98"/>
      <c r="I51" s="187"/>
      <c r="J51" s="74"/>
    </row>
    <row r="52" spans="2:10">
      <c r="B52" s="78" t="s">
        <v>24</v>
      </c>
      <c r="C52" s="118" t="s">
        <v>133</v>
      </c>
      <c r="D52" s="305">
        <f t="shared" si="1"/>
        <v>1.3333333333333332E-2</v>
      </c>
      <c r="E52" s="305">
        <f t="shared" si="1"/>
        <v>6.6666666666666675E-4</v>
      </c>
      <c r="F52" s="305">
        <f t="shared" si="1"/>
        <v>6.6666666666666675E-4</v>
      </c>
      <c r="G52" s="305">
        <f t="shared" si="1"/>
        <v>6.6666666666666675E-4</v>
      </c>
      <c r="H52" s="98"/>
      <c r="I52" s="187"/>
      <c r="J52" s="74"/>
    </row>
    <row r="53" spans="2:10">
      <c r="B53" s="78"/>
      <c r="C53" s="118"/>
      <c r="D53" s="305"/>
      <c r="E53" s="305"/>
      <c r="F53" s="305"/>
      <c r="G53" s="305"/>
      <c r="H53" s="98"/>
      <c r="I53" s="187"/>
      <c r="J53" s="74"/>
    </row>
    <row r="54" spans="2:10">
      <c r="B54" s="123" t="s">
        <v>31</v>
      </c>
      <c r="C54" s="118"/>
      <c r="D54" s="305"/>
      <c r="E54" s="305"/>
      <c r="F54" s="305"/>
      <c r="G54" s="305"/>
      <c r="H54" s="120"/>
      <c r="I54" s="187"/>
      <c r="J54" s="74"/>
    </row>
    <row r="55" spans="2:10">
      <c r="B55" s="78" t="s">
        <v>20</v>
      </c>
      <c r="C55" s="118" t="s">
        <v>133</v>
      </c>
      <c r="D55" s="421"/>
      <c r="E55" s="421"/>
      <c r="F55" s="421"/>
      <c r="G55" s="421"/>
      <c r="H55" s="197"/>
      <c r="I55" s="187"/>
      <c r="J55" s="74"/>
    </row>
    <row r="56" spans="2:10">
      <c r="B56" s="78" t="s">
        <v>21</v>
      </c>
      <c r="C56" s="118" t="s">
        <v>133</v>
      </c>
      <c r="D56" s="305">
        <f t="shared" ref="D56:G60" si="2">D48</f>
        <v>0</v>
      </c>
      <c r="E56" s="305">
        <f t="shared" si="2"/>
        <v>0</v>
      </c>
      <c r="F56" s="305">
        <f t="shared" si="2"/>
        <v>0</v>
      </c>
      <c r="G56" s="305">
        <f t="shared" si="2"/>
        <v>0</v>
      </c>
      <c r="H56" s="197"/>
      <c r="I56" s="187"/>
      <c r="J56" s="74"/>
    </row>
    <row r="57" spans="2:10">
      <c r="B57" s="78" t="s">
        <v>22</v>
      </c>
      <c r="C57" s="118" t="s">
        <v>133</v>
      </c>
      <c r="D57" s="305">
        <f t="shared" si="2"/>
        <v>0</v>
      </c>
      <c r="E57" s="305">
        <f t="shared" si="2"/>
        <v>0</v>
      </c>
      <c r="F57" s="305">
        <f t="shared" si="2"/>
        <v>0</v>
      </c>
      <c r="G57" s="305">
        <f t="shared" si="2"/>
        <v>0</v>
      </c>
      <c r="H57" s="197"/>
      <c r="I57" s="187"/>
      <c r="J57" s="74"/>
    </row>
    <row r="58" spans="2:10">
      <c r="B58" s="78" t="s">
        <v>23</v>
      </c>
      <c r="C58" s="118" t="s">
        <v>133</v>
      </c>
      <c r="D58" s="305">
        <f t="shared" si="2"/>
        <v>0</v>
      </c>
      <c r="E58" s="305">
        <f t="shared" si="2"/>
        <v>0</v>
      </c>
      <c r="F58" s="305">
        <f t="shared" si="2"/>
        <v>0</v>
      </c>
      <c r="G58" s="305">
        <f t="shared" si="2"/>
        <v>0</v>
      </c>
      <c r="H58" s="197"/>
      <c r="I58" s="187"/>
      <c r="J58" s="74"/>
    </row>
    <row r="59" spans="2:10">
      <c r="B59" s="78" t="s">
        <v>115</v>
      </c>
      <c r="C59" s="118" t="s">
        <v>133</v>
      </c>
      <c r="D59" s="305">
        <f t="shared" si="2"/>
        <v>1.3277777777777777</v>
      </c>
      <c r="E59" s="305">
        <f t="shared" si="2"/>
        <v>1.3277777777777777</v>
      </c>
      <c r="F59" s="305">
        <f t="shared" si="2"/>
        <v>1.3277777777777777</v>
      </c>
      <c r="G59" s="305">
        <f t="shared" si="2"/>
        <v>1.3277777777777777</v>
      </c>
      <c r="H59" s="197"/>
      <c r="I59" s="187"/>
      <c r="J59" s="74"/>
    </row>
    <row r="60" spans="2:10">
      <c r="B60" s="78" t="s">
        <v>24</v>
      </c>
      <c r="C60" s="118" t="s">
        <v>133</v>
      </c>
      <c r="D60" s="305">
        <f t="shared" si="2"/>
        <v>1.3333333333333332E-2</v>
      </c>
      <c r="E60" s="305">
        <f t="shared" si="2"/>
        <v>6.6666666666666675E-4</v>
      </c>
      <c r="F60" s="305">
        <f t="shared" si="2"/>
        <v>6.6666666666666675E-4</v>
      </c>
      <c r="G60" s="305">
        <f t="shared" si="2"/>
        <v>6.6666666666666675E-4</v>
      </c>
      <c r="H60" s="135"/>
      <c r="I60" s="187"/>
      <c r="J60" s="74"/>
    </row>
    <row r="61" spans="2:10" ht="14.4" thickBot="1">
      <c r="B61" s="115"/>
      <c r="C61" s="114"/>
      <c r="D61" s="113"/>
      <c r="E61" s="72"/>
      <c r="F61" s="72"/>
      <c r="G61" s="72"/>
      <c r="H61" s="72"/>
      <c r="I61" s="193"/>
      <c r="J61" s="90"/>
    </row>
    <row r="64" spans="2:10" ht="16.2" thickBot="1">
      <c r="B64" s="89" t="s">
        <v>116</v>
      </c>
    </row>
    <row r="65" spans="2:10">
      <c r="B65" s="88"/>
      <c r="C65" s="110"/>
      <c r="D65" s="85"/>
      <c r="E65" s="85"/>
      <c r="F65" s="85"/>
      <c r="G65" s="85"/>
      <c r="H65" s="85"/>
      <c r="I65" s="85"/>
      <c r="J65" s="83"/>
    </row>
    <row r="66" spans="2:10">
      <c r="B66" s="109"/>
      <c r="C66" s="108" t="s">
        <v>98</v>
      </c>
      <c r="D66" s="107">
        <v>2015</v>
      </c>
      <c r="E66" s="106">
        <v>2020</v>
      </c>
      <c r="F66" s="106">
        <v>2035</v>
      </c>
      <c r="G66" s="106">
        <v>2050</v>
      </c>
      <c r="H66" s="106"/>
      <c r="I66" s="152" t="s">
        <v>96</v>
      </c>
      <c r="J66" s="104" t="s">
        <v>97</v>
      </c>
    </row>
    <row r="67" spans="2:10">
      <c r="B67" s="240" t="s">
        <v>25</v>
      </c>
      <c r="C67" s="95" t="s">
        <v>410</v>
      </c>
      <c r="D67" s="420">
        <v>0.03</v>
      </c>
      <c r="E67" s="420">
        <v>2.9000000000000001E-2</v>
      </c>
      <c r="F67" s="420">
        <v>2.9000000000000001E-2</v>
      </c>
      <c r="G67" s="420">
        <v>2.9000000000000001E-2</v>
      </c>
      <c r="H67" s="420"/>
      <c r="I67" s="77" t="s">
        <v>648</v>
      </c>
      <c r="J67" s="74"/>
    </row>
    <row r="68" spans="2:10">
      <c r="B68" s="240"/>
      <c r="C68" s="95"/>
      <c r="D68" s="420"/>
      <c r="E68" s="420"/>
      <c r="F68" s="420"/>
      <c r="G68" s="420"/>
      <c r="H68" s="420"/>
      <c r="I68" s="77"/>
      <c r="J68" s="74"/>
    </row>
    <row r="69" spans="2:10">
      <c r="B69" s="240" t="s">
        <v>120</v>
      </c>
      <c r="C69" s="95" t="s">
        <v>121</v>
      </c>
      <c r="D69" s="419">
        <v>150000</v>
      </c>
      <c r="E69" s="419">
        <v>150000</v>
      </c>
      <c r="F69" s="419">
        <v>150000</v>
      </c>
      <c r="G69" s="419">
        <v>150000</v>
      </c>
      <c r="H69" s="418"/>
      <c r="I69" s="349" t="s">
        <v>649</v>
      </c>
      <c r="J69" s="74" t="s">
        <v>192</v>
      </c>
    </row>
    <row r="70" spans="2:10">
      <c r="B70" s="240" t="s">
        <v>401</v>
      </c>
      <c r="C70" s="95" t="s">
        <v>400</v>
      </c>
      <c r="D70" s="419">
        <v>114</v>
      </c>
      <c r="E70" s="419">
        <v>114</v>
      </c>
      <c r="F70" s="419">
        <v>114</v>
      </c>
      <c r="G70" s="419">
        <v>114</v>
      </c>
      <c r="H70" s="418"/>
      <c r="I70" s="349"/>
      <c r="J70" s="74"/>
    </row>
    <row r="71" spans="2:10" ht="12" customHeight="1">
      <c r="B71" s="240" t="s">
        <v>413</v>
      </c>
      <c r="C71" s="95" t="s">
        <v>109</v>
      </c>
      <c r="D71" s="417">
        <f>+D67*D69/1000</f>
        <v>4.5</v>
      </c>
      <c r="E71" s="417">
        <f>+E67*E69/1000</f>
        <v>4.3499999999999996</v>
      </c>
      <c r="F71" s="417">
        <f>+F67*F69/1000</f>
        <v>4.3499999999999996</v>
      </c>
      <c r="G71" s="417">
        <f>+G67*G69/1000</f>
        <v>4.3499999999999996</v>
      </c>
      <c r="H71" s="417"/>
      <c r="I71" s="77"/>
      <c r="J71" s="74" t="s">
        <v>191</v>
      </c>
    </row>
    <row r="72" spans="2:10">
      <c r="B72" s="240" t="s">
        <v>412</v>
      </c>
      <c r="C72" s="95" t="s">
        <v>17</v>
      </c>
      <c r="D72" s="416">
        <f>D73*1000/(D67)</f>
        <v>8567.2514619883059</v>
      </c>
      <c r="E72" s="416">
        <f>E73*1000/(E67)</f>
        <v>8862.6739261947987</v>
      </c>
      <c r="F72" s="416">
        <f>F73*1000/(F67)</f>
        <v>8862.6739261947987</v>
      </c>
      <c r="G72" s="416">
        <f>G73*1000/(G67)</f>
        <v>8862.6739261947987</v>
      </c>
      <c r="H72" s="416"/>
      <c r="I72" s="77"/>
      <c r="J72" s="74"/>
    </row>
    <row r="73" spans="2:10">
      <c r="B73" s="240" t="s">
        <v>123</v>
      </c>
      <c r="C73" s="95" t="s">
        <v>411</v>
      </c>
      <c r="D73" s="415">
        <f>29.3/D70</f>
        <v>0.25701754385964914</v>
      </c>
      <c r="E73" s="415">
        <f>29.3/E70</f>
        <v>0.25701754385964914</v>
      </c>
      <c r="F73" s="415">
        <f>29.3/F70</f>
        <v>0.25701754385964914</v>
      </c>
      <c r="G73" s="415">
        <f>29.3/G70</f>
        <v>0.25701754385964914</v>
      </c>
      <c r="H73" s="414"/>
      <c r="I73" s="349" t="s">
        <v>583</v>
      </c>
      <c r="J73" s="74" t="s">
        <v>190</v>
      </c>
    </row>
    <row r="74" spans="2:10">
      <c r="B74" s="413"/>
      <c r="C74" s="95"/>
      <c r="D74" s="412"/>
      <c r="E74" s="411"/>
      <c r="F74" s="410"/>
      <c r="G74" s="410"/>
      <c r="H74" s="410"/>
      <c r="I74" s="349"/>
      <c r="J74" s="74"/>
    </row>
    <row r="75" spans="2:10" ht="14.4" thickBot="1">
      <c r="B75" s="73"/>
      <c r="C75" s="91"/>
      <c r="D75" s="409"/>
      <c r="E75" s="409"/>
      <c r="F75" s="409"/>
      <c r="G75" s="409"/>
      <c r="H75" s="409"/>
      <c r="I75" s="72"/>
      <c r="J75" s="90"/>
    </row>
    <row r="77" spans="2:10" ht="18.75" customHeight="1" thickBot="1">
      <c r="B77" s="89" t="s">
        <v>125</v>
      </c>
    </row>
    <row r="78" spans="2:10">
      <c r="B78" s="88"/>
      <c r="C78" s="85"/>
      <c r="D78" s="408"/>
      <c r="E78" s="408"/>
      <c r="F78" s="408"/>
      <c r="G78" s="408"/>
      <c r="H78" s="408"/>
      <c r="I78" s="85"/>
      <c r="J78" s="83"/>
    </row>
    <row r="79" spans="2:10" ht="12.75" customHeight="1">
      <c r="B79" s="78" t="s">
        <v>189</v>
      </c>
      <c r="C79" s="77" t="s">
        <v>410</v>
      </c>
      <c r="D79" s="184">
        <v>0.27</v>
      </c>
      <c r="E79" s="184">
        <v>0.25</v>
      </c>
      <c r="F79" s="184">
        <v>0.22</v>
      </c>
      <c r="G79" s="184">
        <v>0.22</v>
      </c>
      <c r="H79" s="184"/>
      <c r="I79" s="77" t="s">
        <v>648</v>
      </c>
      <c r="J79" s="74"/>
    </row>
    <row r="80" spans="2:10">
      <c r="B80" s="78"/>
      <c r="C80" s="77"/>
      <c r="D80" s="82"/>
      <c r="E80" s="81"/>
      <c r="F80" s="81"/>
      <c r="G80" s="81"/>
      <c r="H80" s="81"/>
      <c r="I80" s="77"/>
      <c r="J80" s="74"/>
    </row>
    <row r="81" spans="2:10">
      <c r="B81" s="78"/>
      <c r="C81" s="77"/>
      <c r="D81" s="406"/>
      <c r="E81" s="406"/>
      <c r="F81" s="406"/>
      <c r="G81" s="406"/>
      <c r="H81" s="406"/>
      <c r="I81" s="349"/>
      <c r="J81" s="74"/>
    </row>
    <row r="82" spans="2:10" ht="12.75" customHeight="1">
      <c r="B82" s="78" t="s">
        <v>188</v>
      </c>
      <c r="C82" s="407" t="s">
        <v>187</v>
      </c>
      <c r="D82" s="406">
        <v>0.39</v>
      </c>
      <c r="E82" s="406">
        <f t="shared" ref="E82:G84" si="3">D82</f>
        <v>0.39</v>
      </c>
      <c r="F82" s="406">
        <f t="shared" si="3"/>
        <v>0.39</v>
      </c>
      <c r="G82" s="406">
        <f t="shared" si="3"/>
        <v>0.39</v>
      </c>
      <c r="H82" s="406"/>
      <c r="I82" s="349" t="s">
        <v>653</v>
      </c>
      <c r="J82" s="74"/>
    </row>
    <row r="83" spans="2:10">
      <c r="B83" s="78" t="s">
        <v>186</v>
      </c>
      <c r="C83" s="77" t="s">
        <v>184</v>
      </c>
      <c r="D83" s="406">
        <v>0.12</v>
      </c>
      <c r="E83" s="406">
        <f t="shared" si="3"/>
        <v>0.12</v>
      </c>
      <c r="F83" s="406">
        <f t="shared" si="3"/>
        <v>0.12</v>
      </c>
      <c r="G83" s="406">
        <f t="shared" si="3"/>
        <v>0.12</v>
      </c>
      <c r="H83" s="406"/>
      <c r="I83" s="349" t="s">
        <v>653</v>
      </c>
      <c r="J83" s="74"/>
    </row>
    <row r="84" spans="2:10">
      <c r="B84" s="78" t="s">
        <v>115</v>
      </c>
      <c r="C84" s="77" t="s">
        <v>184</v>
      </c>
      <c r="D84" s="406">
        <v>4.78</v>
      </c>
      <c r="E84" s="406">
        <f t="shared" si="3"/>
        <v>4.78</v>
      </c>
      <c r="F84" s="406">
        <f t="shared" si="3"/>
        <v>4.78</v>
      </c>
      <c r="G84" s="406">
        <f t="shared" si="3"/>
        <v>4.78</v>
      </c>
      <c r="H84" s="406"/>
      <c r="I84" s="349" t="s">
        <v>653</v>
      </c>
      <c r="J84" s="74"/>
    </row>
    <row r="85" spans="2:10">
      <c r="B85" s="78" t="s">
        <v>185</v>
      </c>
      <c r="C85" s="77" t="s">
        <v>184</v>
      </c>
      <c r="D85" s="406">
        <v>4.8000000000000001E-2</v>
      </c>
      <c r="E85" s="406">
        <f>D85*0.05</f>
        <v>2.4000000000000002E-3</v>
      </c>
      <c r="F85" s="406">
        <f>E85</f>
        <v>2.4000000000000002E-3</v>
      </c>
      <c r="G85" s="406">
        <f>F85</f>
        <v>2.4000000000000002E-3</v>
      </c>
      <c r="H85" s="406"/>
      <c r="I85" s="349" t="s">
        <v>653</v>
      </c>
      <c r="J85" s="74" t="s">
        <v>183</v>
      </c>
    </row>
    <row r="86" spans="2:10" ht="14.4" thickBot="1">
      <c r="B86" s="73"/>
      <c r="C86" s="72"/>
      <c r="D86" s="72"/>
      <c r="E86" s="72"/>
      <c r="F86" s="72"/>
      <c r="G86" s="72"/>
      <c r="H86" s="72"/>
      <c r="I86" s="72"/>
      <c r="J86" s="70"/>
    </row>
    <row r="87" spans="2:10" ht="13.5" customHeight="1">
      <c r="F87" s="68"/>
      <c r="G87" s="68"/>
      <c r="H87" s="68"/>
    </row>
    <row r="88" spans="2:10" ht="12.75" customHeight="1">
      <c r="F88" s="68"/>
      <c r="G88" s="68"/>
      <c r="H88" s="68"/>
    </row>
    <row r="89" spans="2:10" ht="12.75" customHeight="1" thickBot="1">
      <c r="B89" s="89"/>
      <c r="F89" s="68"/>
      <c r="G89" s="68"/>
      <c r="H89" s="68"/>
    </row>
    <row r="90" spans="2:10" ht="12.75" customHeight="1">
      <c r="B90" s="405"/>
      <c r="C90" s="404"/>
      <c r="D90" s="404"/>
      <c r="E90" s="404"/>
      <c r="F90" s="404"/>
      <c r="G90" s="404"/>
      <c r="H90" s="404"/>
      <c r="I90" s="404"/>
      <c r="J90" s="403"/>
    </row>
    <row r="91" spans="2:10" ht="12.75" customHeight="1">
      <c r="B91" s="402"/>
      <c r="C91" s="401"/>
      <c r="D91" s="401"/>
      <c r="E91" s="401"/>
      <c r="F91" s="401"/>
      <c r="G91" s="401"/>
      <c r="H91" s="401"/>
      <c r="I91" s="401"/>
      <c r="J91" s="400"/>
    </row>
    <row r="92" spans="2:10" ht="12.75" customHeight="1">
      <c r="B92" s="402"/>
      <c r="C92" s="401"/>
      <c r="D92" s="401"/>
      <c r="E92" s="401"/>
      <c r="F92" s="401"/>
      <c r="G92" s="401"/>
      <c r="H92" s="401"/>
      <c r="I92" s="401"/>
      <c r="J92" s="400"/>
    </row>
    <row r="93" spans="2:10" ht="12.75" customHeight="1">
      <c r="B93" s="402"/>
      <c r="C93" s="401"/>
      <c r="D93" s="401"/>
      <c r="E93" s="401"/>
      <c r="F93" s="401"/>
      <c r="G93" s="401"/>
      <c r="H93" s="401"/>
      <c r="I93" s="401"/>
      <c r="J93" s="400"/>
    </row>
    <row r="94" spans="2:10" ht="12.75" customHeight="1">
      <c r="B94" s="402"/>
      <c r="C94" s="401"/>
      <c r="D94" s="401"/>
      <c r="E94" s="401"/>
      <c r="F94" s="401"/>
      <c r="G94" s="401"/>
      <c r="H94" s="401"/>
      <c r="I94" s="401"/>
      <c r="J94" s="400"/>
    </row>
    <row r="95" spans="2:10" ht="12.75" customHeight="1">
      <c r="C95" s="401"/>
      <c r="D95" s="401"/>
      <c r="E95" s="401"/>
      <c r="F95" s="401"/>
      <c r="G95" s="401"/>
      <c r="H95" s="401"/>
      <c r="I95" s="401"/>
      <c r="J95" s="400"/>
    </row>
    <row r="96" spans="2:10" ht="12.75" customHeight="1">
      <c r="B96" s="402"/>
      <c r="C96" s="401"/>
      <c r="D96" s="401"/>
      <c r="E96" s="401"/>
      <c r="F96" s="401"/>
      <c r="G96" s="401"/>
      <c r="H96" s="401"/>
      <c r="I96" s="401"/>
      <c r="J96" s="400"/>
    </row>
    <row r="97" spans="2:10" ht="12.75" customHeight="1">
      <c r="C97" s="401"/>
      <c r="D97" s="401"/>
      <c r="E97" s="401"/>
      <c r="F97" s="401"/>
      <c r="G97" s="401"/>
      <c r="H97" s="401"/>
      <c r="I97" s="401"/>
      <c r="J97" s="400"/>
    </row>
    <row r="98" spans="2:10" ht="12.75" customHeight="1">
      <c r="B98" s="402"/>
      <c r="C98" s="401"/>
      <c r="D98" s="401"/>
      <c r="E98" s="401"/>
      <c r="F98" s="401"/>
      <c r="G98" s="401"/>
      <c r="H98" s="401"/>
      <c r="I98" s="401"/>
      <c r="J98" s="400"/>
    </row>
    <row r="99" spans="2:10" ht="14.4" thickBot="1">
      <c r="B99" s="399"/>
      <c r="C99" s="398"/>
      <c r="D99" s="398"/>
      <c r="E99" s="398"/>
      <c r="F99" s="398"/>
      <c r="G99" s="398"/>
      <c r="H99" s="398"/>
      <c r="I99" s="398"/>
      <c r="J99" s="397"/>
    </row>
    <row r="100" spans="2:10">
      <c r="H100" s="68"/>
    </row>
    <row r="101" spans="2:10">
      <c r="H101" s="68"/>
    </row>
    <row r="102" spans="2:10" ht="12.75" customHeight="1">
      <c r="I102" s="66"/>
    </row>
    <row r="103" spans="2:10">
      <c r="I103" s="66"/>
    </row>
    <row r="104" spans="2:10" ht="12.75" customHeight="1"/>
    <row r="105" spans="2:10" ht="12.75" customHeight="1"/>
    <row r="109" spans="2:10" ht="12.75" customHeight="1"/>
    <row r="112" spans="2:10" ht="12.75" customHeight="1"/>
    <row r="114" ht="12.75" customHeight="1"/>
  </sheetData>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'C:\Users\B003920\Desktop\[Kopi af alternativ_drivmiddelmodel_3.0_2.xlsm]Sheet1'!#REF!</xm:f>
          </x14:formula1>
          <xm:sqref>C9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rgb="FF002060"/>
    <pageSetUpPr fitToPage="1"/>
  </sheetPr>
  <dimension ref="B1:R114"/>
  <sheetViews>
    <sheetView topLeftCell="A17" zoomScale="80" zoomScaleNormal="80" workbookViewId="0">
      <selection activeCell="D64" sqref="D64:G64"/>
    </sheetView>
  </sheetViews>
  <sheetFormatPr defaultColWidth="8.88671875" defaultRowHeight="13.8"/>
  <cols>
    <col min="1" max="1" width="2.88671875" style="65" customWidth="1"/>
    <col min="2" max="2" width="26.88671875" style="65" customWidth="1"/>
    <col min="3" max="3" width="15" style="65" customWidth="1"/>
    <col min="4" max="7" width="14.5546875" style="65" customWidth="1"/>
    <col min="8" max="8" width="15.88671875" style="65" customWidth="1"/>
    <col min="9" max="9" width="5.6640625" style="65" customWidth="1"/>
    <col min="10" max="10" width="48.5546875" style="65" customWidth="1"/>
    <col min="11" max="11" width="10" style="65" bestFit="1" customWidth="1"/>
    <col min="12" max="12" width="15.88671875" style="65" customWidth="1"/>
    <col min="13" max="14" width="9" style="65" bestFit="1" customWidth="1"/>
    <col min="15" max="23" width="10.88671875" style="65" customWidth="1"/>
    <col min="24" max="16384" width="8.88671875" style="65"/>
  </cols>
  <sheetData>
    <row r="1" spans="2:18" s="62" customFormat="1" ht="21">
      <c r="B1" s="62" t="s">
        <v>423</v>
      </c>
      <c r="Q1" s="62">
        <v>0</v>
      </c>
      <c r="R1" s="62">
        <v>0</v>
      </c>
    </row>
    <row r="4" spans="2:18" ht="14.4" thickBot="1">
      <c r="B4" s="154" t="s">
        <v>91</v>
      </c>
    </row>
    <row r="5" spans="2:18">
      <c r="B5" s="157" t="s">
        <v>201</v>
      </c>
      <c r="C5" s="85"/>
      <c r="D5" s="85"/>
      <c r="E5" s="85"/>
      <c r="F5" s="85"/>
      <c r="G5" s="85"/>
      <c r="H5" s="85"/>
      <c r="I5" s="85"/>
      <c r="J5" s="85"/>
      <c r="K5" s="85"/>
      <c r="L5" s="85"/>
      <c r="M5" s="85"/>
      <c r="N5" s="83"/>
    </row>
    <row r="6" spans="2:18" ht="12.75" customHeight="1">
      <c r="B6" s="446" t="s">
        <v>422</v>
      </c>
      <c r="C6" s="444"/>
      <c r="D6" s="444"/>
      <c r="E6" s="444"/>
      <c r="F6" s="444"/>
      <c r="G6" s="444"/>
      <c r="H6" s="444"/>
      <c r="I6" s="444"/>
      <c r="J6" s="444"/>
      <c r="K6" s="444"/>
      <c r="L6" s="444"/>
      <c r="M6" s="444"/>
      <c r="N6" s="443"/>
    </row>
    <row r="7" spans="2:18">
      <c r="B7" s="446" t="s">
        <v>421</v>
      </c>
      <c r="C7" s="444"/>
      <c r="D7" s="444"/>
      <c r="E7" s="444"/>
      <c r="F7" s="444"/>
      <c r="G7" s="444"/>
      <c r="H7" s="444"/>
      <c r="I7" s="444"/>
      <c r="J7" s="444"/>
      <c r="K7" s="444"/>
      <c r="L7" s="444"/>
      <c r="M7" s="444"/>
      <c r="N7" s="443"/>
    </row>
    <row r="8" spans="2:18" ht="17.25" customHeight="1">
      <c r="B8" s="445"/>
      <c r="C8" s="444"/>
      <c r="D8" s="444"/>
      <c r="E8" s="444"/>
      <c r="F8" s="444"/>
      <c r="G8" s="444"/>
      <c r="H8" s="444"/>
      <c r="I8" s="444"/>
      <c r="J8" s="444"/>
      <c r="K8" s="444"/>
      <c r="L8" s="444"/>
      <c r="M8" s="444"/>
      <c r="N8" s="443"/>
    </row>
    <row r="9" spans="2:18" ht="12.75" customHeight="1">
      <c r="B9" s="156" t="s">
        <v>232</v>
      </c>
      <c r="C9" s="61" t="s">
        <v>231</v>
      </c>
      <c r="D9" s="444"/>
      <c r="E9" s="444"/>
      <c r="F9" s="444"/>
      <c r="G9" s="444"/>
      <c r="H9" s="444"/>
      <c r="I9" s="444"/>
      <c r="J9" s="444"/>
      <c r="K9" s="444"/>
      <c r="L9" s="444"/>
      <c r="M9" s="444"/>
      <c r="N9" s="443"/>
    </row>
    <row r="10" spans="2:18" ht="17.25" customHeight="1">
      <c r="B10" s="445"/>
      <c r="C10" s="444"/>
      <c r="D10" s="444"/>
      <c r="E10" s="444"/>
      <c r="F10" s="444"/>
      <c r="G10" s="444"/>
      <c r="H10" s="444"/>
      <c r="I10" s="444"/>
      <c r="J10" s="444"/>
      <c r="K10" s="444"/>
      <c r="L10" s="444"/>
      <c r="M10" s="444"/>
      <c r="N10" s="443"/>
    </row>
    <row r="11" spans="2:18">
      <c r="B11" s="436" t="s">
        <v>93</v>
      </c>
      <c r="C11" s="435"/>
      <c r="D11" s="435"/>
      <c r="E11" s="435"/>
      <c r="F11" s="435"/>
      <c r="G11" s="435"/>
      <c r="H11" s="77"/>
      <c r="I11" s="435"/>
      <c r="J11" s="435"/>
      <c r="K11" s="435"/>
      <c r="L11" s="435"/>
      <c r="M11" s="435"/>
      <c r="N11" s="434"/>
    </row>
    <row r="12" spans="2:18">
      <c r="B12" s="1581" t="s">
        <v>420</v>
      </c>
      <c r="C12" s="1582"/>
      <c r="D12" s="1582"/>
      <c r="E12" s="1582"/>
      <c r="F12" s="1582"/>
      <c r="G12" s="1582"/>
      <c r="H12" s="1582"/>
      <c r="I12" s="1582"/>
      <c r="J12" s="1582"/>
      <c r="K12" s="1582"/>
      <c r="L12" s="1582"/>
      <c r="M12" s="1582"/>
      <c r="N12" s="1583"/>
    </row>
    <row r="13" spans="2:18" ht="29.25" customHeight="1">
      <c r="B13" s="1581"/>
      <c r="C13" s="1582"/>
      <c r="D13" s="1582"/>
      <c r="E13" s="1582"/>
      <c r="F13" s="1582"/>
      <c r="G13" s="1582"/>
      <c r="H13" s="1582"/>
      <c r="I13" s="1582"/>
      <c r="J13" s="1582"/>
      <c r="K13" s="1582"/>
      <c r="L13" s="1582"/>
      <c r="M13" s="1582"/>
      <c r="N13" s="1583"/>
    </row>
    <row r="14" spans="2:18">
      <c r="B14" s="1581" t="s">
        <v>419</v>
      </c>
      <c r="C14" s="1582"/>
      <c r="D14" s="1582"/>
      <c r="E14" s="1582"/>
      <c r="F14" s="1582"/>
      <c r="G14" s="1582"/>
      <c r="H14" s="1582"/>
      <c r="I14" s="1582"/>
      <c r="J14" s="1582"/>
      <c r="K14" s="1582"/>
      <c r="L14" s="1582"/>
      <c r="M14" s="1582"/>
      <c r="N14" s="1583"/>
    </row>
    <row r="15" spans="2:18">
      <c r="B15" s="1581"/>
      <c r="C15" s="1582"/>
      <c r="D15" s="1582"/>
      <c r="E15" s="1582"/>
      <c r="F15" s="1582"/>
      <c r="G15" s="1582"/>
      <c r="H15" s="1582"/>
      <c r="I15" s="1582"/>
      <c r="J15" s="1582"/>
      <c r="K15" s="1582"/>
      <c r="L15" s="1582"/>
      <c r="M15" s="1582"/>
      <c r="N15" s="1583"/>
    </row>
    <row r="16" spans="2:18">
      <c r="B16" s="1581"/>
      <c r="C16" s="1582"/>
      <c r="D16" s="1582"/>
      <c r="E16" s="1582"/>
      <c r="F16" s="1582"/>
      <c r="G16" s="1582"/>
      <c r="H16" s="1582"/>
      <c r="I16" s="1582"/>
      <c r="J16" s="1582"/>
      <c r="K16" s="1582"/>
      <c r="L16" s="1582"/>
      <c r="M16" s="1582"/>
      <c r="N16" s="1583"/>
    </row>
    <row r="17" spans="2:14" ht="14.4" thickBot="1">
      <c r="B17" s="1584"/>
      <c r="C17" s="1585"/>
      <c r="D17" s="1585"/>
      <c r="E17" s="1585"/>
      <c r="F17" s="1585"/>
      <c r="G17" s="1585"/>
      <c r="H17" s="1585"/>
      <c r="I17" s="1585"/>
      <c r="J17" s="1585"/>
      <c r="K17" s="1585"/>
      <c r="L17" s="1585"/>
      <c r="M17" s="1585"/>
      <c r="N17" s="1586"/>
    </row>
    <row r="19" spans="2:14" ht="13.5" customHeight="1" thickBot="1">
      <c r="B19" s="154" t="s">
        <v>95</v>
      </c>
      <c r="E19" s="153"/>
    </row>
    <row r="20" spans="2:14" ht="12.75" customHeight="1">
      <c r="B20" s="88"/>
      <c r="C20" s="110"/>
      <c r="D20" s="85"/>
      <c r="E20" s="85"/>
      <c r="F20" s="85"/>
      <c r="G20" s="85"/>
      <c r="H20" s="85"/>
      <c r="I20" s="85" t="s">
        <v>96</v>
      </c>
      <c r="J20" s="83" t="s">
        <v>97</v>
      </c>
    </row>
    <row r="21" spans="2:14" ht="12.75" customHeight="1">
      <c r="B21" s="109"/>
      <c r="C21" s="108" t="s">
        <v>98</v>
      </c>
      <c r="D21" s="427" t="s">
        <v>485</v>
      </c>
      <c r="E21" s="426">
        <v>2020</v>
      </c>
      <c r="F21" s="426">
        <v>2035</v>
      </c>
      <c r="G21" s="426">
        <v>2050</v>
      </c>
      <c r="H21" s="106" t="s">
        <v>99</v>
      </c>
      <c r="I21" s="152"/>
      <c r="J21" s="104"/>
    </row>
    <row r="22" spans="2:14" ht="12.75" customHeight="1">
      <c r="B22" s="128" t="s">
        <v>100</v>
      </c>
      <c r="C22" s="118"/>
      <c r="D22" s="151"/>
      <c r="E22" s="151"/>
      <c r="F22" s="151"/>
      <c r="G22" s="151"/>
      <c r="H22" s="151"/>
      <c r="I22" s="187"/>
      <c r="J22" s="74"/>
    </row>
    <row r="23" spans="2:14">
      <c r="B23" s="145" t="s">
        <v>101</v>
      </c>
      <c r="C23" s="118" t="s">
        <v>197</v>
      </c>
      <c r="D23" s="441">
        <f>D67/D79</f>
        <v>9.0909090909090898E-2</v>
      </c>
      <c r="E23" s="441">
        <f>E67/E79</f>
        <v>0.10357142857142856</v>
      </c>
      <c r="F23" s="441">
        <f>F67/F79</f>
        <v>0.12083333333333335</v>
      </c>
      <c r="G23" s="441">
        <f>G67/G79</f>
        <v>0.12608695652173912</v>
      </c>
      <c r="H23" s="147"/>
      <c r="I23" s="187" t="s">
        <v>648</v>
      </c>
      <c r="J23" s="141"/>
    </row>
    <row r="24" spans="2:14">
      <c r="B24" s="145" t="s">
        <v>102</v>
      </c>
      <c r="C24" s="118" t="s">
        <v>197</v>
      </c>
      <c r="D24" s="442">
        <f>D23</f>
        <v>9.0909090909090898E-2</v>
      </c>
      <c r="E24" s="442">
        <f>E23</f>
        <v>0.10357142857142856</v>
      </c>
      <c r="F24" s="442">
        <f>F23</f>
        <v>0.12083333333333335</v>
      </c>
      <c r="G24" s="442">
        <f>G23</f>
        <v>0.12608695652173912</v>
      </c>
      <c r="H24" s="147"/>
      <c r="I24" s="187" t="s">
        <v>648</v>
      </c>
      <c r="J24" s="141"/>
    </row>
    <row r="25" spans="2:14">
      <c r="B25" s="145" t="s">
        <v>196</v>
      </c>
      <c r="C25" s="118" t="s">
        <v>104</v>
      </c>
      <c r="D25" s="425">
        <f>D79</f>
        <v>0.33</v>
      </c>
      <c r="E25" s="425">
        <f>E79</f>
        <v>0.28000000000000003</v>
      </c>
      <c r="F25" s="425">
        <f>F79</f>
        <v>0.24</v>
      </c>
      <c r="G25" s="425">
        <f>G79</f>
        <v>0.23</v>
      </c>
      <c r="H25" s="142"/>
      <c r="I25" s="187"/>
      <c r="J25" s="141"/>
    </row>
    <row r="26" spans="2:14">
      <c r="B26" s="145" t="s">
        <v>195</v>
      </c>
      <c r="C26" s="118" t="s">
        <v>104</v>
      </c>
      <c r="D26" s="441">
        <f>D25*205</f>
        <v>67.650000000000006</v>
      </c>
      <c r="E26" s="441">
        <f t="shared" ref="E26:G26" si="0">E25*205</f>
        <v>57.400000000000006</v>
      </c>
      <c r="F26" s="441">
        <f t="shared" si="0"/>
        <v>49.199999999999996</v>
      </c>
      <c r="G26" s="441">
        <f t="shared" si="0"/>
        <v>47.15</v>
      </c>
      <c r="H26" s="142"/>
      <c r="I26" s="187"/>
      <c r="J26" s="141"/>
    </row>
    <row r="27" spans="2:14">
      <c r="B27" s="133" t="s">
        <v>106</v>
      </c>
      <c r="C27" s="118" t="s">
        <v>107</v>
      </c>
      <c r="D27" s="140">
        <v>25</v>
      </c>
      <c r="E27" s="125">
        <v>17</v>
      </c>
      <c r="F27" s="125">
        <v>17</v>
      </c>
      <c r="G27" s="125">
        <v>17</v>
      </c>
      <c r="H27" s="125"/>
      <c r="I27" s="187"/>
      <c r="J27" s="74"/>
    </row>
    <row r="28" spans="2:14">
      <c r="B28" s="133" t="s">
        <v>108</v>
      </c>
      <c r="C28" s="118" t="s">
        <v>109</v>
      </c>
      <c r="D28" s="138">
        <f>+D71</f>
        <v>4.5</v>
      </c>
      <c r="E28" s="138">
        <f>+E71</f>
        <v>4.3499999999999996</v>
      </c>
      <c r="F28" s="138">
        <f>+F71</f>
        <v>4.3499999999999996</v>
      </c>
      <c r="G28" s="138">
        <f>+G71</f>
        <v>4.3499999999999996</v>
      </c>
      <c r="H28" s="138"/>
      <c r="I28" s="187"/>
      <c r="J28" s="74"/>
    </row>
    <row r="29" spans="2:14">
      <c r="B29" s="78"/>
      <c r="C29" s="137"/>
      <c r="D29" s="98"/>
      <c r="E29" s="98"/>
      <c r="F29" s="98"/>
      <c r="G29" s="98"/>
      <c r="H29" s="98"/>
      <c r="I29" s="187"/>
      <c r="J29" s="74"/>
    </row>
    <row r="30" spans="2:14">
      <c r="B30" s="128" t="s">
        <v>110</v>
      </c>
      <c r="C30" s="118"/>
      <c r="D30" s="98"/>
      <c r="E30" s="98"/>
      <c r="F30" s="98"/>
      <c r="G30" s="98"/>
      <c r="H30" s="98"/>
      <c r="I30" s="187"/>
      <c r="J30" s="74"/>
    </row>
    <row r="31" spans="2:14">
      <c r="B31" s="133" t="s">
        <v>111</v>
      </c>
      <c r="C31" s="118" t="s">
        <v>15</v>
      </c>
      <c r="D31" s="136">
        <v>205422.47751024066</v>
      </c>
      <c r="E31" s="136">
        <v>205422.47751024066</v>
      </c>
      <c r="F31" s="136">
        <v>205422.47751024066</v>
      </c>
      <c r="G31" s="136">
        <v>205422.47751024066</v>
      </c>
      <c r="H31" s="135">
        <v>2015</v>
      </c>
      <c r="I31" s="187"/>
      <c r="J31" s="74"/>
    </row>
    <row r="32" spans="2:14">
      <c r="B32" s="78" t="s">
        <v>16</v>
      </c>
      <c r="C32" s="118" t="s">
        <v>17</v>
      </c>
      <c r="D32" s="136">
        <v>12358.452919819685</v>
      </c>
      <c r="E32" s="136">
        <v>13622.668051221617</v>
      </c>
      <c r="F32" s="136">
        <v>13622.668051221617</v>
      </c>
      <c r="G32" s="136">
        <v>13622.668051221617</v>
      </c>
      <c r="H32" s="135">
        <v>2015</v>
      </c>
      <c r="I32" s="187"/>
      <c r="J32" s="74"/>
    </row>
    <row r="33" spans="2:10">
      <c r="B33" s="129" t="s">
        <v>18</v>
      </c>
      <c r="C33" s="118" t="s">
        <v>17</v>
      </c>
      <c r="D33" s="136">
        <v>3238.9399030771801</v>
      </c>
      <c r="E33" s="136">
        <v>4188.689068384545</v>
      </c>
      <c r="F33" s="136">
        <v>4188.689068384545</v>
      </c>
      <c r="G33" s="136">
        <v>4188.689068384545</v>
      </c>
      <c r="H33" s="135">
        <v>2015</v>
      </c>
      <c r="I33" s="187"/>
      <c r="J33" s="74"/>
    </row>
    <row r="34" spans="2:10">
      <c r="B34" s="129" t="s">
        <v>19</v>
      </c>
      <c r="C34" s="118" t="s">
        <v>17</v>
      </c>
      <c r="D34" s="136">
        <v>9119.513016742505</v>
      </c>
      <c r="E34" s="136">
        <v>9433.9789828370722</v>
      </c>
      <c r="F34" s="136">
        <v>9433.9789828370722</v>
      </c>
      <c r="G34" s="136">
        <v>9433.9789828370722</v>
      </c>
      <c r="H34" s="135">
        <v>2015</v>
      </c>
      <c r="I34" s="187"/>
      <c r="J34" s="74"/>
    </row>
    <row r="35" spans="2:10">
      <c r="B35" s="129"/>
      <c r="C35" s="118"/>
      <c r="D35" s="136"/>
      <c r="E35" s="136"/>
      <c r="F35" s="136"/>
      <c r="G35" s="136"/>
      <c r="H35" s="135"/>
      <c r="I35" s="187"/>
      <c r="J35" s="74"/>
    </row>
    <row r="36" spans="2:10">
      <c r="B36" s="129" t="s">
        <v>112</v>
      </c>
      <c r="C36" s="118" t="s">
        <v>17</v>
      </c>
      <c r="D36" s="136">
        <v>0</v>
      </c>
      <c r="E36" s="136">
        <v>0</v>
      </c>
      <c r="F36" s="136">
        <v>0</v>
      </c>
      <c r="G36" s="136">
        <v>0</v>
      </c>
      <c r="H36" s="135">
        <v>2015</v>
      </c>
      <c r="I36" s="187"/>
      <c r="J36" s="74"/>
    </row>
    <row r="37" spans="2:10">
      <c r="B37" s="128"/>
      <c r="C37" s="118"/>
      <c r="D37" s="134"/>
      <c r="E37" s="98"/>
      <c r="F37" s="98"/>
      <c r="G37" s="98"/>
      <c r="H37" s="98"/>
      <c r="I37" s="187"/>
      <c r="J37" s="74"/>
    </row>
    <row r="38" spans="2:10">
      <c r="B38" s="133" t="s">
        <v>111</v>
      </c>
      <c r="C38" s="118" t="s">
        <v>15</v>
      </c>
      <c r="D38" s="127">
        <f>22000000/D70</f>
        <v>192982.45614035087</v>
      </c>
      <c r="E38" s="127">
        <f>22000000/E70</f>
        <v>192982.45614035087</v>
      </c>
      <c r="F38" s="127">
        <f>22000000/F70</f>
        <v>192982.45614035087</v>
      </c>
      <c r="G38" s="127">
        <f>22000000/G70</f>
        <v>192982.45614035087</v>
      </c>
      <c r="H38" s="130">
        <v>2011</v>
      </c>
      <c r="I38" s="349" t="s">
        <v>652</v>
      </c>
      <c r="J38" s="74" t="s">
        <v>418</v>
      </c>
    </row>
    <row r="39" spans="2:10">
      <c r="B39" s="240" t="s">
        <v>16</v>
      </c>
      <c r="C39" s="118" t="s">
        <v>17</v>
      </c>
      <c r="D39" s="258">
        <f>SUM(D40:D43)</f>
        <v>11610.046901721351</v>
      </c>
      <c r="E39" s="258">
        <f>SUM(E40:E43)</f>
        <v>12797.703404090129</v>
      </c>
      <c r="F39" s="258">
        <f>SUM(F40:F43)</f>
        <v>12797.703404090129</v>
      </c>
      <c r="G39" s="258">
        <f>SUM(G40:G43)</f>
        <v>12797.703404090129</v>
      </c>
      <c r="H39" s="130">
        <v>2011</v>
      </c>
      <c r="I39" s="187"/>
      <c r="J39" s="74"/>
    </row>
    <row r="40" spans="2:10">
      <c r="B40" s="129" t="s">
        <v>18</v>
      </c>
      <c r="C40" s="118" t="s">
        <v>17</v>
      </c>
      <c r="D40" s="424">
        <v>3042.7954397330445</v>
      </c>
      <c r="E40" s="424">
        <v>3935.0294778953303</v>
      </c>
      <c r="F40" s="424">
        <v>3935.0294778953303</v>
      </c>
      <c r="G40" s="424">
        <v>3935.0294778953303</v>
      </c>
      <c r="H40" s="130">
        <v>2011</v>
      </c>
      <c r="I40" s="187" t="s">
        <v>649</v>
      </c>
      <c r="J40" s="74" t="s">
        <v>194</v>
      </c>
    </row>
    <row r="41" spans="2:10">
      <c r="B41" s="129" t="s">
        <v>19</v>
      </c>
      <c r="C41" s="118" t="s">
        <v>17</v>
      </c>
      <c r="D41" s="423">
        <f>D72</f>
        <v>8567.2514619883059</v>
      </c>
      <c r="E41" s="423">
        <f>E72</f>
        <v>8862.6739261947987</v>
      </c>
      <c r="F41" s="423">
        <f>F72</f>
        <v>8862.6739261947987</v>
      </c>
      <c r="G41" s="423">
        <f>G72</f>
        <v>8862.6739261947987</v>
      </c>
      <c r="H41" s="130">
        <v>2011</v>
      </c>
      <c r="I41" s="187" t="s">
        <v>649</v>
      </c>
      <c r="J41" s="74" t="s">
        <v>194</v>
      </c>
    </row>
    <row r="42" spans="2:10">
      <c r="B42" s="129"/>
      <c r="C42" s="118"/>
      <c r="D42" s="98"/>
      <c r="E42" s="98"/>
      <c r="F42" s="98"/>
      <c r="G42" s="98"/>
      <c r="H42" s="130"/>
      <c r="I42" s="187"/>
      <c r="J42" s="74"/>
    </row>
    <row r="43" spans="2:10">
      <c r="B43" s="129" t="s">
        <v>112</v>
      </c>
      <c r="C43" s="118" t="s">
        <v>17</v>
      </c>
      <c r="D43" s="422">
        <v>0</v>
      </c>
      <c r="E43" s="422">
        <v>0</v>
      </c>
      <c r="F43" s="422">
        <v>0</v>
      </c>
      <c r="G43" s="422">
        <v>0</v>
      </c>
      <c r="H43" s="130">
        <v>2011</v>
      </c>
      <c r="I43" s="187" t="s">
        <v>649</v>
      </c>
      <c r="J43" s="74" t="s">
        <v>194</v>
      </c>
    </row>
    <row r="44" spans="2:10">
      <c r="B44" s="129"/>
      <c r="C44" s="118"/>
      <c r="D44" s="98"/>
      <c r="E44" s="122"/>
      <c r="F44" s="122"/>
      <c r="G44" s="122"/>
      <c r="H44" s="98"/>
      <c r="I44" s="187"/>
      <c r="J44" s="74"/>
    </row>
    <row r="45" spans="2:10">
      <c r="B45" s="128" t="s">
        <v>113</v>
      </c>
      <c r="C45" s="118"/>
      <c r="D45" s="98"/>
      <c r="E45" s="122"/>
      <c r="F45" s="122"/>
      <c r="G45" s="122"/>
      <c r="H45" s="127"/>
      <c r="I45" s="187"/>
      <c r="J45" s="74"/>
    </row>
    <row r="46" spans="2:10">
      <c r="B46" s="123" t="s">
        <v>30</v>
      </c>
      <c r="C46" s="118"/>
      <c r="D46" s="98"/>
      <c r="E46" s="122"/>
      <c r="F46" s="122"/>
      <c r="G46" s="122"/>
      <c r="H46" s="126"/>
      <c r="I46" s="187"/>
      <c r="J46" s="74"/>
    </row>
    <row r="47" spans="2:10">
      <c r="B47" s="78" t="s">
        <v>20</v>
      </c>
      <c r="C47" s="118" t="s">
        <v>417</v>
      </c>
      <c r="D47" s="421"/>
      <c r="E47" s="421"/>
      <c r="F47" s="421"/>
      <c r="G47" s="421"/>
      <c r="H47" s="126"/>
      <c r="I47" s="187"/>
      <c r="J47" s="74"/>
    </row>
    <row r="48" spans="2:10">
      <c r="B48" s="78" t="s">
        <v>21</v>
      </c>
      <c r="C48" s="118" t="s">
        <v>417</v>
      </c>
      <c r="D48" s="305"/>
      <c r="E48" s="305"/>
      <c r="F48" s="305"/>
      <c r="G48" s="305"/>
      <c r="H48" s="120"/>
      <c r="I48" s="187"/>
      <c r="J48" s="74"/>
    </row>
    <row r="49" spans="2:10">
      <c r="B49" s="78" t="s">
        <v>22</v>
      </c>
      <c r="C49" s="118" t="s">
        <v>417</v>
      </c>
      <c r="D49" s="305"/>
      <c r="E49" s="305"/>
      <c r="F49" s="305"/>
      <c r="G49" s="305"/>
      <c r="H49" s="98"/>
      <c r="I49" s="187"/>
      <c r="J49" s="74"/>
    </row>
    <row r="50" spans="2:10">
      <c r="B50" s="78" t="s">
        <v>23</v>
      </c>
      <c r="C50" s="118" t="s">
        <v>417</v>
      </c>
      <c r="D50" s="305"/>
      <c r="E50" s="305"/>
      <c r="F50" s="305"/>
      <c r="G50" s="305"/>
      <c r="H50" s="125"/>
      <c r="I50" s="187"/>
      <c r="J50" s="74"/>
    </row>
    <row r="51" spans="2:10">
      <c r="B51" s="78" t="s">
        <v>115</v>
      </c>
      <c r="C51" s="118" t="s">
        <v>417</v>
      </c>
      <c r="D51" s="305">
        <f t="shared" ref="D51:G52" si="1">D84/3.6</f>
        <v>1.3277777777777777</v>
      </c>
      <c r="E51" s="305">
        <f t="shared" si="1"/>
        <v>0.39833333333333332</v>
      </c>
      <c r="F51" s="305">
        <f t="shared" si="1"/>
        <v>0.39833333333333332</v>
      </c>
      <c r="G51" s="305">
        <f t="shared" si="1"/>
        <v>0.39833333333333332</v>
      </c>
      <c r="H51" s="98"/>
      <c r="I51" s="187"/>
      <c r="J51" s="74"/>
    </row>
    <row r="52" spans="2:10">
      <c r="B52" s="78" t="s">
        <v>24</v>
      </c>
      <c r="C52" s="118" t="s">
        <v>417</v>
      </c>
      <c r="D52" s="305">
        <f t="shared" si="1"/>
        <v>1.3333333333333332E-2</v>
      </c>
      <c r="E52" s="305">
        <f t="shared" si="1"/>
        <v>3.3333333333333338E-4</v>
      </c>
      <c r="F52" s="305">
        <f t="shared" si="1"/>
        <v>3.3333333333333338E-4</v>
      </c>
      <c r="G52" s="305">
        <f t="shared" si="1"/>
        <v>3.3333333333333338E-4</v>
      </c>
      <c r="H52" s="98"/>
      <c r="I52" s="187"/>
      <c r="J52" s="74"/>
    </row>
    <row r="53" spans="2:10">
      <c r="B53" s="78"/>
      <c r="C53" s="118"/>
      <c r="D53" s="305"/>
      <c r="E53" s="305"/>
      <c r="F53" s="305"/>
      <c r="G53" s="305"/>
      <c r="H53" s="98"/>
      <c r="I53" s="187"/>
      <c r="J53" s="74"/>
    </row>
    <row r="54" spans="2:10">
      <c r="B54" s="123" t="s">
        <v>31</v>
      </c>
      <c r="C54" s="118"/>
      <c r="D54" s="305"/>
      <c r="E54" s="305"/>
      <c r="F54" s="305"/>
      <c r="G54" s="305"/>
      <c r="H54" s="120"/>
      <c r="I54" s="187"/>
      <c r="J54" s="74"/>
    </row>
    <row r="55" spans="2:10">
      <c r="B55" s="78" t="s">
        <v>20</v>
      </c>
      <c r="C55" s="118" t="s">
        <v>417</v>
      </c>
      <c r="D55" s="421"/>
      <c r="E55" s="421"/>
      <c r="F55" s="421"/>
      <c r="G55" s="421"/>
      <c r="H55" s="197"/>
      <c r="I55" s="187"/>
      <c r="J55" s="74"/>
    </row>
    <row r="56" spans="2:10">
      <c r="B56" s="78" t="s">
        <v>21</v>
      </c>
      <c r="C56" s="118" t="s">
        <v>417</v>
      </c>
      <c r="D56" s="305">
        <f t="shared" ref="D56:G60" si="2">D48</f>
        <v>0</v>
      </c>
      <c r="E56" s="305">
        <f t="shared" si="2"/>
        <v>0</v>
      </c>
      <c r="F56" s="305">
        <f t="shared" si="2"/>
        <v>0</v>
      </c>
      <c r="G56" s="305">
        <f t="shared" si="2"/>
        <v>0</v>
      </c>
      <c r="H56" s="197"/>
      <c r="I56" s="187"/>
      <c r="J56" s="74"/>
    </row>
    <row r="57" spans="2:10">
      <c r="B57" s="78" t="s">
        <v>22</v>
      </c>
      <c r="C57" s="118" t="s">
        <v>417</v>
      </c>
      <c r="D57" s="305">
        <f t="shared" si="2"/>
        <v>0</v>
      </c>
      <c r="E57" s="305">
        <f t="shared" si="2"/>
        <v>0</v>
      </c>
      <c r="F57" s="305">
        <f t="shared" si="2"/>
        <v>0</v>
      </c>
      <c r="G57" s="305">
        <f t="shared" si="2"/>
        <v>0</v>
      </c>
      <c r="H57" s="197"/>
      <c r="I57" s="187"/>
      <c r="J57" s="74"/>
    </row>
    <row r="58" spans="2:10">
      <c r="B58" s="78" t="s">
        <v>23</v>
      </c>
      <c r="C58" s="118" t="s">
        <v>417</v>
      </c>
      <c r="D58" s="305">
        <f t="shared" si="2"/>
        <v>0</v>
      </c>
      <c r="E58" s="305">
        <f t="shared" si="2"/>
        <v>0</v>
      </c>
      <c r="F58" s="305">
        <f t="shared" si="2"/>
        <v>0</v>
      </c>
      <c r="G58" s="305">
        <f t="shared" si="2"/>
        <v>0</v>
      </c>
      <c r="H58" s="197"/>
      <c r="I58" s="187"/>
      <c r="J58" s="74"/>
    </row>
    <row r="59" spans="2:10">
      <c r="B59" s="78" t="s">
        <v>115</v>
      </c>
      <c r="C59" s="118" t="s">
        <v>417</v>
      </c>
      <c r="D59" s="305">
        <f t="shared" si="2"/>
        <v>1.3277777777777777</v>
      </c>
      <c r="E59" s="305">
        <f t="shared" si="2"/>
        <v>0.39833333333333332</v>
      </c>
      <c r="F59" s="305">
        <f t="shared" si="2"/>
        <v>0.39833333333333332</v>
      </c>
      <c r="G59" s="305">
        <f t="shared" si="2"/>
        <v>0.39833333333333332</v>
      </c>
      <c r="H59" s="197"/>
      <c r="I59" s="187"/>
      <c r="J59" s="74"/>
    </row>
    <row r="60" spans="2:10">
      <c r="B60" s="78" t="s">
        <v>24</v>
      </c>
      <c r="C60" s="118" t="s">
        <v>417</v>
      </c>
      <c r="D60" s="305">
        <f t="shared" si="2"/>
        <v>1.3333333333333332E-2</v>
      </c>
      <c r="E60" s="305">
        <f t="shared" si="2"/>
        <v>3.3333333333333338E-4</v>
      </c>
      <c r="F60" s="305">
        <f t="shared" si="2"/>
        <v>3.3333333333333338E-4</v>
      </c>
      <c r="G60" s="305">
        <f t="shared" si="2"/>
        <v>3.3333333333333338E-4</v>
      </c>
      <c r="H60" s="135"/>
      <c r="I60" s="187"/>
      <c r="J60" s="74"/>
    </row>
    <row r="61" spans="2:10" ht="14.4" thickBot="1">
      <c r="B61" s="115"/>
      <c r="C61" s="114"/>
      <c r="D61" s="113"/>
      <c r="E61" s="72"/>
      <c r="F61" s="72"/>
      <c r="G61" s="72"/>
      <c r="H61" s="72"/>
      <c r="I61" s="193"/>
      <c r="J61" s="90"/>
    </row>
    <row r="64" spans="2:10" ht="16.2" thickBot="1">
      <c r="B64" s="89" t="s">
        <v>116</v>
      </c>
    </row>
    <row r="65" spans="2:10">
      <c r="B65" s="88"/>
      <c r="C65" s="110"/>
      <c r="D65" s="85"/>
      <c r="E65" s="85"/>
      <c r="F65" s="85"/>
      <c r="G65" s="85"/>
      <c r="H65" s="85"/>
      <c r="I65" s="85"/>
      <c r="J65" s="83"/>
    </row>
    <row r="66" spans="2:10">
      <c r="B66" s="109"/>
      <c r="C66" s="108" t="s">
        <v>98</v>
      </c>
      <c r="D66" s="107">
        <v>2015</v>
      </c>
      <c r="E66" s="106">
        <v>2020</v>
      </c>
      <c r="F66" s="106">
        <v>2035</v>
      </c>
      <c r="G66" s="106">
        <v>2050</v>
      </c>
      <c r="H66" s="106"/>
      <c r="I66" s="152" t="s">
        <v>96</v>
      </c>
      <c r="J66" s="104" t="s">
        <v>97</v>
      </c>
    </row>
    <row r="67" spans="2:10">
      <c r="B67" s="240" t="s">
        <v>25</v>
      </c>
      <c r="C67" s="95" t="s">
        <v>151</v>
      </c>
      <c r="D67" s="420">
        <v>0.03</v>
      </c>
      <c r="E67" s="420">
        <v>2.9000000000000001E-2</v>
      </c>
      <c r="F67" s="420">
        <v>2.9000000000000001E-2</v>
      </c>
      <c r="G67" s="420">
        <v>2.9000000000000001E-2</v>
      </c>
      <c r="H67" s="420"/>
      <c r="I67" s="77" t="s">
        <v>648</v>
      </c>
      <c r="J67" s="74"/>
    </row>
    <row r="68" spans="2:10">
      <c r="B68" s="240"/>
      <c r="C68" s="95"/>
      <c r="D68" s="420"/>
      <c r="E68" s="420"/>
      <c r="F68" s="420"/>
      <c r="G68" s="420"/>
      <c r="H68" s="420"/>
      <c r="I68" s="77"/>
      <c r="J68" s="74"/>
    </row>
    <row r="69" spans="2:10">
      <c r="B69" s="240" t="s">
        <v>120</v>
      </c>
      <c r="C69" s="95" t="s">
        <v>121</v>
      </c>
      <c r="D69" s="419">
        <v>150000</v>
      </c>
      <c r="E69" s="419">
        <v>150000</v>
      </c>
      <c r="F69" s="419">
        <v>150000</v>
      </c>
      <c r="G69" s="419">
        <v>150000</v>
      </c>
      <c r="H69" s="419"/>
      <c r="I69" s="440" t="s">
        <v>649</v>
      </c>
      <c r="J69" s="74" t="s">
        <v>416</v>
      </c>
    </row>
    <row r="70" spans="2:10">
      <c r="B70" s="240" t="s">
        <v>401</v>
      </c>
      <c r="C70" s="95" t="s">
        <v>400</v>
      </c>
      <c r="D70" s="419">
        <v>114</v>
      </c>
      <c r="E70" s="419">
        <v>114</v>
      </c>
      <c r="F70" s="419">
        <v>114</v>
      </c>
      <c r="G70" s="419">
        <v>114</v>
      </c>
      <c r="H70" s="419"/>
      <c r="I70" s="440"/>
      <c r="J70" s="74"/>
    </row>
    <row r="71" spans="2:10">
      <c r="B71" s="240" t="s">
        <v>413</v>
      </c>
      <c r="C71" s="95" t="s">
        <v>109</v>
      </c>
      <c r="D71" s="417">
        <f>+D67*D69/1000</f>
        <v>4.5</v>
      </c>
      <c r="E71" s="417">
        <f>+E67*E69/1000</f>
        <v>4.3499999999999996</v>
      </c>
      <c r="F71" s="417">
        <f>+F67*F69/1000</f>
        <v>4.3499999999999996</v>
      </c>
      <c r="G71" s="417">
        <f>+G67*G69/1000</f>
        <v>4.3499999999999996</v>
      </c>
      <c r="H71" s="417"/>
      <c r="I71" s="77"/>
      <c r="J71" s="74" t="s">
        <v>191</v>
      </c>
    </row>
    <row r="72" spans="2:10">
      <c r="B72" s="240" t="s">
        <v>412</v>
      </c>
      <c r="C72" s="95" t="s">
        <v>17</v>
      </c>
      <c r="D72" s="416">
        <f>D73*1000/(D67)</f>
        <v>8567.2514619883059</v>
      </c>
      <c r="E72" s="416">
        <f>E73*1000/(E67)</f>
        <v>8862.6739261947987</v>
      </c>
      <c r="F72" s="416">
        <f>F73*1000/(F67)</f>
        <v>8862.6739261947987</v>
      </c>
      <c r="G72" s="416">
        <f>G73*1000/(G67)</f>
        <v>8862.6739261947987</v>
      </c>
      <c r="H72" s="416"/>
      <c r="I72" s="77"/>
      <c r="J72" s="74"/>
    </row>
    <row r="73" spans="2:10">
      <c r="B73" s="240" t="s">
        <v>123</v>
      </c>
      <c r="C73" s="95" t="s">
        <v>411</v>
      </c>
      <c r="D73" s="415">
        <f>29.3/D70</f>
        <v>0.25701754385964914</v>
      </c>
      <c r="E73" s="415">
        <f>29.3/E70</f>
        <v>0.25701754385964914</v>
      </c>
      <c r="F73" s="415">
        <f>29.3/F70</f>
        <v>0.25701754385964914</v>
      </c>
      <c r="G73" s="415">
        <f>29.3/G70</f>
        <v>0.25701754385964914</v>
      </c>
      <c r="H73" s="414"/>
      <c r="I73" s="440" t="s">
        <v>583</v>
      </c>
      <c r="J73" s="195" t="s">
        <v>203</v>
      </c>
    </row>
    <row r="74" spans="2:10">
      <c r="B74" s="413"/>
      <c r="C74" s="95"/>
      <c r="D74" s="412"/>
      <c r="E74" s="411"/>
      <c r="F74" s="410"/>
      <c r="G74" s="410"/>
      <c r="H74" s="410"/>
      <c r="I74" s="349"/>
      <c r="J74" s="74"/>
    </row>
    <row r="75" spans="2:10" ht="14.4" thickBot="1">
      <c r="B75" s="73"/>
      <c r="C75" s="91"/>
      <c r="D75" s="409"/>
      <c r="E75" s="409"/>
      <c r="F75" s="409"/>
      <c r="G75" s="409"/>
      <c r="H75" s="409"/>
      <c r="I75" s="72"/>
      <c r="J75" s="90"/>
    </row>
    <row r="77" spans="2:10" ht="18.75" customHeight="1" thickBot="1">
      <c r="B77" s="89" t="s">
        <v>125</v>
      </c>
    </row>
    <row r="78" spans="2:10">
      <c r="B78" s="88"/>
      <c r="C78" s="85"/>
      <c r="D78" s="408"/>
      <c r="E78" s="408"/>
      <c r="F78" s="408"/>
      <c r="G78" s="408"/>
      <c r="H78" s="408"/>
      <c r="I78" s="85"/>
      <c r="J78" s="83"/>
    </row>
    <row r="79" spans="2:10" ht="12.75" customHeight="1">
      <c r="B79" s="78" t="s">
        <v>189</v>
      </c>
      <c r="C79" s="77" t="s">
        <v>151</v>
      </c>
      <c r="D79" s="184">
        <v>0.33</v>
      </c>
      <c r="E79" s="184">
        <v>0.28000000000000003</v>
      </c>
      <c r="F79" s="184">
        <v>0.24</v>
      </c>
      <c r="G79" s="184">
        <v>0.23</v>
      </c>
      <c r="H79" s="184"/>
      <c r="I79" s="77" t="s">
        <v>648</v>
      </c>
      <c r="J79" s="74"/>
    </row>
    <row r="80" spans="2:10">
      <c r="B80" s="78"/>
      <c r="C80" s="77"/>
      <c r="D80" s="82"/>
      <c r="E80" s="81"/>
      <c r="F80" s="81"/>
      <c r="G80" s="81"/>
      <c r="H80" s="81"/>
      <c r="I80" s="349"/>
      <c r="J80" s="74"/>
    </row>
    <row r="81" spans="2:10" ht="12.75" customHeight="1">
      <c r="B81" s="78"/>
      <c r="C81" s="77"/>
      <c r="D81" s="406"/>
      <c r="E81" s="406"/>
      <c r="F81" s="406"/>
      <c r="G81" s="406"/>
      <c r="H81" s="406"/>
      <c r="I81" s="349"/>
      <c r="J81" s="74"/>
    </row>
    <row r="82" spans="2:10" ht="12.75" customHeight="1">
      <c r="B82" s="78" t="s">
        <v>188</v>
      </c>
      <c r="C82" s="77" t="s">
        <v>184</v>
      </c>
      <c r="D82" s="406">
        <v>0.39</v>
      </c>
      <c r="E82" s="406">
        <f>D82*0.5</f>
        <v>0.19500000000000001</v>
      </c>
      <c r="F82" s="406">
        <f t="shared" ref="F82:G85" si="3">E82</f>
        <v>0.19500000000000001</v>
      </c>
      <c r="G82" s="406">
        <f t="shared" si="3"/>
        <v>0.19500000000000001</v>
      </c>
      <c r="H82" s="406"/>
      <c r="I82" s="349" t="s">
        <v>653</v>
      </c>
      <c r="J82" s="74"/>
    </row>
    <row r="83" spans="2:10">
      <c r="B83" s="78" t="s">
        <v>186</v>
      </c>
      <c r="C83" s="77" t="s">
        <v>184</v>
      </c>
      <c r="D83" s="406">
        <v>0.12</v>
      </c>
      <c r="E83" s="406">
        <f>D83*0.5</f>
        <v>0.06</v>
      </c>
      <c r="F83" s="406">
        <f t="shared" si="3"/>
        <v>0.06</v>
      </c>
      <c r="G83" s="406">
        <f t="shared" si="3"/>
        <v>0.06</v>
      </c>
      <c r="H83" s="406"/>
      <c r="I83" s="349" t="s">
        <v>653</v>
      </c>
      <c r="J83" s="74"/>
    </row>
    <row r="84" spans="2:10">
      <c r="B84" s="78" t="s">
        <v>115</v>
      </c>
      <c r="C84" s="77" t="s">
        <v>184</v>
      </c>
      <c r="D84" s="406">
        <v>4.78</v>
      </c>
      <c r="E84" s="406">
        <f>D84*0.3</f>
        <v>1.4339999999999999</v>
      </c>
      <c r="F84" s="406">
        <f t="shared" si="3"/>
        <v>1.4339999999999999</v>
      </c>
      <c r="G84" s="406">
        <f t="shared" si="3"/>
        <v>1.4339999999999999</v>
      </c>
      <c r="H84" s="406"/>
      <c r="I84" s="349" t="s">
        <v>653</v>
      </c>
      <c r="J84" s="74"/>
    </row>
    <row r="85" spans="2:10">
      <c r="B85" s="78" t="s">
        <v>185</v>
      </c>
      <c r="C85" s="77" t="s">
        <v>184</v>
      </c>
      <c r="D85" s="406">
        <v>4.8000000000000001E-2</v>
      </c>
      <c r="E85" s="406">
        <f>D85*0.5*0.05</f>
        <v>1.2000000000000001E-3</v>
      </c>
      <c r="F85" s="406">
        <f t="shared" si="3"/>
        <v>1.2000000000000001E-3</v>
      </c>
      <c r="G85" s="406">
        <f t="shared" si="3"/>
        <v>1.2000000000000001E-3</v>
      </c>
      <c r="H85" s="406"/>
      <c r="I85" s="349" t="s">
        <v>653</v>
      </c>
      <c r="J85" s="74" t="s">
        <v>183</v>
      </c>
    </row>
    <row r="86" spans="2:10" ht="14.4" thickBot="1">
      <c r="B86" s="73"/>
      <c r="C86" s="72"/>
      <c r="D86" s="72"/>
      <c r="E86" s="72"/>
      <c r="F86" s="72"/>
      <c r="G86" s="72"/>
      <c r="H86" s="72"/>
      <c r="I86" s="72"/>
      <c r="J86" s="70"/>
    </row>
    <row r="87" spans="2:10" ht="13.5" customHeight="1">
      <c r="F87" s="68"/>
      <c r="G87" s="68"/>
      <c r="H87" s="68"/>
    </row>
    <row r="88" spans="2:10" ht="26.25" customHeight="1">
      <c r="F88" s="68"/>
      <c r="G88" s="68"/>
      <c r="H88" s="68"/>
    </row>
    <row r="89" spans="2:10" ht="12.75" customHeight="1" thickBot="1">
      <c r="B89" s="89"/>
      <c r="F89" s="68"/>
      <c r="G89" s="68"/>
      <c r="H89" s="68"/>
    </row>
    <row r="90" spans="2:10" ht="12.75" customHeight="1">
      <c r="B90" s="405"/>
      <c r="C90" s="404"/>
      <c r="D90" s="404"/>
      <c r="E90" s="404"/>
      <c r="F90" s="404"/>
      <c r="G90" s="404"/>
      <c r="H90" s="404"/>
      <c r="I90" s="404"/>
      <c r="J90" s="403"/>
    </row>
    <row r="91" spans="2:10" ht="12.75" customHeight="1">
      <c r="B91" s="402"/>
      <c r="C91" s="401"/>
      <c r="D91" s="401"/>
      <c r="E91" s="401"/>
      <c r="F91" s="401"/>
      <c r="G91" s="401"/>
      <c r="H91" s="401"/>
      <c r="I91" s="401"/>
      <c r="J91" s="400"/>
    </row>
    <row r="92" spans="2:10" ht="12.75" customHeight="1">
      <c r="B92" s="402"/>
      <c r="C92" s="401"/>
      <c r="D92" s="401"/>
      <c r="E92" s="401"/>
      <c r="F92" s="401"/>
      <c r="G92" s="401"/>
      <c r="H92" s="401"/>
      <c r="I92" s="401"/>
      <c r="J92" s="400"/>
    </row>
    <row r="93" spans="2:10" ht="12.75" customHeight="1">
      <c r="B93" s="402"/>
      <c r="C93" s="401"/>
      <c r="D93" s="401"/>
      <c r="E93" s="401"/>
      <c r="F93" s="401"/>
      <c r="G93" s="401"/>
      <c r="H93" s="401"/>
      <c r="I93" s="401"/>
      <c r="J93" s="400"/>
    </row>
    <row r="94" spans="2:10" ht="12.75" customHeight="1">
      <c r="B94" s="402"/>
      <c r="C94" s="401"/>
      <c r="D94" s="401"/>
      <c r="E94" s="401"/>
      <c r="F94" s="401"/>
      <c r="G94" s="401"/>
      <c r="H94" s="401"/>
      <c r="I94" s="401"/>
      <c r="J94" s="400"/>
    </row>
    <row r="95" spans="2:10" ht="12.75" customHeight="1">
      <c r="C95" s="401"/>
      <c r="D95" s="401"/>
      <c r="E95" s="401"/>
      <c r="F95" s="401"/>
      <c r="G95" s="401"/>
      <c r="H95" s="401"/>
      <c r="I95" s="401"/>
      <c r="J95" s="400"/>
    </row>
    <row r="96" spans="2:10" ht="12.75" customHeight="1">
      <c r="C96" s="401"/>
      <c r="D96" s="401"/>
      <c r="E96" s="401"/>
      <c r="F96" s="401"/>
      <c r="G96" s="401"/>
      <c r="H96" s="401"/>
      <c r="I96" s="401"/>
      <c r="J96" s="400"/>
    </row>
    <row r="97" spans="2:10" ht="12.75" customHeight="1">
      <c r="C97" s="401"/>
      <c r="D97" s="401"/>
      <c r="E97" s="401"/>
      <c r="F97" s="401"/>
      <c r="G97" s="401"/>
      <c r="H97" s="401"/>
      <c r="I97" s="401"/>
      <c r="J97" s="400"/>
    </row>
    <row r="98" spans="2:10" ht="12.75" customHeight="1">
      <c r="B98" s="1595"/>
      <c r="C98" s="1596"/>
      <c r="D98" s="1596"/>
      <c r="E98" s="1596"/>
      <c r="F98" s="1596"/>
      <c r="G98" s="1596"/>
      <c r="H98" s="1596"/>
      <c r="I98" s="1596"/>
      <c r="J98" s="1597"/>
    </row>
    <row r="99" spans="2:10" ht="12.75" customHeight="1" thickBot="1">
      <c r="B99" s="399"/>
      <c r="C99" s="398"/>
      <c r="D99" s="398"/>
      <c r="E99" s="398"/>
      <c r="F99" s="398"/>
      <c r="G99" s="398"/>
      <c r="H99" s="398"/>
      <c r="I99" s="398"/>
      <c r="J99" s="397"/>
    </row>
    <row r="100" spans="2:10" ht="13.5" customHeight="1">
      <c r="H100" s="68"/>
    </row>
    <row r="101" spans="2:10" ht="12.75" customHeight="1">
      <c r="H101" s="68"/>
    </row>
    <row r="102" spans="2:10" ht="12.75" customHeight="1">
      <c r="I102" s="66"/>
    </row>
    <row r="103" spans="2:10">
      <c r="I103" s="66"/>
    </row>
    <row r="104" spans="2:10" ht="12.75" customHeight="1"/>
    <row r="105" spans="2:10" ht="12.75" customHeight="1"/>
    <row r="109" spans="2:10" ht="12.75" customHeight="1"/>
    <row r="112" spans="2:10" ht="12.75" customHeight="1"/>
    <row r="114" ht="12.75" customHeight="1"/>
  </sheetData>
  <mergeCells count="3">
    <mergeCell ref="B98:J98"/>
    <mergeCell ref="B12:N13"/>
    <mergeCell ref="B14:N17"/>
  </mergeCells>
  <pageMargins left="0.15748031496062992" right="0.15748031496062992" top="1.25" bottom="0.19685039370078741" header="0.51181102362204722" footer="0.51181102362204722"/>
  <pageSetup paperSize="9" scale="58"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'C:\Users\B003920\Desktop\[Kopi af alternativ_drivmiddelmodel_3.0_2.xlsm]Sheet1'!#REF!</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
  <dimension ref="A1:BF124"/>
  <sheetViews>
    <sheetView tabSelected="1" topLeftCell="C9" zoomScale="70" zoomScaleNormal="70" workbookViewId="0">
      <selection activeCell="Q62" sqref="Q62"/>
    </sheetView>
  </sheetViews>
  <sheetFormatPr defaultRowHeight="13.2"/>
  <cols>
    <col min="1" max="1" width="1.88671875" style="3" customWidth="1"/>
    <col min="2" max="2" width="13.33203125" style="3" bestFit="1" customWidth="1"/>
    <col min="3" max="3" width="23.5546875" customWidth="1"/>
    <col min="4" max="4" width="50.44140625" bestFit="1" customWidth="1"/>
    <col min="5" max="5" width="16.88671875" bestFit="1" customWidth="1"/>
    <col min="6" max="6" width="12.6640625" customWidth="1"/>
    <col min="7" max="7" width="10" bestFit="1" customWidth="1"/>
    <col min="8" max="8" width="12.5546875" bestFit="1" customWidth="1"/>
    <col min="9" max="9" width="13.33203125" bestFit="1" customWidth="1"/>
    <col min="10" max="10" width="13.6640625" customWidth="1"/>
    <col min="11" max="11" width="13.6640625" style="570" customWidth="1"/>
    <col min="12" max="12" width="12.44140625" bestFit="1" customWidth="1"/>
    <col min="13" max="13" width="12.44140625" style="570" customWidth="1"/>
    <col min="14" max="15" width="10.33203125" bestFit="1" customWidth="1"/>
    <col min="16" max="16" width="9.6640625" bestFit="1" customWidth="1"/>
    <col min="17" max="17" width="12" customWidth="1"/>
    <col min="18" max="18" width="12" style="570" customWidth="1"/>
    <col min="19" max="19" width="10.88671875" style="16" customWidth="1"/>
    <col min="20" max="20" width="10.44140625" bestFit="1" customWidth="1"/>
    <col min="21" max="21" width="38.6640625" style="570" customWidth="1"/>
    <col min="22" max="22" width="6" style="570" bestFit="1" customWidth="1"/>
    <col min="23" max="23" width="11.33203125" style="570" bestFit="1" customWidth="1"/>
    <col min="24" max="25" width="14.88671875" style="570" bestFit="1" customWidth="1"/>
    <col min="26" max="26" width="9.109375" style="570"/>
    <col min="27" max="27" width="17.109375" style="570" bestFit="1" customWidth="1"/>
    <col min="28" max="28" width="9.109375" style="570"/>
    <col min="29" max="29" width="16" style="570" bestFit="1" customWidth="1"/>
    <col min="30" max="33" width="9.109375" style="570"/>
    <col min="34" max="34" width="20.33203125" style="570" customWidth="1"/>
    <col min="35" max="35" width="9.109375" style="570"/>
    <col min="39" max="39" width="12" customWidth="1"/>
    <col min="40" max="40" width="10.5546875" bestFit="1" customWidth="1"/>
    <col min="43" max="43" width="25.88671875" customWidth="1"/>
  </cols>
  <sheetData>
    <row r="1" spans="1:43">
      <c r="P1" s="16"/>
      <c r="Q1" s="16"/>
      <c r="R1" s="573"/>
      <c r="S1"/>
    </row>
    <row r="2" spans="1:43">
      <c r="E2" s="1"/>
      <c r="H2" s="2" t="s">
        <v>0</v>
      </c>
      <c r="I2" t="s">
        <v>88</v>
      </c>
      <c r="J2" s="3"/>
      <c r="K2" s="571"/>
      <c r="O2" s="5"/>
      <c r="P2" s="5"/>
      <c r="Q2" s="5"/>
      <c r="R2" s="1149"/>
      <c r="S2" s="1149"/>
    </row>
    <row r="3" spans="1:43" ht="39.6">
      <c r="C3" s="6" t="s">
        <v>1</v>
      </c>
      <c r="D3" s="6" t="s">
        <v>8</v>
      </c>
      <c r="E3" s="6" t="s">
        <v>2</v>
      </c>
      <c r="F3" s="6" t="s">
        <v>3</v>
      </c>
      <c r="G3" s="6" t="s">
        <v>28</v>
      </c>
      <c r="H3" s="6" t="s">
        <v>218</v>
      </c>
      <c r="I3" s="6" t="s">
        <v>5</v>
      </c>
      <c r="J3" s="6" t="s">
        <v>221</v>
      </c>
      <c r="K3" s="495" t="s">
        <v>535</v>
      </c>
      <c r="L3" s="6" t="s">
        <v>9</v>
      </c>
      <c r="M3" s="1222" t="s">
        <v>530</v>
      </c>
      <c r="N3" s="6" t="s">
        <v>10</v>
      </c>
      <c r="O3" s="8" t="s">
        <v>6</v>
      </c>
      <c r="P3" s="15" t="s">
        <v>4</v>
      </c>
      <c r="Q3" s="7" t="s">
        <v>7</v>
      </c>
      <c r="R3" s="1271" t="s">
        <v>536</v>
      </c>
      <c r="S3" s="43" t="s">
        <v>659</v>
      </c>
      <c r="T3" s="16"/>
      <c r="U3" s="1272" t="s">
        <v>1028</v>
      </c>
      <c r="V3" s="570" t="s">
        <v>220</v>
      </c>
      <c r="X3" s="59">
        <v>3</v>
      </c>
    </row>
    <row r="4" spans="1:43" ht="24.75" customHeight="1" thickBot="1">
      <c r="C4" s="4" t="s">
        <v>11</v>
      </c>
      <c r="D4" s="4"/>
      <c r="E4" s="4"/>
      <c r="F4" s="4"/>
      <c r="G4" s="4"/>
      <c r="H4" s="4" t="s">
        <v>217</v>
      </c>
      <c r="I4" s="4" t="s">
        <v>13</v>
      </c>
      <c r="J4" s="4" t="s">
        <v>222</v>
      </c>
      <c r="K4" s="572" t="s">
        <v>1025</v>
      </c>
      <c r="L4" s="4" t="s">
        <v>219</v>
      </c>
      <c r="M4" s="572"/>
      <c r="N4" s="4" t="s">
        <v>14</v>
      </c>
      <c r="O4" s="4" t="s">
        <v>83</v>
      </c>
      <c r="P4" s="4" t="s">
        <v>12</v>
      </c>
      <c r="Q4" s="4" t="s">
        <v>12</v>
      </c>
      <c r="R4" s="572" t="s">
        <v>90</v>
      </c>
      <c r="S4" s="4" t="s">
        <v>90</v>
      </c>
      <c r="T4" s="16"/>
      <c r="U4" s="573"/>
      <c r="V4" s="28"/>
    </row>
    <row r="5" spans="1:43">
      <c r="C5" s="19" t="str">
        <f>LEFT(F5,4)&amp;RIGHT(E5,5)&amp;"N"</f>
        <v>TFTRDSBL2N</v>
      </c>
      <c r="D5" s="548" t="s">
        <v>618</v>
      </c>
      <c r="E5" s="546" t="s">
        <v>223</v>
      </c>
      <c r="F5" s="570" t="s">
        <v>695</v>
      </c>
      <c r="G5" s="545">
        <v>2015</v>
      </c>
      <c r="H5" s="545" t="s">
        <v>547</v>
      </c>
      <c r="I5" s="545">
        <v>2012</v>
      </c>
      <c r="J5" s="545">
        <v>2019</v>
      </c>
      <c r="L5" s="1281">
        <f>'EU Lastbil'!$D$25/'EU Lastbil'!$D$25</f>
        <v>1</v>
      </c>
      <c r="M5" s="1161"/>
      <c r="N5" s="545">
        <v>6</v>
      </c>
      <c r="O5" s="561"/>
      <c r="P5" s="545">
        <v>156</v>
      </c>
      <c r="Q5" s="549">
        <v>751.0189130831742</v>
      </c>
      <c r="R5" s="549"/>
      <c r="S5" s="552">
        <v>5</v>
      </c>
      <c r="U5" s="570" t="s">
        <v>1029</v>
      </c>
      <c r="V5" s="1598" t="s">
        <v>84</v>
      </c>
      <c r="W5" s="1599"/>
      <c r="X5" s="1600"/>
    </row>
    <row r="6" spans="1:43">
      <c r="B6" s="19"/>
      <c r="C6" s="548"/>
      <c r="D6" s="548"/>
      <c r="E6" s="545"/>
      <c r="F6" s="555" t="s">
        <v>696</v>
      </c>
      <c r="G6" s="545"/>
      <c r="H6" s="545"/>
      <c r="I6" s="545"/>
      <c r="J6" s="545"/>
      <c r="L6" s="1281">
        <f>'EU Lastbil'!$D$25/'EU Lastbil'!$D$25</f>
        <v>1</v>
      </c>
      <c r="M6" s="1161"/>
      <c r="N6" s="545"/>
      <c r="O6" s="561"/>
      <c r="P6" s="545"/>
      <c r="Q6" s="545"/>
      <c r="S6" s="552">
        <v>5</v>
      </c>
      <c r="U6" s="570" t="s">
        <v>1029</v>
      </c>
      <c r="V6" s="1218" t="s">
        <v>85</v>
      </c>
      <c r="W6" s="1219">
        <f>10^-3</f>
        <v>1E-3</v>
      </c>
      <c r="X6" s="1220" t="s">
        <v>12</v>
      </c>
    </row>
    <row r="7" spans="1:43" s="498" customFormat="1">
      <c r="A7" s="3"/>
      <c r="B7" s="500"/>
      <c r="C7" s="548"/>
      <c r="D7" s="548"/>
      <c r="E7" s="545"/>
      <c r="F7" s="555" t="s">
        <v>697</v>
      </c>
      <c r="G7" s="545"/>
      <c r="H7" s="545"/>
      <c r="I7" s="545"/>
      <c r="J7" s="545"/>
      <c r="K7" s="570"/>
      <c r="L7" s="1281">
        <f>'EU Lastbil'!$D$25/'EU Lastbil'!$D$25</f>
        <v>1</v>
      </c>
      <c r="M7" s="1161"/>
      <c r="N7" s="545"/>
      <c r="O7" s="561"/>
      <c r="P7" s="545"/>
      <c r="Q7" s="545"/>
      <c r="R7" s="570"/>
      <c r="S7" s="552">
        <v>5</v>
      </c>
      <c r="U7" s="570" t="s">
        <v>1029</v>
      </c>
      <c r="V7" s="570"/>
      <c r="W7" s="570"/>
      <c r="X7" s="570"/>
      <c r="Y7" s="570"/>
      <c r="Z7" s="570"/>
      <c r="AA7" s="570"/>
      <c r="AB7" s="570"/>
      <c r="AC7" s="570"/>
      <c r="AD7" s="570"/>
      <c r="AE7" s="570"/>
      <c r="AF7" s="570"/>
      <c r="AG7" s="570"/>
      <c r="AH7" s="570"/>
      <c r="AI7" s="570"/>
    </row>
    <row r="8" spans="1:43" s="498" customFormat="1">
      <c r="A8" s="3"/>
      <c r="B8" s="500"/>
      <c r="C8" s="575" t="str">
        <f>LEFT(F8,4)&amp;RIGHT(E8,5)&amp;"N"</f>
        <v>TFTRDSBL3N</v>
      </c>
      <c r="D8" s="548" t="s">
        <v>619</v>
      </c>
      <c r="E8" s="546" t="s">
        <v>224</v>
      </c>
      <c r="F8" s="570" t="s">
        <v>695</v>
      </c>
      <c r="G8" s="545">
        <v>2020</v>
      </c>
      <c r="H8" s="545" t="s">
        <v>547</v>
      </c>
      <c r="I8" s="545">
        <v>2020</v>
      </c>
      <c r="J8" s="545">
        <v>2034</v>
      </c>
      <c r="K8" s="570"/>
      <c r="L8" s="1281">
        <f>'EU Lastbil'!$D$25/'EU Lastbil'!$E$25</f>
        <v>1.1025641025641026</v>
      </c>
      <c r="M8" s="1161"/>
      <c r="N8" s="545">
        <v>6</v>
      </c>
      <c r="O8" s="561"/>
      <c r="P8" s="545">
        <v>156</v>
      </c>
      <c r="Q8" s="549">
        <v>751.0189130831742</v>
      </c>
      <c r="R8" s="549"/>
      <c r="S8" s="558">
        <v>5</v>
      </c>
      <c r="U8" s="570" t="s">
        <v>1029</v>
      </c>
      <c r="V8" s="570"/>
      <c r="W8" s="570"/>
      <c r="X8" s="570"/>
      <c r="Y8" s="570"/>
      <c r="Z8" s="570"/>
      <c r="AA8" s="570"/>
      <c r="AB8" s="570"/>
      <c r="AC8" s="570"/>
      <c r="AD8" s="570"/>
      <c r="AE8" s="570"/>
      <c r="AF8" s="570"/>
      <c r="AG8" s="570"/>
      <c r="AH8" s="570"/>
      <c r="AI8" s="570"/>
    </row>
    <row r="9" spans="1:43">
      <c r="B9" s="19"/>
      <c r="C9" s="548"/>
      <c r="D9" s="548"/>
      <c r="E9" s="545"/>
      <c r="F9" s="555" t="s">
        <v>696</v>
      </c>
      <c r="G9" s="545"/>
      <c r="H9" s="545"/>
      <c r="I9" s="545"/>
      <c r="J9" s="545"/>
      <c r="L9" s="1281">
        <f>'EU Lastbil'!$D$25/'EU Lastbil'!$E$25</f>
        <v>1.1025641025641026</v>
      </c>
      <c r="M9" s="1161"/>
      <c r="N9" s="545"/>
      <c r="O9" s="561"/>
      <c r="P9" s="545"/>
      <c r="Q9" s="545"/>
      <c r="S9" s="558">
        <v>5</v>
      </c>
      <c r="U9" s="570" t="s">
        <v>1029</v>
      </c>
    </row>
    <row r="10" spans="1:43" ht="13.8" thickBot="1">
      <c r="B10" s="19"/>
      <c r="C10" s="553"/>
      <c r="D10" s="548"/>
      <c r="E10" s="545"/>
      <c r="F10" s="555" t="s">
        <v>697</v>
      </c>
      <c r="G10" s="545"/>
      <c r="H10" s="545"/>
      <c r="I10" s="545"/>
      <c r="J10" s="545"/>
      <c r="L10" s="1281">
        <f>'EU Lastbil'!$D$25/'EU Lastbil'!$E$25</f>
        <v>1.1025641025641026</v>
      </c>
      <c r="M10" s="1161"/>
      <c r="N10" s="545"/>
      <c r="O10" s="561"/>
      <c r="P10" s="545"/>
      <c r="Q10" s="545"/>
      <c r="S10" s="558">
        <v>5</v>
      </c>
      <c r="U10" s="570" t="s">
        <v>1029</v>
      </c>
    </row>
    <row r="11" spans="1:43">
      <c r="C11" s="575" t="str">
        <f>LEFT(F11,4)&amp;RIGHT(E11,5)&amp;"N"</f>
        <v>TFTRDSBL4N</v>
      </c>
      <c r="D11" s="548" t="s">
        <v>620</v>
      </c>
      <c r="E11" s="546" t="s">
        <v>225</v>
      </c>
      <c r="F11" s="570" t="s">
        <v>695</v>
      </c>
      <c r="G11" s="545">
        <v>2035</v>
      </c>
      <c r="H11" s="545" t="s">
        <v>547</v>
      </c>
      <c r="I11" s="545">
        <v>2035</v>
      </c>
      <c r="J11" s="545"/>
      <c r="L11" s="1281">
        <f>'EU Lastbil'!$D$25/'EU Lastbil'!$F$25</f>
        <v>1.2731614135625595</v>
      </c>
      <c r="M11" s="1161"/>
      <c r="N11" s="545">
        <v>6</v>
      </c>
      <c r="O11" s="561"/>
      <c r="P11" s="545">
        <v>156</v>
      </c>
      <c r="Q11" s="549">
        <v>751.0189130831742</v>
      </c>
      <c r="R11" s="549"/>
      <c r="S11" s="558">
        <v>5</v>
      </c>
      <c r="U11" s="570" t="s">
        <v>1029</v>
      </c>
      <c r="AD11" s="1247" t="s">
        <v>998</v>
      </c>
      <c r="AE11" s="1248"/>
      <c r="AF11" s="1248"/>
      <c r="AG11" s="1248"/>
      <c r="AH11" s="1248"/>
      <c r="AI11" s="1248"/>
      <c r="AJ11" s="1248"/>
      <c r="AK11" s="1248"/>
      <c r="AL11" s="1248"/>
      <c r="AM11" s="1248"/>
      <c r="AN11" s="1248"/>
      <c r="AO11" s="1248"/>
      <c r="AP11" s="1248"/>
      <c r="AQ11" s="1249"/>
    </row>
    <row r="12" spans="1:43" s="498" customFormat="1">
      <c r="A12" s="3"/>
      <c r="B12" s="3"/>
      <c r="C12" s="553"/>
      <c r="D12" s="548"/>
      <c r="E12" s="545"/>
      <c r="F12" s="555" t="s">
        <v>696</v>
      </c>
      <c r="G12" s="545"/>
      <c r="H12" s="545"/>
      <c r="I12" s="545"/>
      <c r="J12" s="545"/>
      <c r="K12" s="570"/>
      <c r="L12" s="1281">
        <f>'EU Lastbil'!$D$25/'EU Lastbil'!$F$25</f>
        <v>1.2731614135625595</v>
      </c>
      <c r="M12" s="1161"/>
      <c r="N12" s="545"/>
      <c r="O12" s="561"/>
      <c r="P12" s="545"/>
      <c r="Q12" s="545"/>
      <c r="R12" s="570"/>
      <c r="S12" s="558">
        <v>5</v>
      </c>
      <c r="U12" s="570" t="s">
        <v>1029</v>
      </c>
      <c r="V12" s="570"/>
      <c r="W12" s="570"/>
      <c r="X12" s="570"/>
      <c r="Y12" s="570"/>
      <c r="Z12" s="570"/>
      <c r="AA12" s="570"/>
      <c r="AB12" s="570"/>
      <c r="AC12" s="570"/>
      <c r="AD12" s="1250"/>
      <c r="AE12" s="573" t="s">
        <v>906</v>
      </c>
      <c r="AF12" s="573" t="s">
        <v>783</v>
      </c>
      <c r="AG12" s="554">
        <f t="shared" ref="AG12:AG17" si="0">AH12*$AG$69</f>
        <v>1744.8833613015165</v>
      </c>
      <c r="AH12" s="1251">
        <f t="shared" ref="AH12:AH17" si="1">1000/AI12*$V$59</f>
        <v>165.58856105721125</v>
      </c>
      <c r="AI12" s="573">
        <f>'EU Lastbil El'!D25</f>
        <v>5.109977650337199</v>
      </c>
      <c r="AJ12" s="573"/>
      <c r="AK12" s="573"/>
      <c r="AL12" s="573"/>
      <c r="AM12" s="573"/>
      <c r="AN12" s="573"/>
      <c r="AO12" s="573"/>
      <c r="AP12" s="573"/>
      <c r="AQ12" s="1252"/>
    </row>
    <row r="13" spans="1:43" s="498" customFormat="1">
      <c r="A13" s="3"/>
      <c r="B13" s="3"/>
      <c r="C13" s="559"/>
      <c r="D13" s="559"/>
      <c r="E13" s="547"/>
      <c r="F13" s="555" t="s">
        <v>697</v>
      </c>
      <c r="G13" s="545"/>
      <c r="H13" s="547"/>
      <c r="I13" s="545"/>
      <c r="J13" s="545"/>
      <c r="K13" s="1149"/>
      <c r="L13" s="1282">
        <f>'EU Lastbil'!$D$25/'EU Lastbil'!$F$25</f>
        <v>1.2731614135625595</v>
      </c>
      <c r="M13" s="1162"/>
      <c r="N13" s="545"/>
      <c r="O13" s="561"/>
      <c r="P13" s="545"/>
      <c r="Q13" s="545"/>
      <c r="R13" s="1149"/>
      <c r="S13" s="564">
        <v>5</v>
      </c>
      <c r="U13" s="570" t="s">
        <v>1029</v>
      </c>
      <c r="V13" s="570"/>
      <c r="W13" s="570"/>
      <c r="X13" s="570"/>
      <c r="Y13" s="570"/>
      <c r="Z13" s="570"/>
      <c r="AA13" s="570"/>
      <c r="AB13" s="570"/>
      <c r="AC13" s="570"/>
      <c r="AD13" s="1250"/>
      <c r="AE13" s="573"/>
      <c r="AF13" s="573"/>
      <c r="AG13" s="554">
        <f>AH13*$AG$69</f>
        <v>1935.9695737293043</v>
      </c>
      <c r="AH13" s="1251">
        <f t="shared" si="1"/>
        <v>183.72254734852891</v>
      </c>
      <c r="AI13" s="573">
        <f>'EU Lastbil El'!$E$25</f>
        <v>4.6056069783784297</v>
      </c>
      <c r="AJ13" s="573"/>
      <c r="AK13" s="573"/>
      <c r="AL13" s="573"/>
      <c r="AM13" s="573"/>
      <c r="AN13" s="573"/>
      <c r="AO13" s="573"/>
      <c r="AP13" s="573"/>
      <c r="AQ13" s="1252"/>
    </row>
    <row r="14" spans="1:43" s="538" customFormat="1">
      <c r="A14" s="539"/>
      <c r="B14" s="539"/>
      <c r="C14" s="575" t="str">
        <f>LEFT(F14,4)&amp;RIGHT(E14,5)&amp;"N"</f>
        <v>TFTRNGBL2N</v>
      </c>
      <c r="D14" s="548" t="s">
        <v>621</v>
      </c>
      <c r="E14" s="546" t="s">
        <v>548</v>
      </c>
      <c r="F14" s="570" t="s">
        <v>695</v>
      </c>
      <c r="G14" s="550">
        <v>2015</v>
      </c>
      <c r="H14" s="545" t="s">
        <v>547</v>
      </c>
      <c r="I14" s="550">
        <v>2012</v>
      </c>
      <c r="J14" s="550">
        <v>2019</v>
      </c>
      <c r="K14" s="573"/>
      <c r="L14" s="1283">
        <f>'EU Lastbil'!$D$25/'EU Lastbil Gas'!$D$25</f>
        <v>0.84210526315789469</v>
      </c>
      <c r="M14" s="506"/>
      <c r="N14" s="550">
        <v>6</v>
      </c>
      <c r="O14" s="562"/>
      <c r="P14" s="550">
        <v>162</v>
      </c>
      <c r="Q14" s="551">
        <v>829.97563889802132</v>
      </c>
      <c r="R14" s="554"/>
      <c r="S14" s="558">
        <v>5</v>
      </c>
      <c r="U14" s="570" t="s">
        <v>1029</v>
      </c>
      <c r="V14" s="570"/>
      <c r="W14" s="570"/>
      <c r="X14" s="570"/>
      <c r="Y14" s="570"/>
      <c r="Z14" s="570"/>
      <c r="AA14" s="570"/>
      <c r="AB14" s="570"/>
      <c r="AC14" s="570"/>
      <c r="AD14" s="1250"/>
      <c r="AE14" s="573"/>
      <c r="AF14" s="573"/>
      <c r="AG14" s="554">
        <f t="shared" si="0"/>
        <v>2159.7543237703903</v>
      </c>
      <c r="AH14" s="1251">
        <f t="shared" si="1"/>
        <v>204.95960855714213</v>
      </c>
      <c r="AI14" s="573">
        <f>'EU Lastbil El'!F25</f>
        <v>4.1283931605379749</v>
      </c>
      <c r="AJ14" s="573"/>
      <c r="AK14" s="573"/>
      <c r="AL14" s="573"/>
      <c r="AM14" s="573"/>
      <c r="AN14" s="573"/>
      <c r="AO14" s="573"/>
      <c r="AP14" s="573"/>
      <c r="AQ14" s="1252"/>
    </row>
    <row r="15" spans="1:43" s="538" customFormat="1">
      <c r="A15" s="539"/>
      <c r="B15" s="539"/>
      <c r="C15" s="552"/>
      <c r="D15" s="553"/>
      <c r="E15" s="545"/>
      <c r="F15" s="555" t="s">
        <v>696</v>
      </c>
      <c r="G15" s="545"/>
      <c r="H15" s="545"/>
      <c r="I15" s="545"/>
      <c r="J15" s="545"/>
      <c r="K15" s="570"/>
      <c r="L15" s="1283">
        <f>'EU Lastbil'!$D$25/'EU Lastbil Gas'!$D$25</f>
        <v>0.84210526315789469</v>
      </c>
      <c r="M15" s="506"/>
      <c r="N15" s="545"/>
      <c r="O15" s="561"/>
      <c r="P15" s="545"/>
      <c r="Q15" s="545"/>
      <c r="R15" s="570"/>
      <c r="S15" s="558">
        <v>5</v>
      </c>
      <c r="U15" s="570" t="s">
        <v>1029</v>
      </c>
      <c r="V15" s="570"/>
      <c r="W15" s="570"/>
      <c r="X15" s="570"/>
      <c r="Y15" s="570"/>
      <c r="Z15" s="570"/>
      <c r="AA15" s="570"/>
      <c r="AB15" s="570"/>
      <c r="AC15" s="570"/>
      <c r="AD15" s="1250"/>
      <c r="AE15" s="573" t="s">
        <v>906</v>
      </c>
      <c r="AF15" s="573" t="s">
        <v>29</v>
      </c>
      <c r="AG15" s="554">
        <f t="shared" si="0"/>
        <v>668.89084611372823</v>
      </c>
      <c r="AH15" s="1251">
        <f t="shared" si="1"/>
        <v>63.47740781349183</v>
      </c>
      <c r="AI15" s="573">
        <f>'EU Lastbil'!D25</f>
        <v>13.33</v>
      </c>
      <c r="AJ15" s="573"/>
      <c r="AK15" s="573"/>
      <c r="AL15" s="573"/>
      <c r="AM15" s="573"/>
      <c r="AN15" s="573"/>
      <c r="AO15" s="573"/>
      <c r="AP15" s="573"/>
      <c r="AQ15" s="1252"/>
    </row>
    <row r="16" spans="1:43" s="538" customFormat="1">
      <c r="A16" s="539"/>
      <c r="B16" s="539"/>
      <c r="C16" s="552"/>
      <c r="D16" s="553"/>
      <c r="E16" s="545"/>
      <c r="F16" s="555" t="s">
        <v>697</v>
      </c>
      <c r="G16" s="545"/>
      <c r="H16" s="545"/>
      <c r="I16" s="545"/>
      <c r="J16" s="545"/>
      <c r="K16" s="570"/>
      <c r="L16" s="1283">
        <f>'EU Lastbil'!$D$25/'EU Lastbil Gas'!$D$25</f>
        <v>0.84210526315789469</v>
      </c>
      <c r="M16" s="506"/>
      <c r="N16" s="545"/>
      <c r="O16" s="561"/>
      <c r="P16" s="545"/>
      <c r="Q16" s="545"/>
      <c r="R16" s="570"/>
      <c r="S16" s="558">
        <v>5</v>
      </c>
      <c r="U16" s="570" t="s">
        <v>1029</v>
      </c>
      <c r="V16" s="570"/>
      <c r="W16" s="570"/>
      <c r="X16" s="570"/>
      <c r="Y16" s="570"/>
      <c r="Z16" s="570"/>
      <c r="AA16" s="570"/>
      <c r="AB16" s="570"/>
      <c r="AC16" s="570"/>
      <c r="AD16" s="1250"/>
      <c r="AE16" s="573"/>
      <c r="AF16" s="573"/>
      <c r="AG16" s="554">
        <f t="shared" si="0"/>
        <v>737.49503545872585</v>
      </c>
      <c r="AH16" s="1251">
        <f t="shared" si="1"/>
        <v>69.987911178978166</v>
      </c>
      <c r="AI16" s="573">
        <f>'EU Lastbil'!E25</f>
        <v>12.09</v>
      </c>
      <c r="AJ16" s="573"/>
      <c r="AK16" s="573"/>
      <c r="AL16" s="573"/>
      <c r="AM16" s="573"/>
      <c r="AN16" s="573"/>
      <c r="AO16" s="573"/>
      <c r="AP16" s="573"/>
      <c r="AQ16" s="1252"/>
    </row>
    <row r="17" spans="1:43" s="538" customFormat="1">
      <c r="A17" s="539"/>
      <c r="B17" s="539"/>
      <c r="C17" s="575" t="str">
        <f>LEFT(F17,4)&amp;RIGHT(E17,5)&amp;"N"</f>
        <v>TFTRNGBL3N</v>
      </c>
      <c r="D17" s="548" t="s">
        <v>622</v>
      </c>
      <c r="E17" s="546" t="s">
        <v>549</v>
      </c>
      <c r="F17" s="570" t="s">
        <v>695</v>
      </c>
      <c r="G17" s="552">
        <v>2020</v>
      </c>
      <c r="H17" s="545" t="s">
        <v>547</v>
      </c>
      <c r="I17" s="545">
        <v>2020</v>
      </c>
      <c r="J17" s="545">
        <v>2034</v>
      </c>
      <c r="K17" s="570"/>
      <c r="L17" s="1283">
        <f>'EU Lastbil'!$D$25/'EU Lastbil Gas'!$E$25</f>
        <v>0.97576923076923072</v>
      </c>
      <c r="M17" s="506"/>
      <c r="N17" s="552">
        <v>6</v>
      </c>
      <c r="O17" s="563"/>
      <c r="P17" s="552">
        <v>162</v>
      </c>
      <c r="Q17" s="554">
        <v>829.97563889802132</v>
      </c>
      <c r="R17" s="554"/>
      <c r="S17" s="558">
        <v>5</v>
      </c>
      <c r="U17" s="570" t="s">
        <v>1029</v>
      </c>
      <c r="V17" s="570"/>
      <c r="W17" s="485" t="s">
        <v>885</v>
      </c>
      <c r="X17" s="485"/>
      <c r="Y17" s="607"/>
      <c r="Z17" s="485"/>
      <c r="AA17" s="485"/>
      <c r="AB17" s="570"/>
      <c r="AC17" s="570"/>
      <c r="AD17" s="1250"/>
      <c r="AE17" s="573"/>
      <c r="AF17" s="573"/>
      <c r="AG17" s="554">
        <f t="shared" si="0"/>
        <v>851.60601515721078</v>
      </c>
      <c r="AH17" s="1251">
        <f t="shared" si="1"/>
        <v>80.816986261112334</v>
      </c>
      <c r="AI17" s="573">
        <f>'EU Lastbil'!F25</f>
        <v>10.47</v>
      </c>
      <c r="AJ17" s="573"/>
      <c r="AK17" s="573"/>
      <c r="AL17" s="573"/>
      <c r="AM17" s="573"/>
      <c r="AN17" s="573"/>
      <c r="AO17" s="573"/>
      <c r="AP17" s="573"/>
      <c r="AQ17" s="1252"/>
    </row>
    <row r="18" spans="1:43" s="538" customFormat="1">
      <c r="A18" s="539"/>
      <c r="B18" s="539"/>
      <c r="C18" s="552"/>
      <c r="D18" s="548"/>
      <c r="E18" s="545"/>
      <c r="F18" s="555" t="s">
        <v>696</v>
      </c>
      <c r="G18" s="545"/>
      <c r="H18" s="545"/>
      <c r="I18" s="545"/>
      <c r="J18" s="545"/>
      <c r="K18" s="570"/>
      <c r="L18" s="1283">
        <f>'EU Lastbil'!$D$25/'EU Lastbil Gas'!$E$25</f>
        <v>0.97576923076923072</v>
      </c>
      <c r="M18" s="506"/>
      <c r="N18" s="545"/>
      <c r="O18" s="561"/>
      <c r="P18" s="545"/>
      <c r="Q18" s="545"/>
      <c r="R18" s="570"/>
      <c r="S18" s="558">
        <v>5</v>
      </c>
      <c r="U18" s="570" t="s">
        <v>1029</v>
      </c>
      <c r="V18" s="570"/>
      <c r="W18" s="485" t="s">
        <v>900</v>
      </c>
      <c r="X18" s="485" t="s">
        <v>775</v>
      </c>
      <c r="Y18" s="485" t="s">
        <v>642</v>
      </c>
      <c r="Z18" s="485" t="s">
        <v>151</v>
      </c>
      <c r="AA18" s="485"/>
      <c r="AB18" s="570"/>
      <c r="AC18" s="570"/>
      <c r="AD18" s="1250"/>
      <c r="AE18" s="573"/>
      <c r="AF18" s="573"/>
      <c r="AG18" s="573"/>
      <c r="AH18" s="573"/>
      <c r="AI18" s="573"/>
      <c r="AJ18" s="573"/>
      <c r="AK18" s="573"/>
      <c r="AL18" s="573"/>
      <c r="AM18" s="573"/>
      <c r="AN18" s="573"/>
      <c r="AO18" s="573"/>
      <c r="AP18" s="573"/>
      <c r="AQ18" s="1252"/>
    </row>
    <row r="19" spans="1:43" s="538" customFormat="1">
      <c r="A19" s="539"/>
      <c r="B19" s="539"/>
      <c r="C19" s="552"/>
      <c r="D19" s="548"/>
      <c r="E19" s="545"/>
      <c r="F19" s="555" t="s">
        <v>697</v>
      </c>
      <c r="G19" s="545"/>
      <c r="H19" s="545"/>
      <c r="I19" s="545"/>
      <c r="J19" s="545"/>
      <c r="K19" s="570"/>
      <c r="L19" s="1283">
        <f>'EU Lastbil'!$D$25/'EU Lastbil Gas'!$E$25</f>
        <v>0.97576923076923072</v>
      </c>
      <c r="M19" s="506"/>
      <c r="N19" s="545"/>
      <c r="O19" s="561"/>
      <c r="P19" s="545"/>
      <c r="Q19" s="545"/>
      <c r="R19" s="570"/>
      <c r="S19" s="558">
        <v>5</v>
      </c>
      <c r="U19" s="570" t="s">
        <v>1029</v>
      </c>
      <c r="V19" s="570"/>
      <c r="W19" s="570" t="s">
        <v>906</v>
      </c>
      <c r="X19" s="570" t="s">
        <v>29</v>
      </c>
      <c r="Y19" s="557">
        <v>97.507589999999993</v>
      </c>
      <c r="Z19" s="1221">
        <f>1000/Y19</f>
        <v>10.255611896468778</v>
      </c>
      <c r="AA19" s="570"/>
      <c r="AB19" s="570"/>
      <c r="AC19" s="570"/>
      <c r="AD19" s="1250"/>
      <c r="AE19" s="573"/>
      <c r="AF19" s="573"/>
      <c r="AG19" s="573"/>
      <c r="AH19" s="573"/>
      <c r="AI19" s="573"/>
      <c r="AJ19" s="573"/>
      <c r="AK19" s="573"/>
      <c r="AL19" s="573"/>
      <c r="AM19" s="573"/>
      <c r="AN19" s="573"/>
      <c r="AO19" s="573"/>
      <c r="AP19" s="573"/>
      <c r="AQ19" s="1252"/>
    </row>
    <row r="20" spans="1:43" s="538" customFormat="1">
      <c r="A20" s="539"/>
      <c r="B20" s="539"/>
      <c r="C20" s="575" t="str">
        <f>LEFT(F20,4)&amp;RIGHT(E20,5)&amp;"N"</f>
        <v>TFTRNGBL4N</v>
      </c>
      <c r="D20" s="548" t="s">
        <v>623</v>
      </c>
      <c r="E20" s="546" t="s">
        <v>550</v>
      </c>
      <c r="F20" s="570" t="s">
        <v>695</v>
      </c>
      <c r="G20" s="552">
        <v>2035</v>
      </c>
      <c r="H20" s="545" t="s">
        <v>547</v>
      </c>
      <c r="I20" s="545">
        <v>2035</v>
      </c>
      <c r="J20" s="545"/>
      <c r="K20" s="570"/>
      <c r="L20" s="1283">
        <f>'EU Lastbil'!$D$25/'EU Lastbil Gas'!$F$25</f>
        <v>1.1921420508813056</v>
      </c>
      <c r="M20" s="506"/>
      <c r="N20" s="552">
        <v>6</v>
      </c>
      <c r="O20" s="563"/>
      <c r="P20" s="552">
        <v>162</v>
      </c>
      <c r="Q20" s="554">
        <v>829.97563889802132</v>
      </c>
      <c r="R20" s="554"/>
      <c r="S20" s="558">
        <v>5</v>
      </c>
      <c r="U20" s="570" t="s">
        <v>1029</v>
      </c>
      <c r="V20" s="570"/>
      <c r="W20" s="570" t="s">
        <v>907</v>
      </c>
      <c r="X20" s="570" t="s">
        <v>908</v>
      </c>
      <c r="Y20" s="557">
        <v>258.03300000000002</v>
      </c>
      <c r="Z20" s="1221">
        <f t="shared" ref="Z20:Z21" si="2">1000/Y20</f>
        <v>3.8754732921758066</v>
      </c>
      <c r="AA20" s="570"/>
      <c r="AB20" s="570"/>
      <c r="AC20" s="570"/>
      <c r="AD20" s="1250"/>
      <c r="AE20" s="573"/>
      <c r="AF20" s="573"/>
      <c r="AG20" s="573"/>
      <c r="AH20" s="573"/>
      <c r="AI20" s="573"/>
      <c r="AJ20" s="573"/>
      <c r="AK20" s="573"/>
      <c r="AL20" s="573"/>
      <c r="AM20" s="573"/>
      <c r="AN20" s="573"/>
      <c r="AO20" s="573"/>
      <c r="AP20" s="573"/>
      <c r="AQ20" s="1252"/>
    </row>
    <row r="21" spans="1:43" s="538" customFormat="1">
      <c r="A21" s="539"/>
      <c r="B21" s="539"/>
      <c r="C21" s="552"/>
      <c r="D21" s="548"/>
      <c r="E21" s="545"/>
      <c r="F21" s="555" t="s">
        <v>696</v>
      </c>
      <c r="G21" s="545"/>
      <c r="H21" s="545"/>
      <c r="I21" s="545"/>
      <c r="J21" s="545"/>
      <c r="K21" s="570"/>
      <c r="L21" s="1283">
        <f>'EU Lastbil'!$D$25/'EU Lastbil Gas'!$F$25</f>
        <v>1.1921420508813056</v>
      </c>
      <c r="M21" s="506"/>
      <c r="N21" s="545"/>
      <c r="O21" s="561"/>
      <c r="P21" s="545"/>
      <c r="Q21" s="545"/>
      <c r="R21" s="570"/>
      <c r="S21" s="558">
        <v>5</v>
      </c>
      <c r="U21" s="570" t="s">
        <v>1029</v>
      </c>
      <c r="V21" s="570"/>
      <c r="W21" s="570" t="s">
        <v>907</v>
      </c>
      <c r="X21" s="570" t="s">
        <v>29</v>
      </c>
      <c r="Y21" s="557">
        <v>238.61158</v>
      </c>
      <c r="Z21" s="1221">
        <f t="shared" si="2"/>
        <v>4.1909114385814803</v>
      </c>
      <c r="AA21" s="570"/>
      <c r="AB21" s="570"/>
      <c r="AC21" s="570"/>
      <c r="AD21" s="1250"/>
      <c r="AE21" s="573"/>
      <c r="AF21" s="573"/>
      <c r="AG21" s="573"/>
      <c r="AH21" s="573"/>
      <c r="AI21" s="573"/>
      <c r="AJ21" s="573"/>
      <c r="AK21" s="573"/>
      <c r="AL21" s="573"/>
      <c r="AM21" s="573"/>
      <c r="AN21" s="573"/>
      <c r="AO21" s="573"/>
      <c r="AP21" s="573"/>
      <c r="AQ21" s="1252"/>
    </row>
    <row r="22" spans="1:43" s="538" customFormat="1">
      <c r="A22" s="539"/>
      <c r="B22" s="539"/>
      <c r="C22" s="547"/>
      <c r="D22" s="559"/>
      <c r="E22" s="547"/>
      <c r="F22" s="555" t="s">
        <v>697</v>
      </c>
      <c r="G22" s="584"/>
      <c r="H22" s="584"/>
      <c r="I22" s="584"/>
      <c r="J22" s="584"/>
      <c r="K22" s="1265"/>
      <c r="L22" s="1282">
        <f>'EU Lastbil'!$D$25/'EU Lastbil Gas'!$F$25</f>
        <v>1.1921420508813056</v>
      </c>
      <c r="M22" s="1162"/>
      <c r="N22" s="584"/>
      <c r="O22" s="585"/>
      <c r="P22" s="584"/>
      <c r="Q22" s="586"/>
      <c r="R22" s="1269"/>
      <c r="S22" s="587">
        <v>5</v>
      </c>
      <c r="U22" s="570" t="s">
        <v>1029</v>
      </c>
      <c r="V22" s="570"/>
      <c r="W22" s="570"/>
      <c r="X22" s="570"/>
      <c r="Y22" s="570"/>
      <c r="Z22" s="570"/>
      <c r="AA22" s="570"/>
      <c r="AB22" s="570"/>
      <c r="AC22" s="570"/>
      <c r="AD22" s="1250"/>
      <c r="AE22" s="573"/>
      <c r="AF22" s="573"/>
      <c r="AG22" s="573" t="s">
        <v>999</v>
      </c>
      <c r="AH22" s="573"/>
      <c r="AI22" s="573"/>
      <c r="AJ22" s="573"/>
      <c r="AK22" s="573"/>
      <c r="AL22" s="573"/>
      <c r="AM22" s="573"/>
      <c r="AN22" s="573" t="s">
        <v>1000</v>
      </c>
      <c r="AO22" s="573"/>
      <c r="AP22" s="573"/>
      <c r="AQ22" s="1252"/>
    </row>
    <row r="23" spans="1:43" s="538" customFormat="1">
      <c r="A23" s="539"/>
      <c r="B23" s="539"/>
      <c r="C23" s="1009" t="str">
        <f>LEFT(F23,4)&amp;RIGHT(E23,5)&amp;"N"</f>
        <v>TFVADSBL2N</v>
      </c>
      <c r="D23" s="1010" t="s">
        <v>624</v>
      </c>
      <c r="E23" s="1011" t="s">
        <v>223</v>
      </c>
      <c r="F23" s="1010" t="s">
        <v>698</v>
      </c>
      <c r="G23" s="1010">
        <v>2015</v>
      </c>
      <c r="H23" s="1010" t="s">
        <v>525</v>
      </c>
      <c r="I23" s="1010">
        <v>2012</v>
      </c>
      <c r="J23" s="1012">
        <v>2019</v>
      </c>
      <c r="K23" s="1009"/>
      <c r="L23" s="1284">
        <f>'EU varebil diesel'!$D$25/'EU varebil diesel'!$D$25</f>
        <v>1</v>
      </c>
      <c r="M23" s="973"/>
      <c r="N23" s="1012">
        <v>16</v>
      </c>
      <c r="O23" s="1013">
        <v>4.1999999999999996E-4</v>
      </c>
      <c r="P23" s="1012"/>
      <c r="Q23" s="1014">
        <f>'EU varebil diesel'!D31/1000</f>
        <v>182.255</v>
      </c>
      <c r="R23" s="1017"/>
      <c r="S23" s="1010">
        <v>5</v>
      </c>
      <c r="U23" s="570" t="s">
        <v>1030</v>
      </c>
      <c r="V23" s="570"/>
      <c r="W23" s="570"/>
      <c r="X23" s="570"/>
      <c r="Y23" s="570"/>
      <c r="Z23" s="570"/>
      <c r="AA23" s="570"/>
      <c r="AB23" s="570"/>
      <c r="AC23" s="570"/>
      <c r="AD23" s="1250"/>
      <c r="AE23" s="600"/>
      <c r="AF23" s="573" t="s">
        <v>1001</v>
      </c>
      <c r="AG23" s="573" t="s">
        <v>1002</v>
      </c>
      <c r="AH23" s="573" t="s">
        <v>6</v>
      </c>
      <c r="AI23" s="573" t="s">
        <v>4</v>
      </c>
      <c r="AJ23" s="573" t="s">
        <v>7</v>
      </c>
      <c r="AK23" s="573"/>
      <c r="AL23" s="600"/>
      <c r="AM23" s="573" t="s">
        <v>1003</v>
      </c>
      <c r="AN23" s="573" t="s">
        <v>1002</v>
      </c>
      <c r="AO23" s="573" t="s">
        <v>6</v>
      </c>
      <c r="AP23" s="573" t="s">
        <v>4</v>
      </c>
      <c r="AQ23" s="1252" t="s">
        <v>7</v>
      </c>
    </row>
    <row r="24" spans="1:43" s="538" customFormat="1">
      <c r="A24" s="539"/>
      <c r="B24" s="539"/>
      <c r="C24" s="1009"/>
      <c r="D24" s="1010"/>
      <c r="E24" s="1010"/>
      <c r="F24" s="1010" t="s">
        <v>699</v>
      </c>
      <c r="G24" s="1010"/>
      <c r="H24" s="1010"/>
      <c r="I24" s="1010"/>
      <c r="J24" s="1010"/>
      <c r="K24" s="1010"/>
      <c r="L24" s="1284">
        <f>'EU varebil diesel'!$D$25/'EU varebil diesel'!$D$25</f>
        <v>1</v>
      </c>
      <c r="M24" s="973"/>
      <c r="N24" s="1010"/>
      <c r="O24" s="1015"/>
      <c r="P24" s="1010"/>
      <c r="Q24" s="1010"/>
      <c r="R24" s="1010"/>
      <c r="S24" s="1010">
        <v>5</v>
      </c>
      <c r="U24" s="570" t="s">
        <v>1030</v>
      </c>
      <c r="V24" s="570"/>
      <c r="W24" s="570"/>
      <c r="X24" s="570"/>
      <c r="Y24" s="570"/>
      <c r="Z24" s="570"/>
      <c r="AA24" s="570"/>
      <c r="AB24" s="570"/>
      <c r="AC24" s="570"/>
      <c r="AD24" s="1250"/>
      <c r="AE24" s="573" t="s">
        <v>1004</v>
      </c>
      <c r="AF24" s="573">
        <f>TRA_Cars!G5</f>
        <v>2015</v>
      </c>
      <c r="AG24" s="560">
        <f>TRA_Cars!V17</f>
        <v>326.7343756415039</v>
      </c>
      <c r="AH24" s="573">
        <f>TRA_Cars!O17</f>
        <v>7.5508398661474794E-4</v>
      </c>
      <c r="AI24" s="573"/>
      <c r="AJ24" s="560">
        <f>TRA_Cars!P17</f>
        <v>98.927487980180473</v>
      </c>
      <c r="AK24" s="573"/>
      <c r="AL24" s="573" t="s">
        <v>1004</v>
      </c>
      <c r="AM24" s="573">
        <f>TRA_Cars!G5</f>
        <v>2015</v>
      </c>
      <c r="AN24" s="560">
        <f>TRA_Cars!V5</f>
        <v>346.42993279458477</v>
      </c>
      <c r="AO24" s="573">
        <f>TRA_Cars!O5</f>
        <v>1.1315946081000886E-3</v>
      </c>
      <c r="AP24" s="573"/>
      <c r="AQ24" s="1253">
        <f>TRA_Cars!P5</f>
        <v>113.63129472235843</v>
      </c>
    </row>
    <row r="25" spans="1:43" s="538" customFormat="1">
      <c r="A25" s="539"/>
      <c r="B25" s="539"/>
      <c r="C25" s="1009" t="str">
        <f>LEFT(F25,4)&amp;RIGHT(E25,5)&amp;"N"</f>
        <v>TFVADSBL3N</v>
      </c>
      <c r="D25" s="1010" t="s">
        <v>625</v>
      </c>
      <c r="E25" s="1011" t="s">
        <v>224</v>
      </c>
      <c r="F25" s="1010" t="s">
        <v>698</v>
      </c>
      <c r="G25" s="1010">
        <v>2020</v>
      </c>
      <c r="H25" s="1010" t="s">
        <v>525</v>
      </c>
      <c r="I25" s="1010">
        <v>2020</v>
      </c>
      <c r="J25" s="1010">
        <v>2034</v>
      </c>
      <c r="K25" s="1010"/>
      <c r="L25" s="1284">
        <f>'EU varebil diesel'!$D$25/'EU varebil diesel'!$E$25</f>
        <v>1.0412374581939798</v>
      </c>
      <c r="M25" s="1006"/>
      <c r="N25" s="1009">
        <v>16</v>
      </c>
      <c r="O25" s="1016">
        <v>4.1999999999999996E-4</v>
      </c>
      <c r="P25" s="1009"/>
      <c r="Q25" s="1017">
        <f>'EU varebil diesel'!E31/1000</f>
        <v>184.137</v>
      </c>
      <c r="R25" s="1017"/>
      <c r="S25" s="1010">
        <v>5</v>
      </c>
      <c r="U25" s="570" t="s">
        <v>1030</v>
      </c>
      <c r="V25" s="570"/>
      <c r="W25" s="570"/>
      <c r="X25" s="570"/>
      <c r="Y25" s="570"/>
      <c r="Z25" s="570"/>
      <c r="AA25" s="570"/>
      <c r="AB25" s="570"/>
      <c r="AC25" s="570"/>
      <c r="AD25" s="1250"/>
      <c r="AE25" s="573"/>
      <c r="AF25" s="573">
        <f>TRA_Cars!G9</f>
        <v>2020</v>
      </c>
      <c r="AG25" s="560">
        <f>TRA_Cars!V21</f>
        <v>386.78514410589889</v>
      </c>
      <c r="AH25" s="573">
        <f>TRA_Cars!O21</f>
        <v>7.5508398661474794E-4</v>
      </c>
      <c r="AI25" s="573"/>
      <c r="AJ25" s="560">
        <f>TRA_Cars!P21</f>
        <v>105.79641640360681</v>
      </c>
      <c r="AK25" s="573"/>
      <c r="AL25" s="573"/>
      <c r="AM25" s="573">
        <f>TRA_Cars!I9</f>
        <v>2020</v>
      </c>
      <c r="AN25" s="560">
        <f>TRA_Cars!V9</f>
        <v>411.00056752354891</v>
      </c>
      <c r="AO25" s="573">
        <f>TRA_Cars!O9</f>
        <v>1.1315946081000886E-3</v>
      </c>
      <c r="AP25" s="573"/>
      <c r="AQ25" s="1253">
        <f>TRA_Cars!P9</f>
        <v>117.40614587394337</v>
      </c>
    </row>
    <row r="26" spans="1:43" s="538" customFormat="1">
      <c r="A26" s="539"/>
      <c r="B26" s="539"/>
      <c r="C26" s="1009"/>
      <c r="D26" s="1010"/>
      <c r="E26" s="1010"/>
      <c r="F26" s="1010" t="s">
        <v>699</v>
      </c>
      <c r="G26" s="1010"/>
      <c r="H26" s="1010"/>
      <c r="I26" s="1010"/>
      <c r="J26" s="1010"/>
      <c r="K26" s="1010"/>
      <c r="L26" s="1284">
        <f>'EU varebil diesel'!$D$25/'EU varebil diesel'!$E$25</f>
        <v>1.0412374581939798</v>
      </c>
      <c r="M26" s="1006"/>
      <c r="N26" s="1010"/>
      <c r="O26" s="1016"/>
      <c r="P26" s="1010"/>
      <c r="Q26" s="1009"/>
      <c r="R26" s="1009"/>
      <c r="S26" s="1010">
        <v>5</v>
      </c>
      <c r="U26" s="570" t="s">
        <v>1030</v>
      </c>
      <c r="V26" s="570"/>
      <c r="W26" s="570"/>
      <c r="X26" s="570"/>
      <c r="Y26" s="570"/>
      <c r="Z26" s="570"/>
      <c r="AA26" s="570"/>
      <c r="AB26" s="570"/>
      <c r="AC26" s="570"/>
      <c r="AD26" s="1250"/>
      <c r="AE26" s="573"/>
      <c r="AF26" s="573">
        <f>TRA_Cars!G13</f>
        <v>2030</v>
      </c>
      <c r="AG26" s="560">
        <f>TRA_Cars!V25</f>
        <v>444.24057791825942</v>
      </c>
      <c r="AH26" s="573">
        <f>TRA_Cars!O25</f>
        <v>7.5508398661474794E-4</v>
      </c>
      <c r="AI26" s="573"/>
      <c r="AJ26" s="560">
        <f>TRA_Cars!P25</f>
        <v>107.01560995368764</v>
      </c>
      <c r="AK26" s="573"/>
      <c r="AL26" s="573"/>
      <c r="AM26" s="573">
        <f>TRA_Cars!I13</f>
        <v>2030</v>
      </c>
      <c r="AN26" s="560">
        <f>TRA_Cars!V13</f>
        <v>454.61920445685655</v>
      </c>
      <c r="AO26" s="573">
        <f>TRA_Cars!O13</f>
        <v>1.1315946081000886E-3</v>
      </c>
      <c r="AP26" s="573"/>
      <c r="AQ26" s="1253">
        <f>TRA_Cars!P13</f>
        <v>117.98633168820912</v>
      </c>
    </row>
    <row r="27" spans="1:43" s="538" customFormat="1">
      <c r="A27" s="539"/>
      <c r="B27" s="539"/>
      <c r="C27" s="1009" t="str">
        <f>LEFT(F27,4)&amp;RIGHT(E27,5)&amp;"N"</f>
        <v>TFVADSBL4N</v>
      </c>
      <c r="D27" s="1010" t="s">
        <v>626</v>
      </c>
      <c r="E27" s="1326" t="s">
        <v>225</v>
      </c>
      <c r="F27" s="1010" t="s">
        <v>698</v>
      </c>
      <c r="G27" s="1010">
        <v>2035</v>
      </c>
      <c r="H27" s="1010" t="s">
        <v>525</v>
      </c>
      <c r="I27" s="1010">
        <v>2035</v>
      </c>
      <c r="J27" s="1010"/>
      <c r="K27" s="1010"/>
      <c r="L27" s="1284">
        <f>'EU varebil diesel'!$D$25/'EU varebil diesel'!$F$25</f>
        <v>1.1748301886792454</v>
      </c>
      <c r="M27" s="973"/>
      <c r="N27" s="1009">
        <v>16</v>
      </c>
      <c r="O27" s="1016">
        <v>4.1999999999999996E-4</v>
      </c>
      <c r="P27" s="1009"/>
      <c r="Q27" s="1017">
        <f>'EU varebil diesel'!F31/1000</f>
        <v>191.30699999999999</v>
      </c>
      <c r="R27" s="1017"/>
      <c r="S27" s="1010">
        <v>5</v>
      </c>
      <c r="U27" s="570" t="s">
        <v>1030</v>
      </c>
      <c r="V27" s="570"/>
      <c r="W27" s="570"/>
      <c r="X27" s="570"/>
      <c r="Y27" s="570"/>
      <c r="Z27" s="570"/>
      <c r="AA27" s="570"/>
      <c r="AB27" s="570"/>
      <c r="AC27" s="570"/>
      <c r="AD27" s="1250"/>
      <c r="AE27" s="573"/>
      <c r="AF27" s="573"/>
      <c r="AG27" s="573"/>
      <c r="AH27" s="573"/>
      <c r="AI27" s="573"/>
      <c r="AJ27" s="573"/>
      <c r="AK27" s="573"/>
      <c r="AL27" s="573"/>
      <c r="AM27" s="573"/>
      <c r="AN27" s="573"/>
      <c r="AO27" s="573"/>
      <c r="AP27" s="573"/>
      <c r="AQ27" s="1252"/>
    </row>
    <row r="28" spans="1:43" s="538" customFormat="1">
      <c r="A28" s="539"/>
      <c r="B28" s="539"/>
      <c r="C28" s="1018"/>
      <c r="D28" s="1018"/>
      <c r="E28" s="1018"/>
      <c r="F28" s="1010" t="s">
        <v>699</v>
      </c>
      <c r="G28" s="1010"/>
      <c r="H28" s="1010"/>
      <c r="I28" s="1010"/>
      <c r="J28" s="1010"/>
      <c r="K28" s="1010"/>
      <c r="L28" s="1285">
        <f>'EU varebil diesel'!$D$25/'EU varebil diesel'!$F$25</f>
        <v>1.1748301886792454</v>
      </c>
      <c r="M28" s="973"/>
      <c r="N28" s="1010"/>
      <c r="O28" s="1010"/>
      <c r="P28" s="1010"/>
      <c r="Q28" s="1010"/>
      <c r="R28" s="1010"/>
      <c r="S28" s="1010">
        <v>5</v>
      </c>
      <c r="U28" s="570" t="s">
        <v>1030</v>
      </c>
      <c r="V28" s="570"/>
      <c r="W28" s="570"/>
      <c r="X28" s="570"/>
      <c r="Y28" s="570"/>
      <c r="Z28" s="570"/>
      <c r="AA28" s="570"/>
      <c r="AB28" s="570"/>
      <c r="AC28" s="570"/>
      <c r="AD28" s="1250"/>
      <c r="AE28" s="573"/>
      <c r="AF28" s="573"/>
      <c r="AG28" s="573"/>
      <c r="AH28" s="573"/>
      <c r="AI28" s="573"/>
      <c r="AJ28" s="573"/>
      <c r="AK28" s="573"/>
      <c r="AL28" s="573"/>
      <c r="AM28" s="573"/>
      <c r="AN28" s="573"/>
      <c r="AO28" s="573"/>
      <c r="AP28" s="573"/>
      <c r="AQ28" s="1252"/>
    </row>
    <row r="29" spans="1:43" s="538" customFormat="1">
      <c r="A29" s="539"/>
      <c r="B29" s="539"/>
      <c r="C29" s="1009" t="str">
        <f>LEFT(F29,4)&amp;RIGHT(E29,5)&amp;"N"</f>
        <v>TFVAGSBL2N</v>
      </c>
      <c r="D29" s="1009" t="s">
        <v>627</v>
      </c>
      <c r="E29" s="1011" t="s">
        <v>226</v>
      </c>
      <c r="F29" s="1010" t="s">
        <v>698</v>
      </c>
      <c r="G29" s="1012">
        <v>2015</v>
      </c>
      <c r="H29" s="1010" t="s">
        <v>525</v>
      </c>
      <c r="I29" s="1012">
        <v>2012</v>
      </c>
      <c r="J29" s="1012">
        <v>2019</v>
      </c>
      <c r="K29" s="1146"/>
      <c r="L29" s="1286">
        <f>'EU Varebil benzin'!$D$25/'EU Varebil benzin'!$D$25</f>
        <v>1</v>
      </c>
      <c r="M29" s="1223"/>
      <c r="N29" s="1012">
        <v>16</v>
      </c>
      <c r="O29" s="1013">
        <v>4.1999999999999996E-4</v>
      </c>
      <c r="P29" s="1012"/>
      <c r="Q29" s="1014">
        <f>'EU Varebil benzin'!D31/1000</f>
        <v>177.74</v>
      </c>
      <c r="R29" s="1148"/>
      <c r="S29" s="1012">
        <v>5</v>
      </c>
      <c r="U29" s="570" t="s">
        <v>1031</v>
      </c>
      <c r="V29" s="570"/>
      <c r="W29" s="570"/>
      <c r="X29" s="570"/>
      <c r="Y29" s="570"/>
      <c r="Z29" s="570"/>
      <c r="AA29" s="570"/>
      <c r="AB29" s="570"/>
      <c r="AC29" s="570"/>
      <c r="AD29" s="1250"/>
      <c r="AE29" s="573"/>
      <c r="AF29" s="573"/>
      <c r="AG29" s="573" t="s">
        <v>1005</v>
      </c>
      <c r="AH29" s="573"/>
      <c r="AI29" s="573"/>
      <c r="AJ29" s="573"/>
      <c r="AK29" s="573"/>
      <c r="AL29" s="573"/>
      <c r="AM29" s="573"/>
      <c r="AN29" s="573"/>
      <c r="AO29" s="573"/>
      <c r="AP29" s="573"/>
      <c r="AQ29" s="1252"/>
    </row>
    <row r="30" spans="1:43" s="538" customFormat="1">
      <c r="A30" s="539"/>
      <c r="B30" s="539"/>
      <c r="C30" s="1009"/>
      <c r="D30" s="1009"/>
      <c r="E30" s="1010"/>
      <c r="F30" s="1010" t="s">
        <v>699</v>
      </c>
      <c r="G30" s="1010"/>
      <c r="H30" s="1010"/>
      <c r="I30" s="1010"/>
      <c r="J30" s="1010"/>
      <c r="K30" s="1010"/>
      <c r="L30" s="1284">
        <f>'EU Varebil benzin'!$D$25/'EU Varebil benzin'!$D$25</f>
        <v>1</v>
      </c>
      <c r="M30" s="1006"/>
      <c r="N30" s="1010"/>
      <c r="O30" s="1015"/>
      <c r="P30" s="1010"/>
      <c r="Q30" s="1010"/>
      <c r="R30" s="1010"/>
      <c r="S30" s="1010">
        <v>5</v>
      </c>
      <c r="U30" s="570" t="s">
        <v>1031</v>
      </c>
      <c r="V30" s="570"/>
      <c r="W30" s="570"/>
      <c r="X30" s="570"/>
      <c r="Y30" s="570"/>
      <c r="Z30" s="570"/>
      <c r="AA30" s="570"/>
      <c r="AB30" s="570"/>
      <c r="AC30" s="570"/>
      <c r="AD30" s="1250"/>
      <c r="AE30" s="573"/>
      <c r="AF30" s="573" t="s">
        <v>1006</v>
      </c>
      <c r="AG30" s="573" t="s">
        <v>1002</v>
      </c>
      <c r="AH30" s="573" t="s">
        <v>6</v>
      </c>
      <c r="AI30" s="573" t="s">
        <v>4</v>
      </c>
      <c r="AJ30" s="573" t="s">
        <v>7</v>
      </c>
      <c r="AK30" s="573"/>
      <c r="AL30" s="573"/>
      <c r="AM30" s="573"/>
      <c r="AN30" s="573"/>
      <c r="AO30" s="573"/>
      <c r="AP30" s="573"/>
      <c r="AQ30" s="1252"/>
    </row>
    <row r="31" spans="1:43" s="538" customFormat="1">
      <c r="A31" s="539"/>
      <c r="B31" s="539"/>
      <c r="C31" s="1009" t="str">
        <f>LEFT(F31,4)&amp;RIGHT(E31,5)&amp;"N"</f>
        <v>TFVAGSBL3N</v>
      </c>
      <c r="D31" s="1009" t="s">
        <v>628</v>
      </c>
      <c r="E31" s="1011" t="s">
        <v>227</v>
      </c>
      <c r="F31" s="1010" t="s">
        <v>698</v>
      </c>
      <c r="G31" s="1010">
        <v>2020</v>
      </c>
      <c r="H31" s="1010" t="s">
        <v>525</v>
      </c>
      <c r="I31" s="1010">
        <v>2020</v>
      </c>
      <c r="J31" s="1010">
        <v>2034</v>
      </c>
      <c r="K31" s="1010"/>
      <c r="L31" s="1284">
        <f>'EU Varebil benzin'!$D$25/'EU Varebil benzin'!$E$25</f>
        <v>1.1192112676056338</v>
      </c>
      <c r="M31" s="1006"/>
      <c r="N31" s="1009">
        <v>16</v>
      </c>
      <c r="O31" s="1016">
        <v>4.1999999999999996E-4</v>
      </c>
      <c r="P31" s="1009"/>
      <c r="Q31" s="1017">
        <f>'EU Varebil benzin'!E31/1000</f>
        <v>182.29300000000001</v>
      </c>
      <c r="R31" s="1017"/>
      <c r="S31" s="1010">
        <v>5</v>
      </c>
      <c r="U31" s="570" t="s">
        <v>1031</v>
      </c>
      <c r="V31" s="570"/>
      <c r="W31" s="570"/>
      <c r="X31" s="570"/>
      <c r="Y31" s="570"/>
      <c r="Z31" s="570"/>
      <c r="AA31" s="570"/>
      <c r="AB31" s="570"/>
      <c r="AC31" s="570"/>
      <c r="AD31" s="1250"/>
      <c r="AE31" s="573" t="s">
        <v>1004</v>
      </c>
      <c r="AF31" s="573">
        <f>TRA_Cars!G53</f>
        <v>2018</v>
      </c>
      <c r="AG31" s="560">
        <f>TRA_Cars!K54</f>
        <v>0</v>
      </c>
      <c r="AH31" s="573">
        <f>TRA_Cars!O53</f>
        <v>9.5086104003805458E-4</v>
      </c>
      <c r="AI31" s="573"/>
      <c r="AJ31" s="560">
        <f>TRA_Cars!P53</f>
        <v>149.52414017347374</v>
      </c>
      <c r="AK31" s="573"/>
      <c r="AL31" s="573"/>
      <c r="AM31" s="573"/>
      <c r="AN31" s="573"/>
      <c r="AO31" s="573"/>
      <c r="AP31" s="573"/>
      <c r="AQ31" s="1252"/>
    </row>
    <row r="32" spans="1:43" s="538" customFormat="1">
      <c r="A32" s="539"/>
      <c r="B32" s="539"/>
      <c r="C32" s="1009"/>
      <c r="D32" s="1009"/>
      <c r="E32" s="1010"/>
      <c r="F32" s="1010" t="s">
        <v>699</v>
      </c>
      <c r="G32" s="1010"/>
      <c r="H32" s="1010"/>
      <c r="I32" s="1010"/>
      <c r="J32" s="1010"/>
      <c r="K32" s="1010"/>
      <c r="L32" s="1284">
        <f>'EU Varebil benzin'!$D$25/'EU Varebil benzin'!$E$25</f>
        <v>1.1192112676056338</v>
      </c>
      <c r="M32" s="1006"/>
      <c r="N32" s="1009"/>
      <c r="O32" s="1016"/>
      <c r="P32" s="1009"/>
      <c r="Q32" s="1017"/>
      <c r="R32" s="1017"/>
      <c r="S32" s="1010">
        <v>5</v>
      </c>
      <c r="U32" s="570" t="s">
        <v>1031</v>
      </c>
      <c r="V32" s="570"/>
      <c r="W32" s="570"/>
      <c r="X32" s="570"/>
      <c r="Y32" s="570"/>
      <c r="Z32" s="570"/>
      <c r="AA32" s="570"/>
      <c r="AB32" s="570"/>
      <c r="AC32" s="570"/>
      <c r="AD32" s="1250"/>
      <c r="AE32" s="573"/>
      <c r="AF32" s="573">
        <f>TRA_Cars!G57</f>
        <v>2020</v>
      </c>
      <c r="AG32" s="560">
        <f>TRA_Cars!K58</f>
        <v>0</v>
      </c>
      <c r="AH32" s="573">
        <f>TRA_Cars!O57</f>
        <v>9.5086104003805458E-4</v>
      </c>
      <c r="AI32" s="573"/>
      <c r="AJ32" s="560">
        <f>TRA_Cars!P57</f>
        <v>144.55046010839939</v>
      </c>
      <c r="AK32" s="573"/>
      <c r="AL32" s="573"/>
      <c r="AM32" s="573"/>
      <c r="AN32" s="573"/>
      <c r="AO32" s="573"/>
      <c r="AP32" s="573"/>
      <c r="AQ32" s="1252"/>
    </row>
    <row r="33" spans="1:43" s="538" customFormat="1">
      <c r="A33" s="539"/>
      <c r="B33" s="539"/>
      <c r="C33" s="1009" t="str">
        <f>LEFT(F33,4)&amp;RIGHT(E33,5)&amp;"N"</f>
        <v>TFVAGSBL4N</v>
      </c>
      <c r="D33" s="1009" t="s">
        <v>629</v>
      </c>
      <c r="E33" s="1011" t="s">
        <v>228</v>
      </c>
      <c r="F33" s="1010" t="s">
        <v>698</v>
      </c>
      <c r="G33" s="1010">
        <v>2035</v>
      </c>
      <c r="H33" s="1010" t="s">
        <v>525</v>
      </c>
      <c r="I33" s="1010">
        <v>2035</v>
      </c>
      <c r="J33" s="1010"/>
      <c r="K33" s="1010"/>
      <c r="L33" s="1284">
        <f>'EU Varebil benzin'!$D$25/'EU Varebil benzin'!$F$25</f>
        <v>1.2653503184713375</v>
      </c>
      <c r="M33" s="1006"/>
      <c r="N33" s="1009">
        <v>16</v>
      </c>
      <c r="O33" s="1016">
        <v>4.1999999999999996E-4</v>
      </c>
      <c r="P33" s="1009"/>
      <c r="Q33" s="1017">
        <f>'EU Varebil benzin'!F31/1000</f>
        <v>194.48500000000001</v>
      </c>
      <c r="R33" s="1017"/>
      <c r="S33" s="1010">
        <v>5</v>
      </c>
      <c r="U33" s="570" t="s">
        <v>1031</v>
      </c>
      <c r="V33" s="570"/>
      <c r="W33" s="570"/>
      <c r="X33" s="570"/>
      <c r="Y33" s="570"/>
      <c r="Z33" s="570"/>
      <c r="AA33" s="570"/>
      <c r="AB33" s="570"/>
      <c r="AC33" s="570"/>
      <c r="AD33" s="1250"/>
      <c r="AE33" s="573"/>
      <c r="AF33" s="573">
        <f>TRA_Cars!G61</f>
        <v>2030</v>
      </c>
      <c r="AG33" s="560">
        <f>TRA_Cars!K62</f>
        <v>0</v>
      </c>
      <c r="AH33" s="573">
        <f>TRA_Cars!O61</f>
        <v>9.5086104003805458E-4</v>
      </c>
      <c r="AI33" s="573"/>
      <c r="AJ33" s="560">
        <f>TRA_Cars!P61</f>
        <v>133.91891192424006</v>
      </c>
      <c r="AK33" s="573"/>
      <c r="AL33" s="573"/>
      <c r="AM33" s="573"/>
      <c r="AN33" s="573"/>
      <c r="AO33" s="573"/>
      <c r="AP33" s="573"/>
      <c r="AQ33" s="1252"/>
    </row>
    <row r="34" spans="1:43" s="538" customFormat="1">
      <c r="A34" s="539"/>
      <c r="B34" s="539"/>
      <c r="C34" s="1018"/>
      <c r="D34" s="1018"/>
      <c r="E34" s="1018"/>
      <c r="F34" s="1018" t="s">
        <v>699</v>
      </c>
      <c r="G34" s="1018"/>
      <c r="H34" s="1018"/>
      <c r="I34" s="1018"/>
      <c r="J34" s="1018"/>
      <c r="K34" s="1009"/>
      <c r="L34" s="1284">
        <f>'EU Varebil benzin'!$D$25/'EU Varebil benzin'!$F$25</f>
        <v>1.2653503184713375</v>
      </c>
      <c r="M34" s="1006"/>
      <c r="N34" s="1018"/>
      <c r="O34" s="1019"/>
      <c r="P34" s="1018"/>
      <c r="Q34" s="1018"/>
      <c r="R34" s="1267"/>
      <c r="S34" s="1018">
        <v>5</v>
      </c>
      <c r="U34" s="570" t="s">
        <v>1031</v>
      </c>
      <c r="V34" s="570"/>
      <c r="W34" s="570"/>
      <c r="X34" s="570"/>
      <c r="Y34" s="570"/>
      <c r="Z34" s="570"/>
      <c r="AA34" s="570"/>
      <c r="AB34" s="570"/>
      <c r="AC34" s="570"/>
      <c r="AD34" s="1250"/>
      <c r="AE34" s="573"/>
      <c r="AF34" s="573"/>
      <c r="AG34" s="573"/>
      <c r="AH34" s="573"/>
      <c r="AI34" s="573"/>
      <c r="AJ34" s="573"/>
      <c r="AK34" s="573"/>
      <c r="AL34" s="573"/>
      <c r="AM34" s="573"/>
      <c r="AN34" s="573"/>
      <c r="AO34" s="573"/>
      <c r="AP34" s="573"/>
      <c r="AQ34" s="1252"/>
    </row>
    <row r="35" spans="1:43" s="538" customFormat="1">
      <c r="A35" s="539"/>
      <c r="B35" s="539"/>
      <c r="C35" s="1020" t="s">
        <v>979</v>
      </c>
      <c r="D35" s="1020" t="s">
        <v>1032</v>
      </c>
      <c r="E35" s="1020" t="s">
        <v>226</v>
      </c>
      <c r="F35" s="1152" t="s">
        <v>695</v>
      </c>
      <c r="G35" s="1154">
        <v>2015</v>
      </c>
      <c r="H35" s="1020" t="s">
        <v>525</v>
      </c>
      <c r="I35" s="1154">
        <v>2012</v>
      </c>
      <c r="J35" s="1154">
        <v>2019</v>
      </c>
      <c r="K35" s="1154"/>
      <c r="L35" s="1007">
        <f>L5</f>
        <v>1</v>
      </c>
      <c r="M35" s="1224"/>
      <c r="N35" s="1154">
        <v>6</v>
      </c>
      <c r="O35" s="1277"/>
      <c r="P35" s="1154">
        <f>P5</f>
        <v>156</v>
      </c>
      <c r="Q35" s="1270">
        <f>Q5</f>
        <v>751.0189130831742</v>
      </c>
      <c r="R35" s="1270"/>
      <c r="S35" s="1154">
        <v>5</v>
      </c>
      <c r="T35" s="548"/>
      <c r="U35" s="1244" t="s">
        <v>1035</v>
      </c>
      <c r="V35" s="548" t="s">
        <v>977</v>
      </c>
      <c r="W35" s="570"/>
      <c r="X35" s="570"/>
      <c r="Y35" s="570"/>
      <c r="Z35" s="570"/>
      <c r="AA35" s="570"/>
      <c r="AB35" s="570"/>
      <c r="AC35" s="570"/>
      <c r="AD35" s="1250"/>
      <c r="AE35" s="573"/>
      <c r="AF35" s="573"/>
      <c r="AG35" s="573"/>
      <c r="AH35" s="573"/>
      <c r="AI35" s="573"/>
      <c r="AJ35" s="573"/>
      <c r="AK35" s="573"/>
      <c r="AL35" s="573"/>
      <c r="AM35" s="573"/>
      <c r="AN35" s="573"/>
      <c r="AO35" s="573"/>
      <c r="AP35" s="573"/>
      <c r="AQ35" s="1252"/>
    </row>
    <row r="36" spans="1:43" s="538" customFormat="1">
      <c r="A36" s="539"/>
      <c r="B36" s="539"/>
      <c r="C36" s="1020"/>
      <c r="D36" s="1020"/>
      <c r="E36" s="1020"/>
      <c r="F36" s="1279" t="s">
        <v>696</v>
      </c>
      <c r="G36" s="1020"/>
      <c r="H36" s="1020"/>
      <c r="I36" s="1020"/>
      <c r="J36" s="1020"/>
      <c r="K36" s="1020"/>
      <c r="L36" s="1007">
        <f t="shared" ref="L36:L43" si="3">L6</f>
        <v>1</v>
      </c>
      <c r="M36" s="1007"/>
      <c r="N36" s="1020"/>
      <c r="O36" s="1024"/>
      <c r="P36" s="1020"/>
      <c r="Q36" s="1020"/>
      <c r="R36" s="1020"/>
      <c r="S36" s="1020">
        <v>5</v>
      </c>
      <c r="T36" s="548"/>
      <c r="U36" s="1244" t="s">
        <v>1035</v>
      </c>
      <c r="V36" s="548" t="s">
        <v>977</v>
      </c>
      <c r="W36" s="570"/>
      <c r="X36" s="570"/>
      <c r="Y36" s="570"/>
      <c r="Z36" s="570"/>
      <c r="AA36" s="570"/>
      <c r="AB36" s="570"/>
      <c r="AC36" s="570"/>
      <c r="AD36" s="1250"/>
      <c r="AE36" s="573"/>
      <c r="AF36" s="573" t="s">
        <v>1007</v>
      </c>
      <c r="AG36" s="573" t="s">
        <v>1002</v>
      </c>
      <c r="AH36" s="573" t="s">
        <v>6</v>
      </c>
      <c r="AI36" s="573" t="s">
        <v>4</v>
      </c>
      <c r="AJ36" s="573" t="s">
        <v>7</v>
      </c>
      <c r="AK36" s="573"/>
      <c r="AL36" s="573"/>
      <c r="AM36" s="573" t="s">
        <v>1008</v>
      </c>
      <c r="AN36" s="573" t="s">
        <v>1002</v>
      </c>
      <c r="AO36" s="573" t="s">
        <v>6</v>
      </c>
      <c r="AP36" s="573" t="s">
        <v>4</v>
      </c>
      <c r="AQ36" s="1252" t="s">
        <v>7</v>
      </c>
    </row>
    <row r="37" spans="1:43" s="570" customFormat="1">
      <c r="A37" s="571"/>
      <c r="B37" s="571"/>
      <c r="C37" s="1020"/>
      <c r="D37" s="1020"/>
      <c r="E37" s="1020"/>
      <c r="F37" s="1279" t="s">
        <v>697</v>
      </c>
      <c r="G37" s="1020"/>
      <c r="H37" s="1020"/>
      <c r="I37" s="1020"/>
      <c r="J37" s="1020"/>
      <c r="K37" s="1020"/>
      <c r="L37" s="1007">
        <f t="shared" si="3"/>
        <v>1</v>
      </c>
      <c r="M37" s="1007"/>
      <c r="N37" s="1020"/>
      <c r="O37" s="1024"/>
      <c r="P37" s="1020"/>
      <c r="Q37" s="1020"/>
      <c r="R37" s="1020"/>
      <c r="S37" s="1020">
        <v>5</v>
      </c>
      <c r="T37" s="548"/>
      <c r="U37" s="1244" t="s">
        <v>1035</v>
      </c>
      <c r="V37" s="548" t="s">
        <v>977</v>
      </c>
      <c r="AD37" s="1250"/>
      <c r="AE37" s="573"/>
      <c r="AF37" s="573"/>
      <c r="AG37" s="573"/>
      <c r="AH37" s="573"/>
      <c r="AI37" s="573"/>
      <c r="AJ37" s="573"/>
      <c r="AK37" s="573"/>
      <c r="AL37" s="573"/>
      <c r="AM37" s="573"/>
      <c r="AN37" s="573"/>
      <c r="AO37" s="573"/>
      <c r="AP37" s="573"/>
      <c r="AQ37" s="1252"/>
    </row>
    <row r="38" spans="1:43" s="538" customFormat="1">
      <c r="A38" s="539"/>
      <c r="B38" s="539"/>
      <c r="C38" s="1020" t="s">
        <v>980</v>
      </c>
      <c r="D38" s="1020" t="s">
        <v>1033</v>
      </c>
      <c r="E38" s="1020" t="s">
        <v>227</v>
      </c>
      <c r="F38" s="1152" t="s">
        <v>695</v>
      </c>
      <c r="G38" s="1020">
        <v>2020</v>
      </c>
      <c r="H38" s="1020" t="s">
        <v>525</v>
      </c>
      <c r="I38" s="1020">
        <v>2020</v>
      </c>
      <c r="J38" s="1020">
        <v>2034</v>
      </c>
      <c r="K38" s="1020"/>
      <c r="L38" s="1007">
        <f t="shared" si="3"/>
        <v>1.1025641025641026</v>
      </c>
      <c r="M38" s="1007"/>
      <c r="N38" s="1020">
        <v>6</v>
      </c>
      <c r="O38" s="1024"/>
      <c r="P38" s="1020">
        <f>P8</f>
        <v>156</v>
      </c>
      <c r="Q38" s="1025">
        <f>Q8</f>
        <v>751.0189130831742</v>
      </c>
      <c r="R38" s="1025"/>
      <c r="S38" s="1020">
        <v>5</v>
      </c>
      <c r="T38" s="548"/>
      <c r="U38" s="1244" t="s">
        <v>1035</v>
      </c>
      <c r="V38" s="548" t="s">
        <v>977</v>
      </c>
      <c r="W38" s="570"/>
      <c r="X38" s="570"/>
      <c r="Y38" s="570"/>
      <c r="Z38" s="570"/>
      <c r="AA38" s="570"/>
      <c r="AB38" s="570"/>
      <c r="AC38" s="570"/>
      <c r="AD38" s="1250"/>
      <c r="AE38" s="573" t="s">
        <v>1004</v>
      </c>
      <c r="AF38" s="573">
        <f>AF31</f>
        <v>2018</v>
      </c>
      <c r="AG38" s="573">
        <f>AG31/AG24</f>
        <v>0</v>
      </c>
      <c r="AH38" s="573">
        <f>AH31/AH24</f>
        <v>1.2592785132433144</v>
      </c>
      <c r="AI38" s="573"/>
      <c r="AJ38" s="573">
        <f>AJ31/AJ24</f>
        <v>1.5114519050906257</v>
      </c>
      <c r="AK38" s="573"/>
      <c r="AL38" s="573" t="s">
        <v>1004</v>
      </c>
      <c r="AM38" s="573">
        <f>AM24</f>
        <v>2015</v>
      </c>
      <c r="AN38" s="573">
        <f>AN24/AG24</f>
        <v>1.0602800275129025</v>
      </c>
      <c r="AO38" s="573">
        <f>AO24/AH24</f>
        <v>1.4986340965504286</v>
      </c>
      <c r="AP38" s="573"/>
      <c r="AQ38" s="1252">
        <f>AQ24/AJ24</f>
        <v>1.1486321652595057</v>
      </c>
    </row>
    <row r="39" spans="1:43" s="538" customFormat="1">
      <c r="A39" s="539"/>
      <c r="B39" s="539"/>
      <c r="C39" s="1020"/>
      <c r="D39" s="1020"/>
      <c r="E39" s="1020"/>
      <c r="F39" s="1279" t="s">
        <v>696</v>
      </c>
      <c r="G39" s="1020"/>
      <c r="H39" s="1020"/>
      <c r="I39" s="1020"/>
      <c r="J39" s="1020"/>
      <c r="K39" s="1020"/>
      <c r="L39" s="1007">
        <f t="shared" si="3"/>
        <v>1.1025641025641026</v>
      </c>
      <c r="M39" s="1007"/>
      <c r="N39" s="1020"/>
      <c r="O39" s="1024"/>
      <c r="P39" s="1020"/>
      <c r="Q39" s="1025"/>
      <c r="R39" s="1025"/>
      <c r="S39" s="1020">
        <v>5</v>
      </c>
      <c r="T39" s="548"/>
      <c r="U39" s="1244" t="s">
        <v>1035</v>
      </c>
      <c r="V39" s="548" t="s">
        <v>977</v>
      </c>
      <c r="W39" s="570"/>
      <c r="X39" s="570"/>
      <c r="Y39" s="570"/>
      <c r="Z39" s="570"/>
      <c r="AA39" s="570"/>
      <c r="AB39" s="570"/>
      <c r="AC39" s="570"/>
      <c r="AD39" s="1250"/>
      <c r="AE39" s="573"/>
      <c r="AF39" s="573">
        <f>AF32</f>
        <v>2020</v>
      </c>
      <c r="AG39" s="573">
        <f>AG32/AG25</f>
        <v>0</v>
      </c>
      <c r="AH39" s="573">
        <f>AH32/AH25</f>
        <v>1.2592785132433144</v>
      </c>
      <c r="AI39" s="573"/>
      <c r="AJ39" s="573">
        <f>AJ32/AJ25</f>
        <v>1.3663077164820809</v>
      </c>
      <c r="AK39" s="573"/>
      <c r="AL39" s="573"/>
      <c r="AM39" s="573">
        <f>AM25</f>
        <v>2020</v>
      </c>
      <c r="AN39" s="573">
        <f>AN25/AG25</f>
        <v>1.0626069118389407</v>
      </c>
      <c r="AO39" s="573">
        <f>AO25/AH25</f>
        <v>1.4986340965504286</v>
      </c>
      <c r="AP39" s="573"/>
      <c r="AQ39" s="1252">
        <f>AQ25/AJ25</f>
        <v>1.1097365096568692</v>
      </c>
    </row>
    <row r="40" spans="1:43" s="570" customFormat="1">
      <c r="A40" s="571"/>
      <c r="B40" s="571"/>
      <c r="C40" s="1020"/>
      <c r="D40" s="1020"/>
      <c r="E40" s="1020"/>
      <c r="F40" s="1279" t="s">
        <v>697</v>
      </c>
      <c r="G40" s="1020"/>
      <c r="H40" s="1020"/>
      <c r="I40" s="1020"/>
      <c r="J40" s="1020"/>
      <c r="K40" s="1020"/>
      <c r="L40" s="1007">
        <f t="shared" si="3"/>
        <v>1.1025641025641026</v>
      </c>
      <c r="M40" s="1007"/>
      <c r="N40" s="1020"/>
      <c r="O40" s="1024"/>
      <c r="P40" s="1020"/>
      <c r="Q40" s="1025"/>
      <c r="R40" s="1025"/>
      <c r="S40" s="1020">
        <v>5</v>
      </c>
      <c r="T40" s="548"/>
      <c r="U40" s="1244" t="s">
        <v>1035</v>
      </c>
      <c r="V40" s="548" t="s">
        <v>977</v>
      </c>
      <c r="AD40" s="1250"/>
      <c r="AE40" s="573"/>
      <c r="AF40" s="573"/>
      <c r="AG40" s="573"/>
      <c r="AH40" s="573"/>
      <c r="AI40" s="573"/>
      <c r="AJ40" s="573"/>
      <c r="AK40" s="573"/>
      <c r="AL40" s="573"/>
      <c r="AM40" s="573"/>
      <c r="AN40" s="573"/>
      <c r="AO40" s="573"/>
      <c r="AP40" s="573"/>
      <c r="AQ40" s="1252"/>
    </row>
    <row r="41" spans="1:43" s="538" customFormat="1">
      <c r="A41" s="539"/>
      <c r="B41" s="539"/>
      <c r="C41" s="1020" t="s">
        <v>981</v>
      </c>
      <c r="D41" s="1020" t="s">
        <v>1034</v>
      </c>
      <c r="E41" s="1020" t="s">
        <v>228</v>
      </c>
      <c r="F41" s="1152" t="s">
        <v>695</v>
      </c>
      <c r="G41" s="1020">
        <v>2035</v>
      </c>
      <c r="H41" s="1020" t="s">
        <v>525</v>
      </c>
      <c r="I41" s="1020">
        <v>2035</v>
      </c>
      <c r="J41" s="1020"/>
      <c r="K41" s="1020"/>
      <c r="L41" s="1007">
        <f t="shared" si="3"/>
        <v>1.2731614135625595</v>
      </c>
      <c r="M41" s="1007"/>
      <c r="N41" s="1020">
        <v>6</v>
      </c>
      <c r="O41" s="1024"/>
      <c r="P41" s="1020">
        <f>P8</f>
        <v>156</v>
      </c>
      <c r="Q41" s="1025">
        <f>Q11</f>
        <v>751.0189130831742</v>
      </c>
      <c r="R41" s="1025"/>
      <c r="S41" s="1020">
        <v>5</v>
      </c>
      <c r="T41" s="548"/>
      <c r="U41" s="1244" t="s">
        <v>1035</v>
      </c>
      <c r="V41" s="548" t="s">
        <v>977</v>
      </c>
      <c r="W41" s="570"/>
      <c r="X41" s="570"/>
      <c r="Y41" s="570"/>
      <c r="Z41" s="570"/>
      <c r="AA41" s="570"/>
      <c r="AB41" s="570"/>
      <c r="AC41" s="570"/>
      <c r="AD41" s="1250"/>
      <c r="AE41" s="573"/>
      <c r="AF41" s="573">
        <f>AF33</f>
        <v>2030</v>
      </c>
      <c r="AG41" s="573">
        <f>AG33/AG26</f>
        <v>0</v>
      </c>
      <c r="AH41" s="573">
        <f>AH33/AH26</f>
        <v>1.2592785132433144</v>
      </c>
      <c r="AI41" s="573"/>
      <c r="AJ41" s="573">
        <f>AJ33/AJ26</f>
        <v>1.2513960531757484</v>
      </c>
      <c r="AK41" s="573"/>
      <c r="AL41" s="573"/>
      <c r="AM41" s="573">
        <f>AM26</f>
        <v>2030</v>
      </c>
      <c r="AN41" s="573">
        <f>AN26/AG26</f>
        <v>1.02336262614107</v>
      </c>
      <c r="AO41" s="573">
        <f>AO26/AH26</f>
        <v>1.4986340965504286</v>
      </c>
      <c r="AP41" s="573"/>
      <c r="AQ41" s="1252">
        <f>AQ26/AJ26</f>
        <v>1.1025151539973392</v>
      </c>
    </row>
    <row r="42" spans="1:43" s="538" customFormat="1">
      <c r="A42" s="539"/>
      <c r="B42" s="539"/>
      <c r="C42" s="1020"/>
      <c r="D42" s="1020"/>
      <c r="E42" s="1020"/>
      <c r="F42" s="1279" t="s">
        <v>696</v>
      </c>
      <c r="G42" s="1020"/>
      <c r="H42" s="1020"/>
      <c r="I42" s="1020"/>
      <c r="J42" s="1020"/>
      <c r="K42" s="1020"/>
      <c r="L42" s="1007">
        <f t="shared" si="3"/>
        <v>1.2731614135625595</v>
      </c>
      <c r="M42" s="1007"/>
      <c r="N42" s="1020"/>
      <c r="O42" s="1024"/>
      <c r="P42" s="1020"/>
      <c r="Q42" s="1020"/>
      <c r="R42" s="1020"/>
      <c r="S42" s="1020">
        <v>5</v>
      </c>
      <c r="U42" s="1244" t="s">
        <v>1035</v>
      </c>
      <c r="V42" s="548" t="s">
        <v>977</v>
      </c>
      <c r="W42" s="570"/>
      <c r="X42" s="570"/>
      <c r="Y42" s="570"/>
      <c r="Z42" s="570"/>
      <c r="AA42" s="570"/>
      <c r="AB42" s="570"/>
      <c r="AC42" s="570"/>
      <c r="AD42" s="1250"/>
      <c r="AE42" s="573"/>
      <c r="AF42" s="573"/>
      <c r="AG42" s="573"/>
      <c r="AH42" s="573"/>
      <c r="AI42" s="573"/>
      <c r="AJ42" s="573"/>
      <c r="AK42" s="573"/>
      <c r="AL42" s="573"/>
      <c r="AM42" s="573"/>
      <c r="AN42" s="573"/>
      <c r="AO42" s="573"/>
      <c r="AP42" s="573"/>
      <c r="AQ42" s="1252"/>
    </row>
    <row r="43" spans="1:43" s="570" customFormat="1">
      <c r="A43" s="571"/>
      <c r="B43" s="571"/>
      <c r="C43" s="1266"/>
      <c r="D43" s="1266"/>
      <c r="E43" s="1266"/>
      <c r="F43" s="1280" t="s">
        <v>697</v>
      </c>
      <c r="G43" s="1266"/>
      <c r="H43" s="1266"/>
      <c r="I43" s="1266"/>
      <c r="J43" s="1266"/>
      <c r="K43" s="1266"/>
      <c r="L43" s="1164">
        <f t="shared" si="3"/>
        <v>1.2731614135625595</v>
      </c>
      <c r="M43" s="1164"/>
      <c r="N43" s="1266"/>
      <c r="O43" s="1278"/>
      <c r="P43" s="1266"/>
      <c r="Q43" s="1266"/>
      <c r="R43" s="1266"/>
      <c r="S43" s="1020">
        <v>5</v>
      </c>
      <c r="U43" s="1244" t="s">
        <v>1035</v>
      </c>
      <c r="V43" s="548" t="s">
        <v>977</v>
      </c>
      <c r="AD43" s="1250"/>
      <c r="AE43" s="573"/>
      <c r="AF43" s="573"/>
      <c r="AG43" s="573"/>
      <c r="AH43" s="573"/>
      <c r="AI43" s="573"/>
      <c r="AJ43" s="573"/>
      <c r="AK43" s="573"/>
      <c r="AL43" s="573"/>
      <c r="AM43" s="573"/>
      <c r="AN43" s="573"/>
      <c r="AO43" s="573"/>
      <c r="AP43" s="573"/>
      <c r="AQ43" s="1252"/>
    </row>
    <row r="44" spans="1:43" s="538" customFormat="1">
      <c r="A44" s="539"/>
      <c r="B44" s="539"/>
      <c r="C44" s="1026" t="str">
        <f>LEFT(F44,4)&amp;MID(E44,4,3)&amp;"X1N"</f>
        <v>TFVAELCX1N</v>
      </c>
      <c r="D44" s="1009" t="s">
        <v>630</v>
      </c>
      <c r="E44" s="1009" t="s">
        <v>876</v>
      </c>
      <c r="F44" s="1010" t="s">
        <v>698</v>
      </c>
      <c r="G44" s="1009">
        <v>2015</v>
      </c>
      <c r="H44" s="1010" t="s">
        <v>525</v>
      </c>
      <c r="I44" s="1009">
        <v>2012</v>
      </c>
      <c r="J44" s="1009"/>
      <c r="K44" s="1009"/>
      <c r="L44" s="1275">
        <f>'EU Varebil benzin'!$D$25/'EU varebil el'!$D$25</f>
        <v>3.3291288467260505</v>
      </c>
      <c r="M44" s="973"/>
      <c r="N44" s="1017">
        <f>'EU varebil el'!D27</f>
        <v>10.6</v>
      </c>
      <c r="O44" s="1016">
        <v>9.2399999999999996E-5</v>
      </c>
      <c r="P44" s="1006"/>
      <c r="Q44" s="1017">
        <f>TRA_Cars!P41/TRA_Cars!P5*TRA_Trucks!Q23</f>
        <v>349.01944596289792</v>
      </c>
      <c r="R44" s="1017"/>
      <c r="S44" s="1009">
        <v>5</v>
      </c>
      <c r="U44" s="548" t="s">
        <v>1031</v>
      </c>
      <c r="V44" s="548"/>
      <c r="W44" s="570"/>
      <c r="X44" s="570"/>
      <c r="Y44" s="570"/>
      <c r="Z44" s="570"/>
      <c r="AA44" s="570"/>
      <c r="AB44" s="570"/>
      <c r="AC44" s="570"/>
      <c r="AD44" s="1250"/>
      <c r="AE44" s="573"/>
      <c r="AF44" s="573"/>
      <c r="AG44" s="573"/>
      <c r="AH44" s="573"/>
      <c r="AI44" s="573"/>
      <c r="AJ44" s="573"/>
      <c r="AK44" s="573"/>
      <c r="AL44" s="573"/>
      <c r="AM44" s="573"/>
      <c r="AN44" s="573"/>
      <c r="AO44" s="573"/>
      <c r="AP44" s="573"/>
      <c r="AQ44" s="1252"/>
    </row>
    <row r="45" spans="1:43" s="538" customFormat="1">
      <c r="A45" s="539"/>
      <c r="B45" s="539"/>
      <c r="C45" s="1009"/>
      <c r="D45" s="1010"/>
      <c r="E45" s="1010"/>
      <c r="F45" s="1010" t="s">
        <v>699</v>
      </c>
      <c r="G45" s="1010"/>
      <c r="H45" s="1010"/>
      <c r="I45" s="1010"/>
      <c r="J45" s="1010"/>
      <c r="K45" s="1010"/>
      <c r="L45" s="1275">
        <f>'EU Varebil benzin'!$D$25/'EU varebil el'!$D$25</f>
        <v>3.3291288467260505</v>
      </c>
      <c r="M45" s="973"/>
      <c r="N45" s="1010"/>
      <c r="O45" s="1015"/>
      <c r="P45" s="1015"/>
      <c r="Q45" s="1010"/>
      <c r="R45" s="1010"/>
      <c r="S45" s="1010">
        <v>5</v>
      </c>
      <c r="U45" s="548" t="s">
        <v>1031</v>
      </c>
      <c r="V45" s="570" t="s">
        <v>877</v>
      </c>
      <c r="W45" s="570"/>
      <c r="X45" s="570"/>
      <c r="Y45" s="570"/>
      <c r="Z45" s="570"/>
      <c r="AA45" s="570"/>
      <c r="AB45" s="570"/>
      <c r="AC45" s="570"/>
      <c r="AD45" s="1250"/>
      <c r="AE45" s="573"/>
      <c r="AF45" s="573" t="s">
        <v>1009</v>
      </c>
      <c r="AG45" s="573" t="s">
        <v>1002</v>
      </c>
      <c r="AH45" s="573" t="s">
        <v>6</v>
      </c>
      <c r="AI45" s="573" t="s">
        <v>4</v>
      </c>
      <c r="AJ45" s="573" t="s">
        <v>7</v>
      </c>
      <c r="AK45" s="573"/>
      <c r="AL45" s="573"/>
      <c r="AM45" s="573"/>
      <c r="AN45" s="573"/>
      <c r="AO45" s="573"/>
      <c r="AP45" s="573"/>
      <c r="AQ45" s="1252"/>
    </row>
    <row r="46" spans="1:43" s="538" customFormat="1">
      <c r="A46" s="539"/>
      <c r="B46" s="539"/>
      <c r="C46" s="1009"/>
      <c r="D46" s="1009"/>
      <c r="E46" s="1009"/>
      <c r="F46" s="1010" t="s">
        <v>698</v>
      </c>
      <c r="G46" s="1010">
        <v>2020</v>
      </c>
      <c r="H46" s="1010" t="s">
        <v>525</v>
      </c>
      <c r="I46" s="1009"/>
      <c r="J46" s="1009"/>
      <c r="K46" s="1009"/>
      <c r="L46" s="1275">
        <f>'EU Varebil benzin'!$D$25/'EU varebil el'!$E$25</f>
        <v>3.4882585295507371</v>
      </c>
      <c r="M46" s="973"/>
      <c r="N46" s="1009">
        <v>16</v>
      </c>
      <c r="O46" s="1016">
        <v>9.2399999999999996E-5</v>
      </c>
      <c r="P46" s="1006"/>
      <c r="Q46" s="1017">
        <f>TRA_Cars!P45/TRA_Cars!P9*TRA_Trucks!Q25</f>
        <v>253.11089996279452</v>
      </c>
      <c r="R46" s="1017"/>
      <c r="S46" s="1010">
        <v>5</v>
      </c>
      <c r="U46" s="548" t="s">
        <v>1031</v>
      </c>
      <c r="V46" s="570"/>
      <c r="W46" s="570"/>
      <c r="X46" s="570"/>
      <c r="Y46" s="570"/>
      <c r="Z46" s="570"/>
      <c r="AA46" s="570"/>
      <c r="AB46" s="570"/>
      <c r="AC46" s="570"/>
      <c r="AD46" s="1250"/>
      <c r="AE46" s="573" t="s">
        <v>1004</v>
      </c>
      <c r="AF46" s="573">
        <f t="shared" ref="AF46:AH47" si="4">AF38</f>
        <v>2018</v>
      </c>
      <c r="AG46" s="573">
        <f t="shared" si="4"/>
        <v>0</v>
      </c>
      <c r="AH46" s="573">
        <f t="shared" si="4"/>
        <v>1.2592785132433144</v>
      </c>
      <c r="AI46" s="573"/>
      <c r="AJ46" s="573">
        <f>AJ38</f>
        <v>1.5114519050906257</v>
      </c>
      <c r="AK46" s="573"/>
      <c r="AL46" s="573"/>
      <c r="AM46" s="573"/>
      <c r="AN46" s="573"/>
      <c r="AO46" s="573"/>
      <c r="AP46" s="573"/>
      <c r="AQ46" s="1252"/>
    </row>
    <row r="47" spans="1:43" s="538" customFormat="1">
      <c r="A47" s="539"/>
      <c r="B47" s="539"/>
      <c r="C47" s="1009"/>
      <c r="D47" s="1009"/>
      <c r="E47" s="1009"/>
      <c r="F47" s="1010" t="s">
        <v>699</v>
      </c>
      <c r="G47" s="1010"/>
      <c r="H47" s="1010"/>
      <c r="I47" s="1010"/>
      <c r="J47" s="1010"/>
      <c r="K47" s="1010"/>
      <c r="L47" s="1275">
        <f>'EU Varebil benzin'!$D$25/'EU varebil el'!$E$25</f>
        <v>3.4882585295507371</v>
      </c>
      <c r="M47" s="973"/>
      <c r="N47" s="1010"/>
      <c r="O47" s="1016"/>
      <c r="P47" s="1016"/>
      <c r="Q47" s="1009"/>
      <c r="R47" s="1009"/>
      <c r="S47" s="1010">
        <v>5</v>
      </c>
      <c r="U47" s="548" t="s">
        <v>1031</v>
      </c>
      <c r="V47" s="570" t="s">
        <v>877</v>
      </c>
      <c r="W47" s="570"/>
      <c r="X47" s="570"/>
      <c r="Y47" s="570"/>
      <c r="Z47" s="570"/>
      <c r="AA47" s="570"/>
      <c r="AB47" s="570"/>
      <c r="AC47" s="570"/>
      <c r="AD47" s="1250"/>
      <c r="AE47" s="573"/>
      <c r="AF47" s="573">
        <f t="shared" si="4"/>
        <v>2020</v>
      </c>
      <c r="AG47" s="573">
        <f t="shared" si="4"/>
        <v>0</v>
      </c>
      <c r="AH47" s="573">
        <f t="shared" si="4"/>
        <v>1.2592785132433144</v>
      </c>
      <c r="AI47" s="573"/>
      <c r="AJ47" s="573">
        <f>AJ39</f>
        <v>1.3663077164820809</v>
      </c>
      <c r="AK47" s="573"/>
      <c r="AL47" s="573"/>
      <c r="AM47" s="573"/>
      <c r="AN47" s="573"/>
      <c r="AO47" s="573"/>
      <c r="AP47" s="573"/>
      <c r="AQ47" s="1252"/>
    </row>
    <row r="48" spans="1:43" s="538" customFormat="1">
      <c r="A48" s="539"/>
      <c r="B48" s="539"/>
      <c r="C48" s="1009"/>
      <c r="D48" s="1009"/>
      <c r="E48" s="1009"/>
      <c r="F48" s="1010" t="s">
        <v>698</v>
      </c>
      <c r="G48" s="1010">
        <v>2035</v>
      </c>
      <c r="H48" s="1010" t="s">
        <v>525</v>
      </c>
      <c r="I48" s="1009"/>
      <c r="J48" s="1009"/>
      <c r="K48" s="1009"/>
      <c r="L48" s="1275">
        <f>'EU Varebil benzin'!$D$25/'EU varebil el'!$F$25</f>
        <v>3.802420867260905</v>
      </c>
      <c r="M48" s="973"/>
      <c r="N48" s="1009">
        <v>16</v>
      </c>
      <c r="O48" s="1016">
        <v>9.2399999999999996E-5</v>
      </c>
      <c r="P48" s="1006"/>
      <c r="Q48" s="1017">
        <f>TRA_Cars!P49/TRA_Cars!P13*TRA_Trucks!Q27</f>
        <v>214.80689177163413</v>
      </c>
      <c r="R48" s="1017"/>
      <c r="S48" s="1010">
        <v>5</v>
      </c>
      <c r="U48" s="548" t="s">
        <v>1031</v>
      </c>
      <c r="V48" s="570"/>
      <c r="W48" s="570"/>
      <c r="X48" s="570"/>
      <c r="Y48" s="570"/>
      <c r="Z48" s="570"/>
      <c r="AA48" s="570"/>
      <c r="AB48" s="570"/>
      <c r="AC48" s="570"/>
      <c r="AD48" s="1250"/>
      <c r="AE48" s="573"/>
      <c r="AF48" s="573">
        <f>AF41</f>
        <v>2030</v>
      </c>
      <c r="AG48" s="573">
        <f t="shared" ref="AG48" si="5">AG41</f>
        <v>0</v>
      </c>
      <c r="AH48" s="573">
        <f>AH41</f>
        <v>1.2592785132433144</v>
      </c>
      <c r="AI48" s="573"/>
      <c r="AJ48" s="573">
        <f>AJ41</f>
        <v>1.2513960531757484</v>
      </c>
      <c r="AK48" s="573"/>
      <c r="AL48" s="573"/>
      <c r="AM48" s="573"/>
      <c r="AN48" s="573"/>
      <c r="AO48" s="573"/>
      <c r="AP48" s="573"/>
      <c r="AQ48" s="1252"/>
    </row>
    <row r="49" spans="1:43" s="538" customFormat="1" ht="13.8" thickBot="1">
      <c r="A49" s="539"/>
      <c r="B49" s="539"/>
      <c r="C49" s="1009"/>
      <c r="D49" s="1009"/>
      <c r="E49" s="1009"/>
      <c r="F49" s="1010" t="s">
        <v>699</v>
      </c>
      <c r="G49" s="1010"/>
      <c r="H49" s="1010"/>
      <c r="I49" s="1010"/>
      <c r="J49" s="1010"/>
      <c r="K49" s="1267"/>
      <c r="L49" s="1276">
        <f>'EU Varebil benzin'!$D$25/'EU varebil el'!$F$25</f>
        <v>3.802420867260905</v>
      </c>
      <c r="M49" s="1163"/>
      <c r="N49" s="1010"/>
      <c r="O49" s="1015"/>
      <c r="P49" s="1015"/>
      <c r="Q49" s="1010"/>
      <c r="R49" s="1267"/>
      <c r="S49" s="1027">
        <v>5</v>
      </c>
      <c r="U49" s="548" t="s">
        <v>1031</v>
      </c>
      <c r="V49" s="570" t="s">
        <v>877</v>
      </c>
      <c r="W49" s="570"/>
      <c r="X49" s="570"/>
      <c r="Y49" s="570"/>
      <c r="Z49" s="570"/>
      <c r="AA49" s="570"/>
      <c r="AB49" s="570"/>
      <c r="AC49" s="570"/>
      <c r="AD49" s="1250"/>
      <c r="AE49" s="573"/>
      <c r="AF49" s="573"/>
      <c r="AG49" s="573"/>
      <c r="AH49" s="573"/>
      <c r="AI49" s="573"/>
      <c r="AJ49" s="573"/>
      <c r="AK49" s="573"/>
      <c r="AL49" s="573"/>
      <c r="AM49" s="573"/>
      <c r="AN49" s="573"/>
      <c r="AO49" s="573"/>
      <c r="AP49" s="573"/>
      <c r="AQ49" s="1252"/>
    </row>
    <row r="50" spans="1:43" s="538" customFormat="1">
      <c r="A50" s="539"/>
      <c r="B50" s="571"/>
      <c r="C50" s="1026" t="str">
        <f>LEFT(F50,4)&amp;RIGHT(E50,3)&amp;"X1N"</f>
        <v>TFTRDSBX1N</v>
      </c>
      <c r="D50" s="1012" t="s">
        <v>508</v>
      </c>
      <c r="E50" s="1012" t="s">
        <v>507</v>
      </c>
      <c r="F50" s="1010" t="s">
        <v>695</v>
      </c>
      <c r="G50" s="1012">
        <v>2015</v>
      </c>
      <c r="H50" s="1014" t="str">
        <f>"MKr"&amp;RIGHT('EU Lastbil RME'!$H$38,2)</f>
        <v>MKr13</v>
      </c>
      <c r="I50" s="1014">
        <f>G50</f>
        <v>2015</v>
      </c>
      <c r="J50" s="1012"/>
      <c r="K50" s="1009"/>
      <c r="L50" s="1273">
        <f>'EU Lastbil'!$D$25/'EU Lastbil'!$D$25</f>
        <v>1</v>
      </c>
      <c r="M50" s="1161"/>
      <c r="N50" s="1012">
        <f>'EU Lastbil RME'!D27</f>
        <v>6</v>
      </c>
      <c r="O50" s="1074"/>
      <c r="P50" s="1012">
        <f>P5</f>
        <v>156</v>
      </c>
      <c r="Q50" s="1014">
        <f>'EU Lastbil RME'!D38*TRA_Trucks!W6</f>
        <v>761.0189130831742</v>
      </c>
      <c r="R50" s="1017"/>
      <c r="S50" s="1010">
        <v>5</v>
      </c>
      <c r="U50" s="548" t="s">
        <v>1029</v>
      </c>
      <c r="V50" s="570"/>
      <c r="W50" s="570"/>
      <c r="X50" s="570"/>
      <c r="Y50" s="570"/>
      <c r="Z50" s="570"/>
      <c r="AA50" s="570"/>
      <c r="AB50" s="570"/>
      <c r="AC50" s="570"/>
      <c r="AD50" s="1250"/>
      <c r="AE50" s="573"/>
      <c r="AF50" s="573"/>
      <c r="AG50" s="573"/>
      <c r="AH50" s="573"/>
      <c r="AI50" s="573"/>
      <c r="AJ50" s="573"/>
      <c r="AK50" s="573"/>
      <c r="AL50" s="573"/>
      <c r="AM50" s="573"/>
      <c r="AN50" s="573"/>
      <c r="AO50" s="573"/>
      <c r="AP50" s="573"/>
      <c r="AQ50" s="1252"/>
    </row>
    <row r="51" spans="1:43" s="538" customFormat="1">
      <c r="A51" s="539"/>
      <c r="B51" s="571"/>
      <c r="C51" s="1010"/>
      <c r="D51" s="1010"/>
      <c r="E51" s="1010"/>
      <c r="F51" s="1010" t="s">
        <v>696</v>
      </c>
      <c r="G51" s="1010"/>
      <c r="H51" s="1017"/>
      <c r="I51" s="1008"/>
      <c r="J51" s="1010"/>
      <c r="K51" s="1010"/>
      <c r="L51" s="1273">
        <f>'EU Lastbil'!$D$25/'EU Lastbil'!$D$25</f>
        <v>1</v>
      </c>
      <c r="M51" s="1161"/>
      <c r="N51" s="1010"/>
      <c r="P51" s="1017"/>
      <c r="Q51" s="1017"/>
      <c r="R51" s="1017"/>
      <c r="S51" s="1010">
        <v>5</v>
      </c>
      <c r="U51" s="548" t="s">
        <v>1029</v>
      </c>
      <c r="V51" s="570"/>
      <c r="W51" s="570"/>
      <c r="X51" s="570"/>
      <c r="Y51" s="570"/>
      <c r="Z51" s="570"/>
      <c r="AA51" s="570"/>
      <c r="AB51" s="570"/>
      <c r="AC51" s="570"/>
      <c r="AD51" s="1250"/>
      <c r="AE51" s="573"/>
      <c r="AF51" s="573"/>
      <c r="AG51" s="573"/>
      <c r="AH51" s="573"/>
      <c r="AI51" s="573"/>
      <c r="AJ51" s="573"/>
      <c r="AK51" s="573"/>
      <c r="AL51" s="573"/>
      <c r="AM51" s="573"/>
      <c r="AN51" s="573"/>
      <c r="AO51" s="573"/>
      <c r="AP51" s="573"/>
      <c r="AQ51" s="1252"/>
    </row>
    <row r="52" spans="1:43" s="538" customFormat="1">
      <c r="A52" s="539"/>
      <c r="B52" s="571"/>
      <c r="C52" s="1010"/>
      <c r="D52" s="1010"/>
      <c r="E52" s="1010"/>
      <c r="F52" s="1010" t="s">
        <v>697</v>
      </c>
      <c r="G52" s="1010"/>
      <c r="H52" s="1017"/>
      <c r="I52" s="1008"/>
      <c r="J52" s="1010"/>
      <c r="K52" s="1010"/>
      <c r="L52" s="1273">
        <f>'EU Lastbil'!$D$25/'EU Lastbil'!$D$25</f>
        <v>1</v>
      </c>
      <c r="M52" s="1161"/>
      <c r="N52" s="1010"/>
      <c r="P52" s="1017"/>
      <c r="Q52" s="1017"/>
      <c r="R52" s="1017"/>
      <c r="S52" s="1010">
        <v>5</v>
      </c>
      <c r="U52" s="548" t="s">
        <v>1029</v>
      </c>
      <c r="V52" s="570"/>
      <c r="W52" s="570"/>
      <c r="X52" s="570"/>
      <c r="Y52" s="570"/>
      <c r="Z52" s="570"/>
      <c r="AA52" s="570"/>
      <c r="AB52" s="570"/>
      <c r="AC52" s="570"/>
      <c r="AD52" s="1250"/>
      <c r="AE52" s="573"/>
      <c r="AF52" s="573" t="s">
        <v>1010</v>
      </c>
      <c r="AG52" s="573"/>
      <c r="AH52" s="573"/>
      <c r="AI52" s="573"/>
      <c r="AJ52" s="573"/>
      <c r="AK52" s="573"/>
      <c r="AL52" s="573"/>
      <c r="AM52" s="573"/>
      <c r="AN52" s="573"/>
      <c r="AO52" s="573"/>
      <c r="AP52" s="573"/>
      <c r="AQ52" s="1252"/>
    </row>
    <row r="53" spans="1:43" s="538" customFormat="1">
      <c r="A53" s="539"/>
      <c r="B53" s="571"/>
      <c r="C53" s="1010"/>
      <c r="D53" s="1010"/>
      <c r="E53" s="1010"/>
      <c r="F53" s="1010" t="s">
        <v>695</v>
      </c>
      <c r="G53" s="1010">
        <f>'EU Lastbil RME'!E21</f>
        <v>2020</v>
      </c>
      <c r="H53" s="1017" t="str">
        <f>"MKr"&amp;RIGHT('EU Lastbil RME'!$H$38,2)</f>
        <v>MKr13</v>
      </c>
      <c r="I53" s="1028"/>
      <c r="J53" s="1010"/>
      <c r="K53" s="1010"/>
      <c r="L53" s="1273">
        <f>'EU Lastbil'!$D$25/'EU Lastbil'!$E$25</f>
        <v>1.1025641025641026</v>
      </c>
      <c r="M53" s="1161"/>
      <c r="N53" s="1010">
        <f>'EU Lastbil RME'!E27</f>
        <v>6</v>
      </c>
      <c r="P53" s="1017">
        <f>P8</f>
        <v>156</v>
      </c>
      <c r="Q53" s="1017">
        <f>'EU Lastbil RME'!E38*W6</f>
        <v>761.0189130831742</v>
      </c>
      <c r="R53" s="1017"/>
      <c r="S53" s="1010">
        <v>5</v>
      </c>
      <c r="U53" s="548" t="s">
        <v>1029</v>
      </c>
      <c r="V53" s="570"/>
      <c r="W53" s="570"/>
      <c r="X53" s="570"/>
      <c r="Y53" s="570"/>
      <c r="Z53" s="570"/>
      <c r="AA53" s="570"/>
      <c r="AB53" s="570"/>
      <c r="AC53" s="570"/>
      <c r="AD53" s="1250"/>
      <c r="AE53" s="573"/>
      <c r="AF53" s="1254" t="s">
        <v>1011</v>
      </c>
      <c r="AG53" s="1255" t="s">
        <v>1012</v>
      </c>
      <c r="AH53" s="1255"/>
      <c r="AI53" s="1255"/>
      <c r="AJ53" s="1255"/>
      <c r="AK53" s="573"/>
      <c r="AL53" s="573"/>
      <c r="AM53" s="573"/>
      <c r="AN53" s="573"/>
      <c r="AO53" s="573"/>
      <c r="AP53" s="573"/>
      <c r="AQ53" s="1252"/>
    </row>
    <row r="54" spans="1:43">
      <c r="B54" s="571"/>
      <c r="C54" s="1010"/>
      <c r="D54" s="1010"/>
      <c r="E54" s="1010"/>
      <c r="F54" s="1010" t="s">
        <v>696</v>
      </c>
      <c r="G54" s="1010"/>
      <c r="H54" s="1017"/>
      <c r="I54" s="1028"/>
      <c r="J54" s="1008"/>
      <c r="K54" s="1008"/>
      <c r="L54" s="1273">
        <f>'EU Lastbil'!$D$25/'EU Lastbil'!$E$25</f>
        <v>1.1025641025641026</v>
      </c>
      <c r="M54" s="1161"/>
      <c r="N54" s="1029"/>
      <c r="P54" s="1017"/>
      <c r="Q54" s="1017"/>
      <c r="R54" s="1017"/>
      <c r="S54" s="1010">
        <v>5</v>
      </c>
      <c r="U54" s="548" t="s">
        <v>1029</v>
      </c>
      <c r="AD54" s="1250"/>
      <c r="AE54" s="573"/>
      <c r="AF54" s="1254"/>
      <c r="AG54" s="1256" t="s">
        <v>1013</v>
      </c>
      <c r="AH54" s="1256" t="s">
        <v>1014</v>
      </c>
      <c r="AI54" s="1256" t="s">
        <v>1015</v>
      </c>
      <c r="AJ54" s="1256" t="s">
        <v>1016</v>
      </c>
      <c r="AK54" s="1257" t="s">
        <v>1017</v>
      </c>
      <c r="AL54" s="573"/>
      <c r="AM54" s="573"/>
      <c r="AN54" s="573"/>
      <c r="AO54" s="573"/>
      <c r="AP54" s="573"/>
      <c r="AQ54" s="1252"/>
    </row>
    <row r="55" spans="1:43">
      <c r="B55" s="571"/>
      <c r="C55" s="1010"/>
      <c r="D55" s="1010"/>
      <c r="E55" s="1010"/>
      <c r="F55" s="1010" t="s">
        <v>697</v>
      </c>
      <c r="G55" s="1010"/>
      <c r="H55" s="1017"/>
      <c r="I55" s="1028"/>
      <c r="J55" s="1010"/>
      <c r="K55" s="1010"/>
      <c r="L55" s="1273">
        <f>'EU Lastbil'!$D$25/'EU Lastbil'!$E$25</f>
        <v>1.1025641025641026</v>
      </c>
      <c r="M55" s="1161"/>
      <c r="N55" s="1010"/>
      <c r="P55" s="1028"/>
      <c r="Q55" s="1028"/>
      <c r="R55" s="1028"/>
      <c r="S55" s="1010">
        <v>5</v>
      </c>
      <c r="U55" s="548" t="s">
        <v>1029</v>
      </c>
      <c r="AD55" s="1250"/>
      <c r="AE55" s="573"/>
      <c r="AF55" s="1258" t="s">
        <v>695</v>
      </c>
      <c r="AG55" s="1259">
        <v>7.7858414799701858</v>
      </c>
      <c r="AH55" s="1259">
        <f>AG55</f>
        <v>7.7858414799701858</v>
      </c>
      <c r="AI55" s="1259">
        <f t="shared" ref="AI55:AJ55" si="6">AH55</f>
        <v>7.7858414799701858</v>
      </c>
      <c r="AJ55" s="1259">
        <f t="shared" si="6"/>
        <v>7.7858414799701858</v>
      </c>
      <c r="AK55" s="1251">
        <f>AVERAGE(AG55:AJ55)</f>
        <v>7.7858414799701858</v>
      </c>
      <c r="AL55" s="573"/>
      <c r="AM55" s="573"/>
      <c r="AN55" s="573"/>
      <c r="AO55" s="573"/>
      <c r="AP55" s="573"/>
      <c r="AQ55" s="1252"/>
    </row>
    <row r="56" spans="1:43">
      <c r="B56" s="539"/>
      <c r="C56" s="1010"/>
      <c r="D56" s="1010"/>
      <c r="E56" s="1010"/>
      <c r="F56" s="1010" t="s">
        <v>695</v>
      </c>
      <c r="G56" s="1010">
        <f>'EU Lastbil RME'!F21</f>
        <v>2035</v>
      </c>
      <c r="H56" s="1014" t="s">
        <v>1484</v>
      </c>
      <c r="I56" s="1028"/>
      <c r="J56" s="1010"/>
      <c r="K56" s="1010"/>
      <c r="L56" s="1273">
        <f>'EU Lastbil'!$D$25/'EU Lastbil'!$F$25</f>
        <v>1.2731614135625595</v>
      </c>
      <c r="M56" s="1161"/>
      <c r="N56" s="1010">
        <f>'EU Lastbil RME'!F27</f>
        <v>6</v>
      </c>
      <c r="P56" s="1028">
        <f>P11</f>
        <v>156</v>
      </c>
      <c r="Q56" s="1028">
        <f>'EU Lastbil RME'!F38*W6</f>
        <v>761.0189130831742</v>
      </c>
      <c r="R56" s="1028"/>
      <c r="S56" s="1010">
        <v>5</v>
      </c>
      <c r="U56" s="548" t="s">
        <v>1029</v>
      </c>
      <c r="AD56" s="1250"/>
      <c r="AE56" s="573"/>
      <c r="AF56" s="1258" t="s">
        <v>696</v>
      </c>
      <c r="AG56" s="1259">
        <f>AG55</f>
        <v>7.7858414799701858</v>
      </c>
      <c r="AH56" s="1259">
        <f t="shared" ref="AH56:AJ57" si="7">AG56</f>
        <v>7.7858414799701858</v>
      </c>
      <c r="AI56" s="1259">
        <f t="shared" si="7"/>
        <v>7.7858414799701858</v>
      </c>
      <c r="AJ56" s="1259">
        <f t="shared" si="7"/>
        <v>7.7858414799701858</v>
      </c>
      <c r="AK56" s="1251">
        <f t="shared" ref="AK56:AK57" si="8">AVERAGE(AG56:AJ56)</f>
        <v>7.7858414799701858</v>
      </c>
      <c r="AL56" s="573"/>
      <c r="AM56" s="573"/>
      <c r="AN56" s="573"/>
      <c r="AO56" s="573"/>
      <c r="AP56" s="573"/>
      <c r="AQ56" s="1252"/>
    </row>
    <row r="57" spans="1:43">
      <c r="B57" s="539"/>
      <c r="C57" s="1010"/>
      <c r="D57" s="1010"/>
      <c r="E57" s="1010"/>
      <c r="F57" s="1010" t="s">
        <v>696</v>
      </c>
      <c r="G57" s="1010"/>
      <c r="H57" s="1010"/>
      <c r="I57" s="1010"/>
      <c r="J57" s="1010"/>
      <c r="K57" s="1010"/>
      <c r="L57" s="1273">
        <f>'EU Lastbil'!$D$25/'EU Lastbil'!$F$25</f>
        <v>1.2731614135625595</v>
      </c>
      <c r="M57" s="1161"/>
      <c r="N57" s="1010"/>
      <c r="P57" s="1010"/>
      <c r="Q57" s="1010"/>
      <c r="R57" s="1010"/>
      <c r="S57" s="1010">
        <v>5</v>
      </c>
      <c r="U57" s="548" t="s">
        <v>1029</v>
      </c>
      <c r="AD57" s="1250"/>
      <c r="AE57" s="573"/>
      <c r="AF57" s="1258" t="s">
        <v>697</v>
      </c>
      <c r="AG57" s="1259">
        <f>AG56</f>
        <v>7.7858414799701858</v>
      </c>
      <c r="AH57" s="1259">
        <f t="shared" si="7"/>
        <v>7.7858414799701858</v>
      </c>
      <c r="AI57" s="1259">
        <f t="shared" si="7"/>
        <v>7.7858414799701858</v>
      </c>
      <c r="AJ57" s="1259">
        <f t="shared" si="7"/>
        <v>7.7858414799701858</v>
      </c>
      <c r="AK57" s="1251">
        <f t="shared" si="8"/>
        <v>7.7858414799701858</v>
      </c>
      <c r="AL57" s="573"/>
      <c r="AM57" s="573"/>
      <c r="AN57" s="573"/>
      <c r="AO57" s="573"/>
      <c r="AP57" s="573"/>
      <c r="AQ57" s="1252"/>
    </row>
    <row r="58" spans="1:43">
      <c r="B58" s="539"/>
      <c r="C58" s="1010"/>
      <c r="D58" s="1010"/>
      <c r="E58" s="1010"/>
      <c r="F58" s="1010" t="s">
        <v>697</v>
      </c>
      <c r="G58" s="1010"/>
      <c r="H58" s="1010"/>
      <c r="I58" s="1010"/>
      <c r="J58" s="1010"/>
      <c r="K58" s="1267"/>
      <c r="L58" s="1274">
        <f>'EU Lastbil'!$D$25/'EU Lastbil'!$F$25</f>
        <v>1.2731614135625595</v>
      </c>
      <c r="M58" s="1162"/>
      <c r="N58" s="1010"/>
      <c r="O58" s="1029"/>
      <c r="P58" s="1010"/>
      <c r="Q58" s="1010"/>
      <c r="R58" s="1010"/>
      <c r="S58" s="1010">
        <v>5</v>
      </c>
      <c r="U58" s="548" t="s">
        <v>1029</v>
      </c>
      <c r="AD58" s="1250"/>
      <c r="AE58" s="573"/>
      <c r="AF58" s="1256"/>
      <c r="AG58" s="1255" t="s">
        <v>1012</v>
      </c>
      <c r="AH58" s="1255"/>
      <c r="AI58" s="573"/>
      <c r="AJ58" s="573"/>
      <c r="AK58" s="573"/>
      <c r="AL58" s="573"/>
      <c r="AM58" s="573"/>
      <c r="AN58" s="573"/>
      <c r="AO58" s="573"/>
      <c r="AP58" s="573"/>
      <c r="AQ58" s="1252"/>
    </row>
    <row r="59" spans="1:43" s="570" customFormat="1">
      <c r="A59" s="571"/>
      <c r="B59" s="571"/>
      <c r="C59" s="1147" t="str">
        <f>LEFT(F59,4)&amp;RIGHT(E59,2)&amp;"X1N"</f>
        <v>TFTREVX1N</v>
      </c>
      <c r="D59" s="1012" t="s">
        <v>936</v>
      </c>
      <c r="E59" s="1012" t="s">
        <v>876</v>
      </c>
      <c r="F59" s="1146" t="s">
        <v>695</v>
      </c>
      <c r="G59" s="1012">
        <v>2020</v>
      </c>
      <c r="H59" s="1014" t="s">
        <v>1484</v>
      </c>
      <c r="I59" s="1014">
        <f>G59</f>
        <v>2020</v>
      </c>
      <c r="J59" s="1012"/>
      <c r="K59" s="1009"/>
      <c r="L59" s="1273">
        <f>'EU Lastbil'!$D$25/'EU Lastbil El'!$P$25*$V$59</f>
        <v>1.7545470085470085</v>
      </c>
      <c r="M59" s="1161"/>
      <c r="N59" s="1014">
        <f>'EU Lastbil El'!P27</f>
        <v>6</v>
      </c>
      <c r="O59" s="1012"/>
      <c r="P59" s="1014">
        <f>TRA_Cars!$O$41/TRA_Cars!$O$5*P5</f>
        <v>75.708955943120543</v>
      </c>
      <c r="Q59" s="1148">
        <f>'EU Lastbil El'!E31*$W$6</f>
        <v>1278.8346587071387</v>
      </c>
      <c r="R59" s="1148"/>
      <c r="S59" s="1146">
        <v>5</v>
      </c>
      <c r="U59" s="548" t="s">
        <v>1029</v>
      </c>
      <c r="V59" s="570">
        <f>11/13</f>
        <v>0.84615384615384615</v>
      </c>
      <c r="W59" s="548" t="s">
        <v>952</v>
      </c>
      <c r="AD59" s="1250"/>
      <c r="AE59" s="573"/>
      <c r="AF59" s="1254" t="s">
        <v>1018</v>
      </c>
      <c r="AG59" s="1256" t="s">
        <v>1019</v>
      </c>
      <c r="AH59" s="1256" t="s">
        <v>1020</v>
      </c>
      <c r="AI59" s="573" t="s">
        <v>1017</v>
      </c>
      <c r="AJ59" s="573"/>
      <c r="AK59" s="573"/>
      <c r="AL59" s="573"/>
      <c r="AM59" s="573"/>
      <c r="AN59" s="573"/>
      <c r="AO59" s="573"/>
      <c r="AP59" s="573"/>
      <c r="AQ59" s="1252"/>
    </row>
    <row r="60" spans="1:43" s="570" customFormat="1">
      <c r="A60" s="571"/>
      <c r="B60" s="571"/>
      <c r="C60" s="1010"/>
      <c r="D60" s="1010"/>
      <c r="E60" s="1010"/>
      <c r="F60" s="1010" t="s">
        <v>696</v>
      </c>
      <c r="G60" s="1010"/>
      <c r="H60" s="1017"/>
      <c r="I60" s="1008"/>
      <c r="J60" s="1010"/>
      <c r="K60" s="1010"/>
      <c r="L60" s="1273">
        <f>'EU Lastbil'!$D$25/'EU Lastbil El'!$P$25*$V$59</f>
        <v>1.7545470085470085</v>
      </c>
      <c r="M60" s="1161"/>
      <c r="N60" s="1010"/>
      <c r="O60" s="1010"/>
      <c r="P60" s="1009"/>
      <c r="Q60" s="1017"/>
      <c r="R60" s="1017"/>
      <c r="S60" s="1010">
        <v>5</v>
      </c>
      <c r="U60" s="548" t="s">
        <v>1029</v>
      </c>
      <c r="AD60" s="1250"/>
      <c r="AE60" s="573"/>
      <c r="AF60" s="1258" t="s">
        <v>695</v>
      </c>
      <c r="AG60" s="1259">
        <v>13.881547989951986</v>
      </c>
      <c r="AH60" s="1259">
        <f>AG60</f>
        <v>13.881547989951986</v>
      </c>
      <c r="AI60" s="1251">
        <f>AVERAGE(AG60:AH60)</f>
        <v>13.881547989951986</v>
      </c>
      <c r="AJ60" s="573"/>
      <c r="AK60" s="573"/>
      <c r="AL60" s="573"/>
      <c r="AM60" s="573"/>
      <c r="AN60" s="573"/>
      <c r="AO60" s="573"/>
      <c r="AP60" s="573"/>
      <c r="AQ60" s="1252"/>
    </row>
    <row r="61" spans="1:43" s="570" customFormat="1">
      <c r="A61" s="571"/>
      <c r="B61" s="571"/>
      <c r="C61" s="1010"/>
      <c r="D61" s="1010"/>
      <c r="E61" s="1010"/>
      <c r="F61" s="1010" t="s">
        <v>697</v>
      </c>
      <c r="G61" s="1010"/>
      <c r="H61" s="1017"/>
      <c r="I61" s="1008"/>
      <c r="J61" s="1010"/>
      <c r="K61" s="1010"/>
      <c r="L61" s="1273">
        <f>'EU Lastbil'!$D$25/'EU Lastbil El'!$P$25*$V$59</f>
        <v>1.7545470085470085</v>
      </c>
      <c r="M61" s="1161"/>
      <c r="N61" s="1010"/>
      <c r="O61" s="1010"/>
      <c r="P61" s="1009"/>
      <c r="Q61" s="1017"/>
      <c r="R61" s="1017"/>
      <c r="S61" s="1010">
        <v>5</v>
      </c>
      <c r="U61" s="548" t="s">
        <v>1029</v>
      </c>
      <c r="W61" s="548" t="s">
        <v>953</v>
      </c>
      <c r="AD61" s="1250"/>
      <c r="AE61" s="573"/>
      <c r="AF61" s="1258" t="s">
        <v>696</v>
      </c>
      <c r="AG61" s="1259">
        <f>AG60</f>
        <v>13.881547989951986</v>
      </c>
      <c r="AH61" s="1259">
        <f t="shared" ref="AH61:AH62" si="9">AG61</f>
        <v>13.881547989951986</v>
      </c>
      <c r="AI61" s="1251">
        <f>AVERAGE(AG61:AH61)</f>
        <v>13.881547989951986</v>
      </c>
      <c r="AJ61" s="573"/>
      <c r="AK61" s="573"/>
      <c r="AL61" s="573"/>
      <c r="AM61" s="573"/>
      <c r="AN61" s="573"/>
      <c r="AO61" s="573"/>
      <c r="AP61" s="573"/>
      <c r="AQ61" s="1252"/>
    </row>
    <row r="62" spans="1:43" s="570" customFormat="1">
      <c r="A62" s="571"/>
      <c r="B62" s="571"/>
      <c r="F62" s="570" t="s">
        <v>695</v>
      </c>
      <c r="G62" s="570">
        <v>2035</v>
      </c>
      <c r="H62" s="1014" t="s">
        <v>1484</v>
      </c>
      <c r="L62" s="1273">
        <f>'EU Lastbil'!$D$25/'EU Lastbil El'!$Q$25*$V$63</f>
        <v>2.2603057792521746</v>
      </c>
      <c r="M62" s="1161"/>
      <c r="N62" s="570">
        <f>'EU Lastbil El'!Q27</f>
        <v>6</v>
      </c>
      <c r="P62" s="1017">
        <f>TRA_Cars!$O$41/TRA_Cars!$O$5*P8</f>
        <v>75.708955943120543</v>
      </c>
      <c r="Q62" s="1017">
        <f>'EU Lastbil El'!F31*$W$6</f>
        <v>1055.6935013576374</v>
      </c>
      <c r="R62" s="1017"/>
      <c r="S62" s="570">
        <v>5</v>
      </c>
      <c r="U62" s="548" t="s">
        <v>1029</v>
      </c>
      <c r="AD62" s="1250"/>
      <c r="AE62" s="573"/>
      <c r="AF62" s="1258" t="s">
        <v>697</v>
      </c>
      <c r="AG62" s="1259">
        <f>AG61</f>
        <v>13.881547989951986</v>
      </c>
      <c r="AH62" s="1259">
        <f t="shared" si="9"/>
        <v>13.881547989951986</v>
      </c>
      <c r="AI62" s="1251">
        <f>AVERAGE(AG62:AH62)</f>
        <v>13.881547989951986</v>
      </c>
      <c r="AJ62" s="573"/>
      <c r="AK62" s="573"/>
      <c r="AL62" s="573"/>
      <c r="AM62" s="573"/>
      <c r="AN62" s="573"/>
      <c r="AO62" s="573"/>
      <c r="AP62" s="573"/>
      <c r="AQ62" s="1252"/>
    </row>
    <row r="63" spans="1:43" s="570" customFormat="1">
      <c r="A63" s="571"/>
      <c r="B63" s="571"/>
      <c r="F63" s="570" t="s">
        <v>696</v>
      </c>
      <c r="L63" s="1273">
        <f>'EU Lastbil'!$D$25/'EU Lastbil El'!$Q$25*$V$63</f>
        <v>2.2603057792521746</v>
      </c>
      <c r="M63" s="1161"/>
      <c r="Q63" s="1017"/>
      <c r="R63" s="1017"/>
      <c r="S63" s="570">
        <v>5</v>
      </c>
      <c r="U63" s="548" t="s">
        <v>1029</v>
      </c>
      <c r="V63" s="570">
        <v>1</v>
      </c>
      <c r="W63" s="548" t="s">
        <v>978</v>
      </c>
      <c r="AD63" s="1250"/>
      <c r="AE63" s="573"/>
      <c r="AF63" s="1256"/>
      <c r="AG63" s="1255" t="s">
        <v>1012</v>
      </c>
      <c r="AH63" s="1255"/>
      <c r="AI63" s="573"/>
      <c r="AJ63" s="573"/>
      <c r="AK63" s="573"/>
      <c r="AL63" s="573"/>
      <c r="AM63" s="573"/>
      <c r="AN63" s="573"/>
      <c r="AO63" s="573"/>
      <c r="AP63" s="573"/>
      <c r="AQ63" s="1252"/>
    </row>
    <row r="64" spans="1:43" s="570" customFormat="1">
      <c r="A64" s="571"/>
      <c r="B64" s="571"/>
      <c r="F64" s="570" t="s">
        <v>697</v>
      </c>
      <c r="K64" s="1149"/>
      <c r="L64" s="1274">
        <f>'EU Lastbil'!$D$25/'EU Lastbil El'!$Q$25*$V$63</f>
        <v>2.2603057792521746</v>
      </c>
      <c r="M64" s="1162"/>
      <c r="Q64" s="1017"/>
      <c r="R64" s="1017"/>
      <c r="S64" s="570">
        <v>5</v>
      </c>
      <c r="U64" s="548" t="s">
        <v>1029</v>
      </c>
      <c r="W64" s="548" t="s">
        <v>1036</v>
      </c>
      <c r="AD64" s="1250"/>
      <c r="AE64" s="573"/>
      <c r="AF64" s="1254" t="s">
        <v>1021</v>
      </c>
      <c r="AG64" s="1256" t="s">
        <v>1022</v>
      </c>
      <c r="AH64" s="1256" t="s">
        <v>1023</v>
      </c>
      <c r="AI64" s="573" t="s">
        <v>1017</v>
      </c>
      <c r="AJ64" s="573"/>
      <c r="AK64" s="573"/>
      <c r="AL64" s="573"/>
      <c r="AM64" s="573"/>
      <c r="AN64" s="573"/>
      <c r="AO64" s="573"/>
      <c r="AP64" s="573"/>
      <c r="AQ64" s="1252"/>
    </row>
    <row r="65" spans="1:54" s="570" customFormat="1">
      <c r="A65" s="571"/>
      <c r="B65" s="571"/>
      <c r="C65" s="1317" t="s">
        <v>1026</v>
      </c>
      <c r="D65" s="1234" t="s">
        <v>996</v>
      </c>
      <c r="E65" s="1318" t="s">
        <v>876</v>
      </c>
      <c r="F65" s="1074" t="s">
        <v>695</v>
      </c>
      <c r="G65" s="1074">
        <v>2020</v>
      </c>
      <c r="H65" s="1074" t="s">
        <v>547</v>
      </c>
      <c r="I65" s="1074">
        <v>2020</v>
      </c>
      <c r="J65" s="1074"/>
      <c r="L65" s="1287">
        <f t="shared" ref="L65:L70" si="10">AI$92*L59+AI$93*L8</f>
        <v>1.277947504273504</v>
      </c>
      <c r="M65" s="506">
        <f>AP92</f>
        <v>0.18781444956402379</v>
      </c>
      <c r="N65" s="1074">
        <v>6</v>
      </c>
      <c r="O65" s="1074"/>
      <c r="P65" s="1240">
        <f>P8*AH47</f>
        <v>196.44744806595705</v>
      </c>
      <c r="Q65" s="1148">
        <f>Q8*AJ47</f>
        <v>1026.1229361695262</v>
      </c>
      <c r="R65" s="1148">
        <v>5</v>
      </c>
      <c r="S65" s="1074">
        <v>5</v>
      </c>
      <c r="U65" s="548" t="s">
        <v>1029</v>
      </c>
      <c r="W65" s="1240">
        <f>AG13</f>
        <v>1935.9695737293043</v>
      </c>
      <c r="AD65" s="1250"/>
      <c r="AE65" s="573"/>
      <c r="AF65" s="1258" t="s">
        <v>695</v>
      </c>
      <c r="AG65" s="1256">
        <v>8.6999999999999993</v>
      </c>
      <c r="AH65" s="1256">
        <v>11.19</v>
      </c>
      <c r="AI65" s="573">
        <f>AVERAGE(AG65:AH65)</f>
        <v>9.9450000000000003</v>
      </c>
      <c r="AJ65" s="573"/>
      <c r="AK65" s="573"/>
      <c r="AL65" s="573"/>
      <c r="AM65" s="573"/>
      <c r="AN65" s="573"/>
      <c r="AO65" s="573"/>
      <c r="AP65" s="573"/>
      <c r="AQ65" s="1252"/>
    </row>
    <row r="66" spans="1:54" s="570" customFormat="1">
      <c r="A66" s="571"/>
      <c r="B66" s="571"/>
      <c r="C66" s="571"/>
      <c r="D66" s="571"/>
      <c r="E66" s="1011" t="s">
        <v>224</v>
      </c>
      <c r="F66" s="570" t="s">
        <v>696</v>
      </c>
      <c r="L66" s="1287">
        <f t="shared" si="10"/>
        <v>1.277947504273504</v>
      </c>
      <c r="M66" s="506">
        <f>AP93</f>
        <v>0.81218555043597618</v>
      </c>
      <c r="Q66" s="1017"/>
      <c r="R66" s="1017">
        <v>5</v>
      </c>
      <c r="S66" s="570">
        <v>5</v>
      </c>
      <c r="U66" s="548" t="s">
        <v>1029</v>
      </c>
      <c r="W66" s="549">
        <f>AG16</f>
        <v>737.49503545872585</v>
      </c>
      <c r="AD66" s="1250"/>
      <c r="AE66" s="573"/>
      <c r="AF66" s="1258" t="s">
        <v>696</v>
      </c>
      <c r="AG66" s="1256">
        <f>AG65</f>
        <v>8.6999999999999993</v>
      </c>
      <c r="AH66" s="1256">
        <f>AH65</f>
        <v>11.19</v>
      </c>
      <c r="AI66" s="573">
        <f>AVERAGE(AG66:AH66)</f>
        <v>9.9450000000000003</v>
      </c>
      <c r="AJ66" s="573"/>
      <c r="AK66" s="573"/>
      <c r="AL66" s="573"/>
      <c r="AM66" s="573"/>
      <c r="AN66" s="573"/>
      <c r="AO66" s="573"/>
      <c r="AP66" s="573"/>
      <c r="AQ66" s="1252"/>
    </row>
    <row r="67" spans="1:54" s="570" customFormat="1">
      <c r="A67" s="571"/>
      <c r="B67" s="571"/>
      <c r="C67" s="558"/>
      <c r="D67" s="558"/>
      <c r="E67" s="558"/>
      <c r="F67" s="573" t="s">
        <v>697</v>
      </c>
      <c r="G67" s="573"/>
      <c r="H67" s="573"/>
      <c r="I67" s="573"/>
      <c r="J67" s="573"/>
      <c r="K67" s="573"/>
      <c r="L67" s="1287">
        <f t="shared" si="10"/>
        <v>1.277947504273504</v>
      </c>
      <c r="M67" s="522"/>
      <c r="N67" s="573"/>
      <c r="O67" s="573"/>
      <c r="P67" s="573"/>
      <c r="Q67" s="1017"/>
      <c r="R67" s="1017"/>
      <c r="S67" s="573">
        <v>5</v>
      </c>
      <c r="U67" s="548" t="s">
        <v>1029</v>
      </c>
      <c r="AD67" s="1250"/>
      <c r="AE67" s="573"/>
      <c r="AF67" s="1258" t="s">
        <v>697</v>
      </c>
      <c r="AG67" s="1256">
        <f>AG66</f>
        <v>8.6999999999999993</v>
      </c>
      <c r="AH67" s="1256">
        <f>AH66</f>
        <v>11.19</v>
      </c>
      <c r="AI67" s="573">
        <f>AVERAGE(AG67:AH67)</f>
        <v>9.9450000000000003</v>
      </c>
      <c r="AJ67" s="573"/>
      <c r="AK67" s="573"/>
      <c r="AL67" s="573"/>
      <c r="AM67" s="573"/>
      <c r="AN67" s="573"/>
      <c r="AO67" s="573"/>
      <c r="AP67" s="573"/>
      <c r="AQ67" s="1252"/>
    </row>
    <row r="68" spans="1:54" s="570" customFormat="1">
      <c r="A68" s="571"/>
      <c r="B68" s="571"/>
      <c r="C68" s="558" t="s">
        <v>1027</v>
      </c>
      <c r="D68" s="558" t="s">
        <v>997</v>
      </c>
      <c r="E68" s="1326" t="s">
        <v>876</v>
      </c>
      <c r="F68" s="573" t="s">
        <v>695</v>
      </c>
      <c r="G68" s="573">
        <v>2035</v>
      </c>
      <c r="H68" s="573" t="s">
        <v>547</v>
      </c>
      <c r="I68" s="573">
        <v>2035</v>
      </c>
      <c r="J68" s="573"/>
      <c r="K68" s="573"/>
      <c r="L68" s="1287">
        <f t="shared" si="10"/>
        <v>1.5387032479330656</v>
      </c>
      <c r="M68" s="506">
        <f>AP94</f>
        <v>0.1716896984864266</v>
      </c>
      <c r="N68" s="573">
        <v>6</v>
      </c>
      <c r="O68" s="573"/>
      <c r="P68" s="554">
        <f>AH48*P11</f>
        <v>196.44744806595705</v>
      </c>
      <c r="Q68" s="1017">
        <f>Q11*AJ48</f>
        <v>939.82210369262464</v>
      </c>
      <c r="R68" s="1017">
        <v>5</v>
      </c>
      <c r="S68" s="573">
        <v>5</v>
      </c>
      <c r="U68" s="548" t="s">
        <v>1029</v>
      </c>
      <c r="W68" s="549">
        <f>AG14</f>
        <v>2159.7543237703903</v>
      </c>
      <c r="AD68" s="1250"/>
      <c r="AE68" s="573"/>
      <c r="AF68" s="1254" t="s">
        <v>1024</v>
      </c>
      <c r="AG68" s="573"/>
      <c r="AH68" s="573"/>
      <c r="AI68" s="573"/>
      <c r="AJ68" s="573"/>
      <c r="AK68" s="573"/>
      <c r="AL68" s="573"/>
      <c r="AM68" s="573"/>
      <c r="AN68" s="573"/>
      <c r="AO68" s="573"/>
      <c r="AP68" s="573"/>
      <c r="AQ68" s="1252"/>
    </row>
    <row r="69" spans="1:54" s="570" customFormat="1">
      <c r="A69" s="571"/>
      <c r="B69" s="571"/>
      <c r="C69" s="558"/>
      <c r="D69" s="558"/>
      <c r="E69" s="1326" t="s">
        <v>225</v>
      </c>
      <c r="F69" s="573" t="s">
        <v>696</v>
      </c>
      <c r="G69" s="573"/>
      <c r="H69" s="573"/>
      <c r="I69" s="573"/>
      <c r="J69" s="573"/>
      <c r="K69" s="573"/>
      <c r="L69" s="1287">
        <f t="shared" si="10"/>
        <v>1.5387032479330656</v>
      </c>
      <c r="M69" s="506">
        <f>AP95</f>
        <v>0.82831030151357343</v>
      </c>
      <c r="N69" s="573"/>
      <c r="O69" s="573"/>
      <c r="P69" s="573"/>
      <c r="Q69" s="1017"/>
      <c r="R69" s="1017">
        <v>5</v>
      </c>
      <c r="S69" s="573">
        <v>5</v>
      </c>
      <c r="U69" s="548" t="s">
        <v>1029</v>
      </c>
      <c r="W69" s="549">
        <f>AG17</f>
        <v>851.60601515721078</v>
      </c>
      <c r="AD69" s="1250"/>
      <c r="AE69" s="573"/>
      <c r="AF69" s="1258" t="s">
        <v>695</v>
      </c>
      <c r="AG69" s="1251">
        <f>AVERAGE(AK55,AI60,AI65)</f>
        <v>10.537463156640724</v>
      </c>
      <c r="AH69" s="573"/>
      <c r="AI69" s="573"/>
      <c r="AJ69" s="573"/>
      <c r="AK69" s="573"/>
      <c r="AL69" s="573"/>
      <c r="AM69" s="573"/>
      <c r="AN69" s="573"/>
      <c r="AO69" s="573"/>
      <c r="AP69" s="573"/>
      <c r="AQ69" s="1252"/>
    </row>
    <row r="70" spans="1:54" s="570" customFormat="1">
      <c r="A70" s="571"/>
      <c r="B70" s="571"/>
      <c r="C70" s="1327"/>
      <c r="D70" s="1327"/>
      <c r="E70" s="1327"/>
      <c r="F70" s="1149" t="s">
        <v>697</v>
      </c>
      <c r="G70" s="1149"/>
      <c r="H70" s="1149"/>
      <c r="I70" s="1149"/>
      <c r="J70" s="1149"/>
      <c r="K70" s="1149"/>
      <c r="L70" s="1328">
        <f t="shared" si="10"/>
        <v>1.5387032479330656</v>
      </c>
      <c r="M70" s="1329"/>
      <c r="N70" s="1149"/>
      <c r="O70" s="1149"/>
      <c r="P70" s="1149"/>
      <c r="Q70" s="1330"/>
      <c r="R70" s="1330"/>
      <c r="S70" s="1149">
        <v>5</v>
      </c>
      <c r="U70" s="548" t="s">
        <v>1029</v>
      </c>
      <c r="AD70" s="1250"/>
      <c r="AE70" s="573"/>
      <c r="AF70" s="1258" t="s">
        <v>696</v>
      </c>
      <c r="AG70" s="1251">
        <f>AVERAGE(AK56,AI61,AI66)</f>
        <v>10.537463156640724</v>
      </c>
      <c r="AH70" s="573"/>
      <c r="AI70" s="573"/>
      <c r="AJ70" s="573"/>
      <c r="AK70" s="573"/>
      <c r="AL70" s="573"/>
      <c r="AM70" s="573"/>
      <c r="AN70" s="573"/>
      <c r="AO70" s="573"/>
      <c r="AP70" s="573"/>
      <c r="AQ70" s="1252"/>
    </row>
    <row r="71" spans="1:54" s="570" customFormat="1" ht="13.8" thickBot="1">
      <c r="A71" s="571"/>
      <c r="B71" s="571"/>
      <c r="C71" s="1026" t="str">
        <f>LEFT(F71,4)&amp;RIGHT(E71,3)&amp;"X1N"</f>
        <v>TFTRH2GX1N</v>
      </c>
      <c r="D71" s="1331" t="s">
        <v>1096</v>
      </c>
      <c r="E71" s="1332" t="s">
        <v>668</v>
      </c>
      <c r="F71" s="1245" t="s">
        <v>695</v>
      </c>
      <c r="G71" s="1333">
        <v>2020</v>
      </c>
      <c r="H71" s="1014" t="s">
        <v>1484</v>
      </c>
      <c r="I71" s="1334">
        <f>G71</f>
        <v>2020</v>
      </c>
      <c r="J71" s="1244"/>
      <c r="K71" s="1244"/>
      <c r="L71" s="1335">
        <f>'FCEV truck data'!Z17</f>
        <v>1.3636363636363635</v>
      </c>
      <c r="M71" s="1161"/>
      <c r="N71" s="1014">
        <v>6</v>
      </c>
      <c r="P71" s="59">
        <f>P5</f>
        <v>156</v>
      </c>
      <c r="Q71" s="1342">
        <f>Q8+'FCEV truck data'!AE34</f>
        <v>1251.5189130831741</v>
      </c>
      <c r="R71" s="1017"/>
      <c r="S71" s="1146">
        <v>5</v>
      </c>
      <c r="U71" s="548" t="s">
        <v>1029</v>
      </c>
      <c r="AD71" s="1260"/>
      <c r="AE71" s="1261"/>
      <c r="AF71" s="1262" t="s">
        <v>697</v>
      </c>
      <c r="AG71" s="1263">
        <f>AVERAGE(AK57,AI62,AI67)</f>
        <v>10.537463156640724</v>
      </c>
      <c r="AH71" s="1261"/>
      <c r="AI71" s="1261"/>
      <c r="AJ71" s="1261"/>
      <c r="AK71" s="1261"/>
      <c r="AL71" s="1261"/>
      <c r="AM71" s="1261"/>
      <c r="AN71" s="1261"/>
      <c r="AO71" s="1261"/>
      <c r="AP71" s="1261"/>
      <c r="AQ71" s="1264"/>
    </row>
    <row r="72" spans="1:54" s="570" customFormat="1">
      <c r="A72" s="571"/>
      <c r="B72" s="571"/>
      <c r="F72" s="1244" t="s">
        <v>696</v>
      </c>
      <c r="G72" s="1244"/>
      <c r="H72" s="1336"/>
      <c r="I72" s="1337"/>
      <c r="J72" s="1244"/>
      <c r="K72" s="1244"/>
      <c r="L72" s="1335">
        <f>L71</f>
        <v>1.3636363636363635</v>
      </c>
      <c r="M72" s="1161"/>
      <c r="N72" s="1010"/>
      <c r="P72" s="59"/>
      <c r="Q72" s="1342"/>
      <c r="R72" s="1017"/>
      <c r="S72" s="1010">
        <v>5</v>
      </c>
      <c r="U72" s="548" t="s">
        <v>1029</v>
      </c>
      <c r="AD72" s="1247"/>
      <c r="AE72" s="1248"/>
      <c r="AF72" s="1307"/>
      <c r="AG72" s="1248"/>
      <c r="AH72" s="1248"/>
      <c r="AI72" s="1248"/>
      <c r="AJ72" s="1248"/>
      <c r="AK72" s="1248"/>
      <c r="AL72" s="1248"/>
      <c r="AM72" s="1248"/>
      <c r="AN72" s="1248"/>
      <c r="AO72" s="1248"/>
      <c r="AP72" s="1248"/>
      <c r="AQ72" s="1249"/>
    </row>
    <row r="73" spans="1:54" s="570" customFormat="1">
      <c r="A73" s="571"/>
      <c r="B73" s="571"/>
      <c r="C73" s="573"/>
      <c r="D73" s="573"/>
      <c r="E73" s="573"/>
      <c r="F73" s="42" t="s">
        <v>697</v>
      </c>
      <c r="G73" s="42"/>
      <c r="H73" s="1336"/>
      <c r="I73" s="1338"/>
      <c r="J73" s="42"/>
      <c r="K73" s="42"/>
      <c r="L73" s="1339">
        <f>L72</f>
        <v>1.3636363636363635</v>
      </c>
      <c r="M73" s="506"/>
      <c r="N73" s="1010"/>
      <c r="O73" s="573"/>
      <c r="P73" s="1305"/>
      <c r="Q73" s="1342"/>
      <c r="R73" s="1017"/>
      <c r="S73" s="1010">
        <v>5</v>
      </c>
      <c r="U73" s="548" t="s">
        <v>1029</v>
      </c>
      <c r="AD73" s="1250"/>
      <c r="AE73" s="573"/>
      <c r="AF73" s="573"/>
      <c r="AG73" s="573"/>
      <c r="AH73" s="573"/>
      <c r="AI73" s="573"/>
      <c r="AJ73" s="573"/>
      <c r="AK73" s="573"/>
      <c r="AL73" s="573"/>
      <c r="AM73" s="573"/>
      <c r="AN73" s="573"/>
      <c r="AO73" s="573"/>
      <c r="AP73" s="573"/>
      <c r="AQ73" s="1252"/>
    </row>
    <row r="74" spans="1:54" s="570" customFormat="1">
      <c r="A74" s="571"/>
      <c r="B74" s="571"/>
      <c r="C74" s="573"/>
      <c r="D74" s="573"/>
      <c r="E74" s="573"/>
      <c r="F74" s="42" t="s">
        <v>695</v>
      </c>
      <c r="G74" s="42">
        <v>2035</v>
      </c>
      <c r="H74" s="1014" t="s">
        <v>1484</v>
      </c>
      <c r="I74" s="42"/>
      <c r="J74" s="42"/>
      <c r="K74" s="42"/>
      <c r="L74" s="1339">
        <f>'FCEV truck data'!AB17</f>
        <v>1.5789473684210527</v>
      </c>
      <c r="M74" s="506"/>
      <c r="N74" s="570">
        <v>6</v>
      </c>
      <c r="O74" s="573"/>
      <c r="P74" s="1305">
        <f>P8</f>
        <v>156</v>
      </c>
      <c r="Q74" s="1342">
        <f>Q11+'FCEV truck data'!AG34</f>
        <v>868.0189130831742</v>
      </c>
      <c r="R74" s="1017"/>
      <c r="S74" s="570">
        <v>5</v>
      </c>
      <c r="U74" s="548" t="s">
        <v>1029</v>
      </c>
      <c r="AD74" s="1308" t="s">
        <v>1070</v>
      </c>
      <c r="AE74" s="573"/>
      <c r="AF74" s="573"/>
      <c r="AG74" s="573"/>
      <c r="AH74" s="573"/>
      <c r="AI74" s="573"/>
      <c r="AJ74" s="573"/>
      <c r="AK74" s="573"/>
      <c r="AL74" s="573"/>
      <c r="AM74" s="573"/>
      <c r="AN74" s="573"/>
      <c r="AO74" s="573"/>
      <c r="AP74" s="573"/>
      <c r="AQ74" s="1252"/>
    </row>
    <row r="75" spans="1:54" s="570" customFormat="1">
      <c r="A75" s="571"/>
      <c r="B75" s="571"/>
      <c r="C75" s="573"/>
      <c r="D75" s="573"/>
      <c r="E75" s="573"/>
      <c r="F75" s="42" t="s">
        <v>696</v>
      </c>
      <c r="G75" s="42"/>
      <c r="H75" s="42"/>
      <c r="I75" s="42"/>
      <c r="J75" s="42"/>
      <c r="K75" s="42"/>
      <c r="L75" s="1339">
        <f>L74</f>
        <v>1.5789473684210527</v>
      </c>
      <c r="M75" s="506"/>
      <c r="O75" s="573"/>
      <c r="P75" s="1305"/>
      <c r="Q75" s="1342"/>
      <c r="R75" s="1017"/>
      <c r="S75" s="570">
        <v>5</v>
      </c>
      <c r="U75" s="548" t="s">
        <v>1029</v>
      </c>
      <c r="AD75" s="1309" t="s">
        <v>1072</v>
      </c>
      <c r="AE75" s="573"/>
      <c r="AF75" s="573"/>
      <c r="AG75" s="573"/>
      <c r="AH75" s="573"/>
      <c r="AI75" s="573"/>
      <c r="AJ75" s="573"/>
      <c r="AK75" s="573"/>
      <c r="AL75" s="573"/>
      <c r="AM75" s="573"/>
      <c r="AN75" s="573"/>
      <c r="AO75" s="573"/>
      <c r="AP75" s="573"/>
      <c r="AQ75" s="1252"/>
    </row>
    <row r="76" spans="1:54" s="570" customFormat="1">
      <c r="A76" s="571"/>
      <c r="B76" s="571"/>
      <c r="C76" s="1149"/>
      <c r="D76" s="1149"/>
      <c r="E76" s="1149"/>
      <c r="F76" s="1340" t="s">
        <v>697</v>
      </c>
      <c r="G76" s="1340"/>
      <c r="H76" s="1340"/>
      <c r="I76" s="1340"/>
      <c r="J76" s="1340"/>
      <c r="K76" s="1340"/>
      <c r="L76" s="1341">
        <f>L75</f>
        <v>1.5789473684210527</v>
      </c>
      <c r="M76" s="1162"/>
      <c r="N76" s="1149"/>
      <c r="O76" s="1149"/>
      <c r="P76" s="1343"/>
      <c r="Q76" s="1344"/>
      <c r="R76" s="1330"/>
      <c r="S76" s="1149">
        <v>5</v>
      </c>
      <c r="U76" s="548" t="s">
        <v>1029</v>
      </c>
      <c r="AD76" s="1309" t="s">
        <v>1078</v>
      </c>
      <c r="AE76" s="573"/>
      <c r="AF76" s="573"/>
      <c r="AG76" s="573"/>
      <c r="AH76" s="573"/>
      <c r="AI76" s="573"/>
      <c r="AJ76" s="573"/>
      <c r="AK76" s="573"/>
      <c r="AL76" s="573"/>
      <c r="AM76" s="573"/>
      <c r="AN76" s="573"/>
      <c r="AO76" s="573"/>
      <c r="AP76" s="573"/>
      <c r="AQ76" s="1252"/>
    </row>
    <row r="77" spans="1:54" s="570" customFormat="1">
      <c r="A77" s="571"/>
      <c r="B77" s="571"/>
      <c r="L77" s="1161"/>
      <c r="M77" s="1161"/>
      <c r="Q77" s="1017"/>
      <c r="R77" s="1017"/>
      <c r="AD77" s="1250"/>
      <c r="AE77" s="573"/>
      <c r="AF77" s="573"/>
      <c r="AG77" s="554"/>
      <c r="AH77" s="573"/>
      <c r="AI77" s="573"/>
      <c r="AJ77" s="573"/>
      <c r="AK77" s="573"/>
      <c r="AL77" s="573"/>
      <c r="AM77" s="573"/>
      <c r="AN77" s="573"/>
      <c r="AO77" s="573"/>
      <c r="AP77" s="573"/>
      <c r="AQ77" s="1252"/>
    </row>
    <row r="78" spans="1:54" s="570" customFormat="1">
      <c r="A78" s="571"/>
      <c r="B78" s="571"/>
      <c r="L78" s="1161"/>
      <c r="M78" s="1161"/>
      <c r="Q78" s="1017"/>
      <c r="R78" s="1017"/>
      <c r="AD78" s="1310"/>
      <c r="AE78" s="1305"/>
      <c r="AF78" s="1305"/>
      <c r="AG78" s="1305"/>
      <c r="AH78" s="1305"/>
      <c r="AI78" s="1305" t="s">
        <v>1067</v>
      </c>
      <c r="AJ78" s="1305" t="s">
        <v>1068</v>
      </c>
      <c r="AK78" s="1305" t="s">
        <v>1013</v>
      </c>
      <c r="AL78" s="1305" t="s">
        <v>1014</v>
      </c>
      <c r="AM78" s="1305" t="s">
        <v>1015</v>
      </c>
      <c r="AN78" s="1305" t="s">
        <v>1016</v>
      </c>
      <c r="AO78" s="1305" t="s">
        <v>1019</v>
      </c>
      <c r="AP78" s="1305" t="s">
        <v>1069</v>
      </c>
      <c r="AQ78" s="1311"/>
    </row>
    <row r="79" spans="1:54" s="570" customFormat="1">
      <c r="A79" s="571"/>
      <c r="B79" s="571"/>
      <c r="AD79" s="1310" t="s">
        <v>695</v>
      </c>
      <c r="AE79" s="1305" t="s">
        <v>1064</v>
      </c>
      <c r="AF79" s="1305"/>
      <c r="AG79" s="1305" t="s">
        <v>1063</v>
      </c>
      <c r="AH79" s="1305"/>
      <c r="AI79" s="1306">
        <v>6.2E-2</v>
      </c>
      <c r="AJ79" s="1306">
        <v>6.2E-2</v>
      </c>
      <c r="AK79" s="1306">
        <v>6.2E-2</v>
      </c>
      <c r="AL79" s="1306">
        <v>6.2E-2</v>
      </c>
      <c r="AM79" s="1306">
        <v>6.2E-2</v>
      </c>
      <c r="AN79" s="1306">
        <v>6.2E-2</v>
      </c>
      <c r="AO79" s="1306">
        <v>6.2E-2</v>
      </c>
      <c r="AP79" s="1306">
        <v>6.2E-2</v>
      </c>
      <c r="AQ79" s="1311" t="s">
        <v>695</v>
      </c>
      <c r="AR79" s="548" t="s">
        <v>1095</v>
      </c>
      <c r="AU79" s="557">
        <f>AI79*1.2</f>
        <v>7.4399999999999994E-2</v>
      </c>
      <c r="AV79" s="557">
        <f t="shared" ref="AV79:BB81" si="11">AJ79*1.2</f>
        <v>7.4399999999999994E-2</v>
      </c>
      <c r="AW79" s="557">
        <f t="shared" si="11"/>
        <v>7.4399999999999994E-2</v>
      </c>
      <c r="AX79" s="557">
        <f t="shared" si="11"/>
        <v>7.4399999999999994E-2</v>
      </c>
      <c r="AY79" s="557">
        <f t="shared" si="11"/>
        <v>7.4399999999999994E-2</v>
      </c>
      <c r="AZ79" s="557">
        <f t="shared" si="11"/>
        <v>7.4399999999999994E-2</v>
      </c>
      <c r="BA79" s="557">
        <f t="shared" si="11"/>
        <v>7.4399999999999994E-2</v>
      </c>
      <c r="BB79" s="557">
        <f t="shared" si="11"/>
        <v>7.4399999999999994E-2</v>
      </c>
    </row>
    <row r="80" spans="1:54" s="570" customFormat="1">
      <c r="A80" s="571"/>
      <c r="B80" s="571"/>
      <c r="AD80" s="1310" t="s">
        <v>696</v>
      </c>
      <c r="AE80" s="1305" t="s">
        <v>1065</v>
      </c>
      <c r="AF80" s="1305"/>
      <c r="AG80" s="1305" t="s">
        <v>1063</v>
      </c>
      <c r="AH80" s="1305"/>
      <c r="AI80" s="1306">
        <v>0.44500000000000001</v>
      </c>
      <c r="AJ80" s="1306">
        <v>0.44500000000000001</v>
      </c>
      <c r="AK80" s="1306">
        <v>0.44500000000000001</v>
      </c>
      <c r="AL80" s="1306">
        <v>0.44500000000000001</v>
      </c>
      <c r="AM80" s="1306">
        <v>0.44500000000000001</v>
      </c>
      <c r="AN80" s="1306">
        <v>0.44500000000000001</v>
      </c>
      <c r="AO80" s="1306">
        <v>0.44500000000000001</v>
      </c>
      <c r="AP80" s="1306">
        <v>0.44500000000000001</v>
      </c>
      <c r="AQ80" s="1311" t="s">
        <v>696</v>
      </c>
      <c r="AR80" s="548" t="s">
        <v>1095</v>
      </c>
      <c r="AU80" s="557">
        <f t="shared" ref="AU80:AU81" si="12">AI80*1.2</f>
        <v>0.53400000000000003</v>
      </c>
      <c r="AV80" s="557">
        <f t="shared" si="11"/>
        <v>0.53400000000000003</v>
      </c>
      <c r="AW80" s="557">
        <f t="shared" si="11"/>
        <v>0.53400000000000003</v>
      </c>
      <c r="AX80" s="557">
        <f t="shared" si="11"/>
        <v>0.53400000000000003</v>
      </c>
      <c r="AY80" s="557">
        <f t="shared" si="11"/>
        <v>0.53400000000000003</v>
      </c>
      <c r="AZ80" s="557">
        <f t="shared" si="11"/>
        <v>0.53400000000000003</v>
      </c>
      <c r="BA80" s="557">
        <f t="shared" si="11"/>
        <v>0.53400000000000003</v>
      </c>
      <c r="BB80" s="557">
        <f t="shared" si="11"/>
        <v>0.53400000000000003</v>
      </c>
    </row>
    <row r="81" spans="1:58" s="570" customFormat="1">
      <c r="A81" s="571"/>
      <c r="B81" s="571"/>
      <c r="C81" s="1150" t="s">
        <v>964</v>
      </c>
      <c r="D81" s="1151"/>
      <c r="E81" s="1151"/>
      <c r="F81" s="1151"/>
      <c r="G81" s="1151"/>
      <c r="H81" s="1151"/>
      <c r="I81" s="1151"/>
      <c r="J81" s="1151"/>
      <c r="K81" s="1151"/>
      <c r="L81" s="1151"/>
      <c r="M81" s="1151"/>
      <c r="N81" s="1151"/>
      <c r="O81" s="1151"/>
      <c r="P81" s="1151"/>
      <c r="Q81" s="1151"/>
      <c r="R81" s="1151"/>
      <c r="S81" s="1151"/>
      <c r="AD81" s="1310" t="s">
        <v>697</v>
      </c>
      <c r="AE81" s="1305" t="s">
        <v>1066</v>
      </c>
      <c r="AF81" s="1305"/>
      <c r="AG81" s="1305" t="s">
        <v>1063</v>
      </c>
      <c r="AH81" s="1305"/>
      <c r="AI81" s="1306">
        <v>0.49299999999999999</v>
      </c>
      <c r="AJ81" s="1306">
        <v>0.49299999999999999</v>
      </c>
      <c r="AK81" s="1306">
        <v>0.49299999999999999</v>
      </c>
      <c r="AL81" s="1306">
        <v>0.49299999999999999</v>
      </c>
      <c r="AM81" s="1306">
        <v>0.49299999999999999</v>
      </c>
      <c r="AN81" s="1306">
        <v>0.49299999999999999</v>
      </c>
      <c r="AO81" s="1306">
        <v>0.49299999999999999</v>
      </c>
      <c r="AP81" s="1306">
        <v>0.49299999999999999</v>
      </c>
      <c r="AQ81" s="1311" t="s">
        <v>697</v>
      </c>
      <c r="AR81" s="548" t="s">
        <v>1095</v>
      </c>
      <c r="AU81" s="557">
        <f t="shared" si="12"/>
        <v>0.59160000000000001</v>
      </c>
      <c r="AV81" s="557">
        <f t="shared" si="11"/>
        <v>0.59160000000000001</v>
      </c>
      <c r="AW81" s="557">
        <f t="shared" si="11"/>
        <v>0.59160000000000001</v>
      </c>
      <c r="AX81" s="557">
        <f t="shared" si="11"/>
        <v>0.59160000000000001</v>
      </c>
      <c r="AY81" s="557">
        <f t="shared" si="11"/>
        <v>0.59160000000000001</v>
      </c>
      <c r="AZ81" s="557">
        <f t="shared" si="11"/>
        <v>0.59160000000000001</v>
      </c>
      <c r="BA81" s="557">
        <f t="shared" si="11"/>
        <v>0.59160000000000001</v>
      </c>
      <c r="BB81" s="557">
        <f t="shared" si="11"/>
        <v>0.59160000000000001</v>
      </c>
    </row>
    <row r="82" spans="1:58">
      <c r="B82" s="539"/>
      <c r="C82" s="1151"/>
      <c r="D82" s="1151"/>
      <c r="E82" s="1151"/>
      <c r="F82" s="1151"/>
      <c r="G82" s="1151"/>
      <c r="H82" s="1151"/>
      <c r="I82" s="1151"/>
      <c r="J82" s="1151"/>
      <c r="K82" s="1151"/>
      <c r="L82" s="1151"/>
      <c r="M82" s="1151"/>
      <c r="N82" s="1151"/>
      <c r="O82" s="1151"/>
      <c r="P82" s="1151"/>
      <c r="Q82" s="1151"/>
      <c r="R82" s="1151"/>
      <c r="S82" s="1152"/>
      <c r="AD82" s="1310"/>
      <c r="AE82" s="1305"/>
      <c r="AF82" s="1305"/>
      <c r="AG82" s="1305"/>
      <c r="AH82" s="1305"/>
      <c r="AI82" s="1305"/>
      <c r="AJ82" s="1305"/>
      <c r="AK82" s="1305"/>
      <c r="AL82" s="1305"/>
      <c r="AM82" s="1305"/>
      <c r="AN82" s="1305"/>
      <c r="AO82" s="1305"/>
      <c r="AP82" s="1305"/>
      <c r="AQ82" s="1311"/>
      <c r="AU82">
        <f>SUM(AU79:AU81)</f>
        <v>1.2000000000000002</v>
      </c>
      <c r="AV82" s="570">
        <f t="shared" ref="AV82:AZ82" si="13">SUM(AV79:AV81)</f>
        <v>1.2000000000000002</v>
      </c>
      <c r="AW82" s="570">
        <f t="shared" si="13"/>
        <v>1.2000000000000002</v>
      </c>
      <c r="AX82" s="570">
        <f t="shared" si="13"/>
        <v>1.2000000000000002</v>
      </c>
      <c r="AY82" s="570">
        <f t="shared" si="13"/>
        <v>1.2000000000000002</v>
      </c>
      <c r="AZ82" s="570">
        <f t="shared" si="13"/>
        <v>1.2000000000000002</v>
      </c>
      <c r="BA82" s="570">
        <f>SUM(BA79:BA81)</f>
        <v>1.2000000000000002</v>
      </c>
      <c r="BB82" s="570">
        <f t="shared" ref="BB82" si="14">SUM(BB79:BB81)</f>
        <v>1.2000000000000002</v>
      </c>
      <c r="BC82" s="570"/>
      <c r="BD82" s="570"/>
      <c r="BE82" s="570"/>
      <c r="BF82" s="570"/>
    </row>
    <row r="83" spans="1:58">
      <c r="C83" s="1153" t="str">
        <f>LEFT(F83,4)&amp;RIGHT(E83,2)&amp;"X1N"</f>
        <v>TFTREVX1N</v>
      </c>
      <c r="D83" s="1022" t="s">
        <v>936</v>
      </c>
      <c r="E83" s="1022" t="s">
        <v>876</v>
      </c>
      <c r="F83" s="1154" t="s">
        <v>695</v>
      </c>
      <c r="G83" s="1022">
        <v>2015</v>
      </c>
      <c r="H83" s="1023" t="str">
        <f>"MKr"&amp;RIGHT('EU Lastbil RME'!$H$38,2)</f>
        <v>MKr13</v>
      </c>
      <c r="I83" s="1023">
        <f>G83</f>
        <v>2015</v>
      </c>
      <c r="J83" s="1022"/>
      <c r="K83" s="1154"/>
      <c r="L83" s="1155">
        <f>TRA_Trucks!$Z$19/'EU Lastbil El'!$D$25*$W$83</f>
        <v>0</v>
      </c>
      <c r="M83" s="1268"/>
      <c r="N83" s="1023">
        <f>'EU Lastbil El'!D27</f>
        <v>3.9749999999999996</v>
      </c>
      <c r="O83" s="1022"/>
      <c r="P83" s="1022">
        <f>P5</f>
        <v>156</v>
      </c>
      <c r="Q83" s="1023">
        <f>'EU Lastbil El'!D31*$W$6</f>
        <v>1947.0269924355205</v>
      </c>
      <c r="R83" s="1025"/>
      <c r="S83" s="1021">
        <v>5</v>
      </c>
      <c r="AD83" s="1250"/>
      <c r="AE83" s="573"/>
      <c r="AF83" s="573"/>
      <c r="AG83" s="573"/>
      <c r="AH83" s="573"/>
      <c r="AI83" s="573"/>
      <c r="AJ83" s="573"/>
      <c r="AK83" s="553" t="s">
        <v>1080</v>
      </c>
      <c r="AL83" s="553" t="s">
        <v>1074</v>
      </c>
      <c r="AM83" s="573"/>
      <c r="AN83" s="573"/>
      <c r="AO83" s="573"/>
      <c r="AP83" s="573"/>
      <c r="AQ83" s="1252"/>
    </row>
    <row r="84" spans="1:58">
      <c r="C84" s="1021"/>
      <c r="D84" s="1021"/>
      <c r="E84" s="1021"/>
      <c r="F84" s="1021" t="s">
        <v>696</v>
      </c>
      <c r="G84" s="1021"/>
      <c r="H84" s="1025"/>
      <c r="I84" s="1156"/>
      <c r="J84" s="1021"/>
      <c r="K84" s="1021"/>
      <c r="L84" s="1157">
        <f>TRA_Trucks!$Z$19/'EU Lastbil El'!$D$25*$W$83</f>
        <v>0</v>
      </c>
      <c r="M84" s="1157"/>
      <c r="N84" s="1021"/>
      <c r="O84" s="1021"/>
      <c r="P84" s="1020"/>
      <c r="Q84" s="1025"/>
      <c r="R84" s="1025"/>
      <c r="S84" s="1021">
        <v>5</v>
      </c>
      <c r="AD84" s="1250"/>
      <c r="AE84" s="558"/>
      <c r="AF84" s="558"/>
      <c r="AG84" s="1312" t="s">
        <v>1071</v>
      </c>
      <c r="AH84" s="558" t="s">
        <v>695</v>
      </c>
      <c r="AI84" s="560">
        <f>AVERAGE(AI79:AP79)</f>
        <v>6.2E-2</v>
      </c>
      <c r="AJ84" s="573"/>
      <c r="AK84" s="1306">
        <v>0.75</v>
      </c>
      <c r="AL84" s="1306">
        <v>0.25</v>
      </c>
      <c r="AM84" s="560">
        <f>AK84*AI84</f>
        <v>4.65E-2</v>
      </c>
      <c r="AN84" s="560">
        <f>AL84*AI84</f>
        <v>1.55E-2</v>
      </c>
      <c r="AO84" s="573"/>
      <c r="AP84" s="573"/>
      <c r="AQ84" s="1252"/>
    </row>
    <row r="85" spans="1:58">
      <c r="C85" s="1021"/>
      <c r="D85" s="1021"/>
      <c r="E85" s="1021"/>
      <c r="F85" s="1021" t="s">
        <v>697</v>
      </c>
      <c r="G85" s="1021"/>
      <c r="H85" s="1025"/>
      <c r="I85" s="1156"/>
      <c r="J85" s="1021"/>
      <c r="K85" s="1021"/>
      <c r="L85" s="1157">
        <f>TRA_Trucks!$Z$19/'EU Lastbil El'!$D$25*$W$83</f>
        <v>0</v>
      </c>
      <c r="M85" s="1157"/>
      <c r="N85" s="1021"/>
      <c r="O85" s="1021"/>
      <c r="P85" s="1020"/>
      <c r="Q85" s="1025"/>
      <c r="R85" s="1025"/>
      <c r="S85" s="1021">
        <v>5</v>
      </c>
      <c r="AD85" s="1313"/>
      <c r="AE85" s="558"/>
      <c r="AF85" s="558"/>
      <c r="AG85" s="558"/>
      <c r="AH85" s="558" t="s">
        <v>696</v>
      </c>
      <c r="AI85" s="560">
        <f t="shared" ref="AI85:AI86" si="15">AVERAGE(AI80:AP80)</f>
        <v>0.44499999999999995</v>
      </c>
      <c r="AJ85" s="573"/>
      <c r="AK85" s="1306">
        <v>0.5</v>
      </c>
      <c r="AL85" s="1306">
        <v>0.5</v>
      </c>
      <c r="AM85" s="560">
        <f t="shared" ref="AM85:AM86" si="16">AK85*AI85</f>
        <v>0.22249999999999998</v>
      </c>
      <c r="AN85" s="560">
        <f t="shared" ref="AN85:AN86" si="17">AL85*AI85</f>
        <v>0.22249999999999998</v>
      </c>
      <c r="AO85" s="573"/>
      <c r="AP85" s="573"/>
      <c r="AQ85" s="1252"/>
    </row>
    <row r="86" spans="1:58">
      <c r="C86" s="1021"/>
      <c r="D86" s="1021"/>
      <c r="E86" s="1021"/>
      <c r="F86" s="1021" t="s">
        <v>695</v>
      </c>
      <c r="G86" s="1021">
        <f>G53</f>
        <v>2020</v>
      </c>
      <c r="H86" s="1025" t="str">
        <f>"MKr"&amp;RIGHT('EU Lastbil RME'!$H$38,2)</f>
        <v>MKr13</v>
      </c>
      <c r="I86" s="1158"/>
      <c r="J86" s="1021"/>
      <c r="K86" s="1021"/>
      <c r="L86" s="1157">
        <f>TRA_Trucks!$Z$19/'EU Lastbil El'!$E$25*$W$83</f>
        <v>0</v>
      </c>
      <c r="M86" s="1157"/>
      <c r="N86" s="1020">
        <f>'EU Lastbil El'!E27</f>
        <v>6</v>
      </c>
      <c r="O86" s="1020"/>
      <c r="P86" s="1020">
        <f>P8</f>
        <v>156</v>
      </c>
      <c r="Q86" s="1025">
        <f>'EU Lastbil El'!E31*$W$6</f>
        <v>1278.8346587071387</v>
      </c>
      <c r="R86" s="1025"/>
      <c r="S86" s="1021">
        <v>5</v>
      </c>
      <c r="AD86" s="1313"/>
      <c r="AE86" s="558"/>
      <c r="AF86" s="558"/>
      <c r="AG86" s="558"/>
      <c r="AH86" s="558" t="s">
        <v>697</v>
      </c>
      <c r="AI86" s="560">
        <f t="shared" si="15"/>
        <v>0.49299999999999994</v>
      </c>
      <c r="AJ86" s="573"/>
      <c r="AK86" s="1306">
        <v>0</v>
      </c>
      <c r="AL86" s="1306">
        <v>1</v>
      </c>
      <c r="AM86" s="560">
        <f t="shared" si="16"/>
        <v>0</v>
      </c>
      <c r="AN86" s="560">
        <f t="shared" si="17"/>
        <v>0.49299999999999994</v>
      </c>
      <c r="AO86" s="573"/>
      <c r="AP86" s="573"/>
      <c r="AQ86" s="1252"/>
    </row>
    <row r="87" spans="1:58">
      <c r="C87" s="1021"/>
      <c r="D87" s="1021"/>
      <c r="E87" s="1021"/>
      <c r="F87" s="1021" t="s">
        <v>696</v>
      </c>
      <c r="G87" s="1021"/>
      <c r="H87" s="1025"/>
      <c r="I87" s="1158"/>
      <c r="J87" s="1156"/>
      <c r="K87" s="1156"/>
      <c r="L87" s="1157">
        <f>TRA_Trucks!$Z$19/'EU Lastbil El'!$E$25*$W$83</f>
        <v>0</v>
      </c>
      <c r="M87" s="1157"/>
      <c r="N87" s="1159"/>
      <c r="O87" s="1020"/>
      <c r="P87" s="1020"/>
      <c r="Q87" s="1025"/>
      <c r="R87" s="1025"/>
      <c r="S87" s="1021">
        <v>5</v>
      </c>
      <c r="AD87" s="1250"/>
      <c r="AE87" s="573"/>
      <c r="AF87" s="573"/>
      <c r="AG87" s="573"/>
      <c r="AH87" s="573"/>
      <c r="AI87" s="560">
        <f>SUM(AI84:AI86)</f>
        <v>0.99999999999999978</v>
      </c>
      <c r="AJ87" s="573"/>
      <c r="AK87" s="573"/>
      <c r="AL87" s="573"/>
      <c r="AM87" s="560">
        <f>SUM(AM84:AM86)</f>
        <v>0.26899999999999996</v>
      </c>
      <c r="AN87" s="560">
        <f>SUM(AN84:AN86)</f>
        <v>0.73099999999999987</v>
      </c>
      <c r="AO87" s="573"/>
      <c r="AP87" s="573"/>
      <c r="AQ87" s="1252"/>
    </row>
    <row r="88" spans="1:58">
      <c r="C88" s="1021"/>
      <c r="D88" s="1021"/>
      <c r="E88" s="1021"/>
      <c r="F88" s="1021" t="s">
        <v>697</v>
      </c>
      <c r="G88" s="1021"/>
      <c r="H88" s="1025"/>
      <c r="I88" s="1158"/>
      <c r="J88" s="1021"/>
      <c r="K88" s="1021"/>
      <c r="L88" s="1157">
        <f>TRA_Trucks!$Z$19/'EU Lastbil El'!$E$25*$W$83</f>
        <v>0</v>
      </c>
      <c r="M88" s="1157"/>
      <c r="N88" s="1020"/>
      <c r="O88" s="1159"/>
      <c r="P88" s="1020"/>
      <c r="Q88" s="1158"/>
      <c r="R88" s="1158"/>
      <c r="S88" s="1021">
        <v>5</v>
      </c>
      <c r="AD88" s="1250"/>
      <c r="AE88" s="573"/>
      <c r="AF88" s="573"/>
      <c r="AG88" s="573"/>
      <c r="AH88" s="573"/>
      <c r="AI88" s="573"/>
      <c r="AJ88" s="573"/>
      <c r="AK88" s="573"/>
      <c r="AL88" s="573"/>
      <c r="AM88" s="573"/>
      <c r="AN88" s="573"/>
      <c r="AO88" s="573"/>
      <c r="AP88" s="573"/>
      <c r="AQ88" s="1252"/>
    </row>
    <row r="89" spans="1:58">
      <c r="C89" s="1021"/>
      <c r="D89" s="1021"/>
      <c r="E89" s="1021"/>
      <c r="F89" s="1021" t="s">
        <v>695</v>
      </c>
      <c r="G89" s="1021">
        <f>G56</f>
        <v>2035</v>
      </c>
      <c r="H89" s="1025" t="str">
        <f>"MKr"&amp;RIGHT('EU Lastbil RME'!$H$38,2)</f>
        <v>MKr13</v>
      </c>
      <c r="I89" s="1158"/>
      <c r="J89" s="1021"/>
      <c r="K89" s="1021"/>
      <c r="L89" s="1157">
        <f>TRA_Trucks!$Z$19/'EU Lastbil El'!$F$25*$W$83</f>
        <v>0</v>
      </c>
      <c r="M89" s="1157"/>
      <c r="N89" s="1020">
        <f>'EU Lastbil El'!F27</f>
        <v>6</v>
      </c>
      <c r="O89" s="1159"/>
      <c r="P89" s="1020">
        <f>P11</f>
        <v>156</v>
      </c>
      <c r="Q89" s="1025">
        <f>'EU Lastbil El'!F31*$W$6</f>
        <v>1055.6935013576374</v>
      </c>
      <c r="R89" s="1025"/>
      <c r="S89" s="1021">
        <v>5</v>
      </c>
      <c r="AD89" s="1250">
        <v>0.75</v>
      </c>
      <c r="AE89" s="573"/>
      <c r="AF89" s="573"/>
      <c r="AG89" s="573"/>
      <c r="AH89" s="573"/>
      <c r="AI89" s="573"/>
      <c r="AJ89" s="573"/>
      <c r="AK89" s="573"/>
      <c r="AL89" s="573"/>
      <c r="AM89" s="573"/>
      <c r="AN89" s="573"/>
      <c r="AO89" s="573"/>
      <c r="AP89" s="573"/>
      <c r="AQ89" s="1252"/>
    </row>
    <row r="90" spans="1:58">
      <c r="C90" s="1021"/>
      <c r="D90" s="1021"/>
      <c r="E90" s="1021"/>
      <c r="F90" s="1021" t="s">
        <v>696</v>
      </c>
      <c r="G90" s="1021"/>
      <c r="H90" s="1021"/>
      <c r="I90" s="1021"/>
      <c r="J90" s="1021"/>
      <c r="K90" s="1021"/>
      <c r="L90" s="1157">
        <f>TRA_Trucks!$Z$19/'EU Lastbil El'!$F$25*$W$83</f>
        <v>0</v>
      </c>
      <c r="M90" s="1157"/>
      <c r="N90" s="1021"/>
      <c r="O90" s="1160"/>
      <c r="P90" s="1021"/>
      <c r="Q90" s="1021"/>
      <c r="R90" s="1021"/>
      <c r="S90" s="1021">
        <v>5</v>
      </c>
      <c r="AD90" s="1313"/>
      <c r="AE90" s="558"/>
      <c r="AF90" s="558"/>
      <c r="AG90" s="558"/>
      <c r="AH90" s="558"/>
      <c r="AI90" s="558"/>
      <c r="AJ90" s="558"/>
      <c r="AK90" s="558"/>
      <c r="AL90" s="558"/>
      <c r="AM90" s="558"/>
      <c r="AN90" s="558"/>
      <c r="AO90" s="558"/>
      <c r="AP90" s="558"/>
      <c r="AQ90" s="1324"/>
    </row>
    <row r="91" spans="1:58">
      <c r="C91" s="1021"/>
      <c r="D91" s="1021"/>
      <c r="E91" s="1021"/>
      <c r="F91" s="1021" t="s">
        <v>697</v>
      </c>
      <c r="G91" s="1021"/>
      <c r="H91" s="1021"/>
      <c r="I91" s="1021"/>
      <c r="J91" s="1021"/>
      <c r="K91" s="1021"/>
      <c r="L91" s="1157">
        <f>TRA_Trucks!$Z$19/'EU Lastbil El'!$F$25*$W$83</f>
        <v>0</v>
      </c>
      <c r="M91" s="1157"/>
      <c r="N91" s="1021"/>
      <c r="O91" s="1160"/>
      <c r="P91" s="1021"/>
      <c r="Q91" s="1021"/>
      <c r="R91" s="1021"/>
      <c r="S91" s="1021">
        <v>5</v>
      </c>
      <c r="AD91" s="1313"/>
      <c r="AE91" s="558"/>
      <c r="AF91" s="558"/>
      <c r="AG91" s="558"/>
      <c r="AH91" s="558"/>
      <c r="AI91" s="491" t="s">
        <v>516</v>
      </c>
      <c r="AJ91" s="491"/>
      <c r="AK91" s="558"/>
      <c r="AL91" s="558"/>
      <c r="AM91" s="558"/>
      <c r="AN91" s="558"/>
      <c r="AO91" s="558"/>
      <c r="AP91" s="558"/>
      <c r="AQ91" s="1324"/>
      <c r="AR91" s="570"/>
    </row>
    <row r="92" spans="1:58">
      <c r="C92" s="538"/>
      <c r="D92" s="538"/>
      <c r="E92" s="540"/>
      <c r="F92" s="538"/>
      <c r="G92" s="538"/>
      <c r="H92" s="538"/>
      <c r="I92" s="538"/>
      <c r="J92" s="538"/>
      <c r="L92" s="541"/>
      <c r="M92" s="541"/>
      <c r="N92" s="538"/>
      <c r="O92" s="542"/>
      <c r="P92" s="538"/>
      <c r="Q92" s="538"/>
      <c r="S92" s="540"/>
      <c r="AD92" s="1313"/>
      <c r="AE92" s="558"/>
      <c r="AF92" s="491" t="s">
        <v>1075</v>
      </c>
      <c r="AG92" s="558"/>
      <c r="AH92" s="558"/>
      <c r="AI92" s="506">
        <f>AM87</f>
        <v>0.26899999999999996</v>
      </c>
      <c r="AJ92" s="506"/>
      <c r="AK92" s="506"/>
      <c r="AL92" s="506">
        <v>2020</v>
      </c>
      <c r="AM92" s="491" t="s">
        <v>1077</v>
      </c>
      <c r="AN92" s="491" t="s">
        <v>1073</v>
      </c>
      <c r="AO92" s="558">
        <f>AI92/AI98</f>
        <v>0.15331592638419342</v>
      </c>
      <c r="AP92" s="506">
        <f>AO92/SUM(AO92:AO93)</f>
        <v>0.18781444956402379</v>
      </c>
      <c r="AQ92" s="1324"/>
      <c r="AR92" s="570"/>
    </row>
    <row r="93" spans="1:58">
      <c r="E93" s="9"/>
      <c r="P93" s="14"/>
      <c r="Q93" s="14"/>
      <c r="R93" s="542"/>
      <c r="AD93" s="1313"/>
      <c r="AE93" s="558"/>
      <c r="AF93" s="491" t="s">
        <v>1076</v>
      </c>
      <c r="AG93" s="558"/>
      <c r="AH93" s="558"/>
      <c r="AI93" s="506">
        <f>AN87</f>
        <v>0.73099999999999987</v>
      </c>
      <c r="AJ93" s="506"/>
      <c r="AK93" s="558"/>
      <c r="AL93" s="506"/>
      <c r="AM93" s="491" t="s">
        <v>1077</v>
      </c>
      <c r="AN93" s="491" t="s">
        <v>1074</v>
      </c>
      <c r="AO93" s="558">
        <f>AI93/AG98</f>
        <v>0.66299999999999981</v>
      </c>
      <c r="AP93" s="506">
        <f>AO93/SUM(AO92:AO93)</f>
        <v>0.81218555043597618</v>
      </c>
      <c r="AQ93" s="1324"/>
      <c r="AR93" s="570"/>
    </row>
    <row r="94" spans="1:58">
      <c r="B94" s="18" t="s">
        <v>62</v>
      </c>
      <c r="C94" s="18"/>
      <c r="D94" s="19"/>
      <c r="E94" s="19"/>
      <c r="F94" s="19"/>
      <c r="G94" s="19"/>
      <c r="H94" s="19"/>
      <c r="I94" s="19"/>
      <c r="AD94" s="1313"/>
      <c r="AE94" s="558"/>
      <c r="AF94" s="558"/>
      <c r="AG94" s="558"/>
      <c r="AH94" s="558"/>
      <c r="AI94" s="558"/>
      <c r="AJ94" s="558"/>
      <c r="AK94" s="558"/>
      <c r="AL94" s="558">
        <v>2030</v>
      </c>
      <c r="AM94" s="491" t="s">
        <v>1077</v>
      </c>
      <c r="AN94" s="491" t="s">
        <v>1073</v>
      </c>
      <c r="AO94" s="558">
        <f>AI92/AI99</f>
        <v>0.11901044649321695</v>
      </c>
      <c r="AP94" s="506">
        <f>AO94/SUM(AO94:AO95)</f>
        <v>0.1716896984864266</v>
      </c>
      <c r="AQ94" s="1325"/>
      <c r="AR94" s="570"/>
    </row>
    <row r="95" spans="1:58" ht="13.8">
      <c r="B95" s="17" t="s">
        <v>63</v>
      </c>
      <c r="C95" s="17" t="s">
        <v>1</v>
      </c>
      <c r="D95" s="17" t="s">
        <v>64</v>
      </c>
      <c r="E95" s="17" t="s">
        <v>65</v>
      </c>
      <c r="F95" s="17" t="s">
        <v>66</v>
      </c>
      <c r="G95" s="17" t="s">
        <v>67</v>
      </c>
      <c r="H95" s="17" t="s">
        <v>68</v>
      </c>
      <c r="I95" s="17" t="s">
        <v>69</v>
      </c>
      <c r="AD95" s="1313"/>
      <c r="AE95" s="491"/>
      <c r="AF95" s="558"/>
      <c r="AG95" s="558"/>
      <c r="AH95" s="558"/>
      <c r="AI95" s="558"/>
      <c r="AJ95" s="558"/>
      <c r="AK95" s="558"/>
      <c r="AL95" s="558"/>
      <c r="AM95" s="491" t="s">
        <v>1077</v>
      </c>
      <c r="AN95" s="491" t="s">
        <v>1074</v>
      </c>
      <c r="AO95" s="558">
        <f>AI93/AG99</f>
        <v>0.57416129032258068</v>
      </c>
      <c r="AP95" s="506">
        <f>AO95/SUM(AO94:AO95)</f>
        <v>0.82831030151357343</v>
      </c>
      <c r="AQ95" s="1324"/>
      <c r="AR95" s="570"/>
    </row>
    <row r="96" spans="1:58" ht="31.2" thickBot="1">
      <c r="B96" s="20" t="s">
        <v>70</v>
      </c>
      <c r="C96" s="20" t="s">
        <v>71</v>
      </c>
      <c r="D96" s="20" t="s">
        <v>72</v>
      </c>
      <c r="E96" s="20" t="s">
        <v>73</v>
      </c>
      <c r="F96" s="20" t="s">
        <v>74</v>
      </c>
      <c r="G96" s="20" t="s">
        <v>75</v>
      </c>
      <c r="H96" s="20" t="s">
        <v>76</v>
      </c>
      <c r="I96" s="20" t="s">
        <v>77</v>
      </c>
      <c r="AD96" s="1250"/>
      <c r="AE96" s="573"/>
      <c r="AF96" s="573"/>
      <c r="AG96" s="573"/>
      <c r="AH96" s="573"/>
      <c r="AI96" s="573"/>
      <c r="AJ96" s="573"/>
      <c r="AK96" s="573"/>
      <c r="AL96" s="573"/>
      <c r="AM96" s="573"/>
      <c r="AN96" s="573"/>
      <c r="AO96" s="573"/>
      <c r="AP96" s="573"/>
      <c r="AQ96" s="1252"/>
      <c r="AR96" s="570"/>
    </row>
    <row r="97" spans="2:45">
      <c r="B97" s="21" t="s">
        <v>78</v>
      </c>
      <c r="C97" s="565" t="str">
        <f>C5</f>
        <v>TFTRDSBL2N</v>
      </c>
      <c r="D97" s="567" t="s">
        <v>618</v>
      </c>
      <c r="E97" s="566" t="s">
        <v>86</v>
      </c>
      <c r="F97" s="568" t="s">
        <v>82</v>
      </c>
      <c r="G97" s="566"/>
      <c r="H97" s="566"/>
      <c r="I97" s="569"/>
      <c r="L97" s="570"/>
      <c r="N97" s="570"/>
      <c r="AD97" s="1250"/>
      <c r="AE97" s="553" t="s">
        <v>1093</v>
      </c>
      <c r="AF97" s="573"/>
      <c r="AG97" s="553" t="s">
        <v>1094</v>
      </c>
      <c r="AH97" s="553" t="s">
        <v>1074</v>
      </c>
      <c r="AI97" s="553" t="s">
        <v>898</v>
      </c>
      <c r="AJ97" s="573"/>
      <c r="AK97" s="573"/>
      <c r="AL97" s="573"/>
      <c r="AM97" s="573"/>
      <c r="AN97" s="573"/>
      <c r="AO97" s="573"/>
      <c r="AP97" s="573"/>
      <c r="AQ97" s="1252"/>
      <c r="AR97" s="570"/>
    </row>
    <row r="98" spans="2:45">
      <c r="C98" s="565" t="str">
        <f>C8</f>
        <v>TFTRDSBL3N</v>
      </c>
      <c r="D98" s="567" t="s">
        <v>619</v>
      </c>
      <c r="E98" s="566" t="s">
        <v>86</v>
      </c>
      <c r="F98" s="568" t="s">
        <v>82</v>
      </c>
      <c r="G98" s="566"/>
      <c r="H98" s="566"/>
      <c r="I98" s="569"/>
      <c r="L98" s="570"/>
      <c r="N98" s="570"/>
      <c r="AD98" s="1250"/>
      <c r="AE98" s="573">
        <v>2020</v>
      </c>
      <c r="AF98" s="573"/>
      <c r="AG98" s="560">
        <f>L8</f>
        <v>1.1025641025641026</v>
      </c>
      <c r="AH98" s="573">
        <v>1</v>
      </c>
      <c r="AI98" s="560">
        <f>L59</f>
        <v>1.7545470085470085</v>
      </c>
      <c r="AJ98" s="573"/>
      <c r="AK98" s="573"/>
      <c r="AL98" s="573"/>
      <c r="AM98" s="573"/>
      <c r="AN98" s="573"/>
      <c r="AO98" s="573"/>
      <c r="AP98" s="573"/>
      <c r="AQ98" s="1252"/>
      <c r="AR98" s="570"/>
    </row>
    <row r="99" spans="2:45">
      <c r="C99" s="565" t="str">
        <f>C11</f>
        <v>TFTRDSBL4N</v>
      </c>
      <c r="D99" s="567" t="s">
        <v>620</v>
      </c>
      <c r="E99" s="566" t="s">
        <v>86</v>
      </c>
      <c r="F99" s="568" t="s">
        <v>82</v>
      </c>
      <c r="G99" s="566"/>
      <c r="H99" s="566"/>
      <c r="I99" s="569"/>
      <c r="L99" s="570"/>
      <c r="N99" s="570"/>
      <c r="AD99" s="1250"/>
      <c r="AE99" s="573">
        <v>2030</v>
      </c>
      <c r="AF99" s="573"/>
      <c r="AG99" s="560">
        <f>L11</f>
        <v>1.2731614135625595</v>
      </c>
      <c r="AH99" s="573">
        <v>1</v>
      </c>
      <c r="AI99" s="560">
        <f>L62</f>
        <v>2.2603057792521746</v>
      </c>
      <c r="AJ99" s="573"/>
      <c r="AK99" s="573"/>
      <c r="AL99" s="573"/>
      <c r="AM99" s="573"/>
      <c r="AN99" s="573"/>
      <c r="AO99" s="573"/>
      <c r="AP99" s="573"/>
      <c r="AQ99" s="1252"/>
      <c r="AR99" s="570"/>
    </row>
    <row r="100" spans="2:45">
      <c r="C100" s="565" t="str">
        <f>C14</f>
        <v>TFTRNGBL2N</v>
      </c>
      <c r="D100" s="565" t="s">
        <v>621</v>
      </c>
      <c r="E100" s="566" t="s">
        <v>86</v>
      </c>
      <c r="F100" s="568" t="s">
        <v>82</v>
      </c>
      <c r="G100" s="565"/>
      <c r="H100" s="565"/>
      <c r="I100" s="569"/>
      <c r="L100" s="570"/>
      <c r="N100" s="570"/>
      <c r="AD100" s="1250"/>
      <c r="AE100" s="573"/>
      <c r="AF100" s="573"/>
      <c r="AG100" s="573"/>
      <c r="AH100" s="573"/>
      <c r="AI100" s="573"/>
      <c r="AJ100" s="573"/>
      <c r="AK100" s="573"/>
      <c r="AL100" s="573"/>
      <c r="AM100" s="573"/>
      <c r="AN100" s="573"/>
      <c r="AO100" s="573"/>
      <c r="AP100" s="573"/>
      <c r="AQ100" s="1252"/>
    </row>
    <row r="101" spans="2:45">
      <c r="C101" s="565" t="str">
        <f>C17</f>
        <v>TFTRNGBL3N</v>
      </c>
      <c r="D101" s="565" t="s">
        <v>622</v>
      </c>
      <c r="E101" s="566" t="s">
        <v>86</v>
      </c>
      <c r="F101" s="568" t="s">
        <v>82</v>
      </c>
      <c r="G101" s="565"/>
      <c r="H101" s="565"/>
      <c r="I101" s="569"/>
      <c r="AD101" s="1250"/>
      <c r="AE101" s="573"/>
      <c r="AF101" s="573"/>
      <c r="AG101" s="573"/>
      <c r="AH101" s="573"/>
      <c r="AI101" s="573"/>
      <c r="AJ101" s="573"/>
      <c r="AK101" s="573"/>
      <c r="AL101" s="573"/>
      <c r="AM101" s="573"/>
      <c r="AN101" s="573"/>
      <c r="AO101" s="573"/>
      <c r="AP101" s="573"/>
      <c r="AQ101" s="1252"/>
    </row>
    <row r="102" spans="2:45" ht="13.8" thickBot="1">
      <c r="C102" s="565" t="str">
        <f>C20</f>
        <v>TFTRNGBL4N</v>
      </c>
      <c r="D102" s="565" t="s">
        <v>623</v>
      </c>
      <c r="E102" s="566" t="s">
        <v>86</v>
      </c>
      <c r="F102" s="568" t="s">
        <v>82</v>
      </c>
      <c r="G102" s="565"/>
      <c r="H102" s="565"/>
      <c r="I102" s="569"/>
      <c r="AD102" s="1314"/>
      <c r="AE102" s="536"/>
      <c r="AF102" s="536"/>
      <c r="AG102" s="536"/>
      <c r="AH102" s="536"/>
      <c r="AI102" s="536"/>
      <c r="AJ102" s="536"/>
      <c r="AK102" s="536"/>
      <c r="AL102" s="536"/>
      <c r="AM102" s="536"/>
      <c r="AN102" s="536"/>
      <c r="AO102" s="536"/>
      <c r="AP102" s="536"/>
      <c r="AQ102" s="1315"/>
    </row>
    <row r="103" spans="2:45">
      <c r="C103" s="565" t="str">
        <f>C23</f>
        <v>TFVADSBL2N</v>
      </c>
      <c r="D103" s="565" t="s">
        <v>624</v>
      </c>
      <c r="E103" s="566" t="s">
        <v>86</v>
      </c>
      <c r="F103" s="568" t="s">
        <v>82</v>
      </c>
      <c r="G103" s="565"/>
      <c r="H103" s="565"/>
      <c r="I103" s="569"/>
      <c r="AR103" s="548"/>
      <c r="AS103" s="548"/>
    </row>
    <row r="104" spans="2:45">
      <c r="C104" s="565" t="str">
        <f>C25</f>
        <v>TFVADSBL3N</v>
      </c>
      <c r="D104" s="565" t="s">
        <v>625</v>
      </c>
      <c r="E104" s="566" t="s">
        <v>86</v>
      </c>
      <c r="F104" s="568" t="s">
        <v>82</v>
      </c>
      <c r="G104" s="565"/>
      <c r="H104" s="565"/>
      <c r="I104" s="569"/>
    </row>
    <row r="105" spans="2:45">
      <c r="C105" s="565" t="str">
        <f>C27</f>
        <v>TFVADSBL4N</v>
      </c>
      <c r="D105" s="565" t="s">
        <v>626</v>
      </c>
      <c r="E105" s="566" t="s">
        <v>86</v>
      </c>
      <c r="F105" s="568" t="s">
        <v>82</v>
      </c>
      <c r="G105" s="565"/>
      <c r="H105" s="565"/>
      <c r="I105" s="569"/>
    </row>
    <row r="106" spans="2:45">
      <c r="C106" s="565" t="str">
        <f>C29</f>
        <v>TFVAGSBL2N</v>
      </c>
      <c r="D106" s="565" t="s">
        <v>627</v>
      </c>
      <c r="E106" s="566" t="s">
        <v>86</v>
      </c>
      <c r="F106" s="568" t="s">
        <v>82</v>
      </c>
      <c r="G106" s="565"/>
      <c r="H106" s="565"/>
      <c r="I106" s="569"/>
      <c r="L106" s="570"/>
      <c r="N106" s="570"/>
    </row>
    <row r="107" spans="2:45">
      <c r="C107" s="565" t="str">
        <f>C31</f>
        <v>TFVAGSBL3N</v>
      </c>
      <c r="D107" s="565" t="s">
        <v>628</v>
      </c>
      <c r="E107" s="566" t="s">
        <v>86</v>
      </c>
      <c r="F107" s="568" t="s">
        <v>82</v>
      </c>
      <c r="G107" s="565"/>
      <c r="H107" s="565"/>
      <c r="I107" s="569"/>
      <c r="L107" s="570"/>
      <c r="N107" s="570"/>
      <c r="AJ107" s="570"/>
      <c r="AK107" s="570"/>
      <c r="AL107" s="570"/>
      <c r="AM107" s="570"/>
      <c r="AN107" s="570"/>
      <c r="AO107" s="570"/>
      <c r="AP107" s="570"/>
      <c r="AQ107" s="570"/>
    </row>
    <row r="108" spans="2:45">
      <c r="C108" s="565" t="str">
        <f>C33</f>
        <v>TFVAGSBL4N</v>
      </c>
      <c r="D108" s="565" t="s">
        <v>629</v>
      </c>
      <c r="E108" s="566" t="s">
        <v>86</v>
      </c>
      <c r="F108" s="568" t="s">
        <v>82</v>
      </c>
      <c r="G108" s="565"/>
      <c r="H108" s="565"/>
      <c r="I108" s="569"/>
      <c r="L108" s="570"/>
      <c r="N108" s="570"/>
      <c r="AJ108" s="570"/>
      <c r="AK108" s="570"/>
      <c r="AL108" s="570"/>
      <c r="AM108" s="570"/>
      <c r="AN108" s="570"/>
      <c r="AO108" s="570"/>
      <c r="AP108" s="570"/>
      <c r="AQ108" s="570"/>
    </row>
    <row r="109" spans="2:45">
      <c r="C109" s="575" t="str">
        <f>C35</f>
        <v>TFTRGSBL2N</v>
      </c>
      <c r="D109" s="575" t="str">
        <f>D35</f>
        <v>Transport Freight Truck - GSB Engine - Blending 2 - New</v>
      </c>
      <c r="E109" s="566" t="s">
        <v>86</v>
      </c>
      <c r="F109" s="568" t="s">
        <v>82</v>
      </c>
      <c r="L109" s="570"/>
      <c r="N109" s="570"/>
      <c r="AJ109" s="570"/>
      <c r="AK109" s="570"/>
      <c r="AL109" s="570"/>
      <c r="AM109" s="570"/>
      <c r="AN109" s="570"/>
      <c r="AO109" s="570"/>
      <c r="AP109" s="570"/>
      <c r="AQ109" s="570"/>
    </row>
    <row r="110" spans="2:45">
      <c r="C110" s="575" t="str">
        <f>C38</f>
        <v>TFTRGSBL3N</v>
      </c>
      <c r="D110" s="575" t="str">
        <f>D38</f>
        <v>Transport Freight Truck - GSB Engine - Blending 3 - New</v>
      </c>
      <c r="E110" s="566" t="s">
        <v>86</v>
      </c>
      <c r="F110" s="568" t="s">
        <v>82</v>
      </c>
      <c r="L110" s="570"/>
      <c r="N110" s="570"/>
      <c r="AJ110" s="570"/>
      <c r="AK110" s="570"/>
      <c r="AL110" s="570"/>
      <c r="AM110" s="570"/>
      <c r="AN110" s="570"/>
      <c r="AO110" s="570"/>
      <c r="AP110" s="570"/>
      <c r="AQ110" s="570"/>
    </row>
    <row r="111" spans="2:45">
      <c r="C111" s="575" t="str">
        <f>C41</f>
        <v>TFTRGSBL4N</v>
      </c>
      <c r="D111" s="575" t="str">
        <f>D41</f>
        <v>Transport Freight Truck - GSB Engine - Blending 4 - New</v>
      </c>
      <c r="E111" s="566" t="s">
        <v>86</v>
      </c>
      <c r="F111" s="568" t="s">
        <v>82</v>
      </c>
      <c r="L111" s="570"/>
      <c r="N111" s="570"/>
      <c r="AJ111" s="570"/>
      <c r="AK111" s="570"/>
      <c r="AL111" s="570"/>
      <c r="AM111" s="570"/>
      <c r="AN111" s="570"/>
      <c r="AO111" s="570"/>
      <c r="AP111" s="570"/>
      <c r="AQ111" s="570"/>
    </row>
    <row r="112" spans="2:45">
      <c r="C112" s="565" t="str">
        <f>C44</f>
        <v>TFVAELCX1N</v>
      </c>
      <c r="D112" s="565" t="s">
        <v>630</v>
      </c>
      <c r="E112" s="566" t="s">
        <v>86</v>
      </c>
      <c r="F112" s="568" t="s">
        <v>82</v>
      </c>
      <c r="G112" s="565"/>
      <c r="H112" s="565"/>
      <c r="I112" s="569" t="s">
        <v>79</v>
      </c>
      <c r="L112" s="570"/>
      <c r="N112" s="570"/>
      <c r="AJ112" s="570"/>
      <c r="AK112" s="570"/>
      <c r="AL112" s="570"/>
      <c r="AM112" s="570"/>
      <c r="AN112" s="570"/>
      <c r="AO112" s="570"/>
      <c r="AP112" s="570"/>
      <c r="AQ112" s="570"/>
    </row>
    <row r="113" spans="3:43">
      <c r="C113" s="503" t="str">
        <f>C50</f>
        <v>TFTRDSBX1N</v>
      </c>
      <c r="D113" s="499" t="str">
        <f>D50</f>
        <v>Transport Freight Truck -RME - New</v>
      </c>
      <c r="E113" s="502" t="s">
        <v>86</v>
      </c>
      <c r="F113" s="501" t="s">
        <v>82</v>
      </c>
      <c r="I113" s="569" t="s">
        <v>79</v>
      </c>
      <c r="L113" s="570"/>
      <c r="N113" s="570"/>
      <c r="AJ113" s="570"/>
      <c r="AK113" s="570"/>
      <c r="AL113" s="570"/>
      <c r="AM113" s="570"/>
      <c r="AN113" s="570"/>
      <c r="AO113" s="570"/>
      <c r="AP113" s="570"/>
      <c r="AQ113" s="570"/>
    </row>
    <row r="114" spans="3:43">
      <c r="C114" s="575" t="str">
        <f>C59</f>
        <v>TFTREVX1N</v>
      </c>
      <c r="D114" s="575" t="str">
        <f>D83</f>
        <v>Transport Freight Truck -Electric - New</v>
      </c>
      <c r="E114" s="566" t="s">
        <v>86</v>
      </c>
      <c r="F114" s="568" t="s">
        <v>82</v>
      </c>
      <c r="G114" s="570"/>
      <c r="H114" s="570"/>
      <c r="I114" s="569" t="s">
        <v>79</v>
      </c>
      <c r="L114" s="570"/>
      <c r="N114" s="570"/>
      <c r="AJ114" s="570"/>
      <c r="AK114" s="570"/>
      <c r="AL114" s="570"/>
      <c r="AM114" s="570"/>
      <c r="AN114" s="570"/>
      <c r="AO114" s="570"/>
      <c r="AP114" s="570"/>
      <c r="AQ114" s="570"/>
    </row>
    <row r="115" spans="3:43">
      <c r="C115" t="str">
        <f>C65</f>
        <v>TFTREVX1HDSBL3N</v>
      </c>
      <c r="D115" s="570" t="str">
        <f t="shared" ref="D115" si="18">D65</f>
        <v>Transport Freight Truck - Hybrid Electric Vehicle Diesel 3 - New</v>
      </c>
      <c r="E115" s="566" t="s">
        <v>86</v>
      </c>
      <c r="F115" s="568" t="s">
        <v>82</v>
      </c>
      <c r="I115" s="569" t="s">
        <v>79</v>
      </c>
      <c r="AJ115" s="570"/>
      <c r="AK115" s="570"/>
      <c r="AL115" s="570"/>
      <c r="AM115" s="570"/>
      <c r="AN115" s="570"/>
      <c r="AO115" s="570"/>
      <c r="AP115" s="570"/>
      <c r="AQ115" s="570"/>
    </row>
    <row r="116" spans="3:43">
      <c r="C116" s="570" t="str">
        <f>C68</f>
        <v>TFTREVX1HDSBL4N</v>
      </c>
      <c r="D116" s="570" t="str">
        <f t="shared" ref="D116" si="19">D68</f>
        <v>Transport Freight Truck - Hybrid Electric Vehicle Diesel 4 - New</v>
      </c>
      <c r="E116" s="566" t="s">
        <v>86</v>
      </c>
      <c r="F116" s="568" t="s">
        <v>82</v>
      </c>
      <c r="I116" s="569" t="s">
        <v>79</v>
      </c>
      <c r="AJ116" s="570"/>
      <c r="AK116" s="570"/>
      <c r="AL116" s="570"/>
      <c r="AM116" s="570"/>
      <c r="AN116" s="570"/>
      <c r="AO116" s="570"/>
      <c r="AP116" s="570"/>
      <c r="AQ116" s="570"/>
    </row>
    <row r="117" spans="3:43">
      <c r="C117" s="575" t="str">
        <f>C71</f>
        <v>TFTRH2GX1N</v>
      </c>
      <c r="D117" s="575" t="str">
        <f>D71</f>
        <v>Transport Freight Truck - FCEV H2 - New</v>
      </c>
      <c r="E117" s="566" t="s">
        <v>86</v>
      </c>
      <c r="F117" s="568" t="s">
        <v>82</v>
      </c>
      <c r="G117" s="570"/>
      <c r="H117" s="570"/>
      <c r="I117" s="569" t="s">
        <v>79</v>
      </c>
      <c r="AJ117" s="570"/>
      <c r="AK117" s="570"/>
      <c r="AL117" s="570"/>
      <c r="AM117" s="570"/>
      <c r="AN117" s="570"/>
      <c r="AO117" s="570"/>
      <c r="AP117" s="570"/>
      <c r="AQ117" s="570"/>
    </row>
    <row r="118" spans="3:43">
      <c r="AJ118" s="570"/>
      <c r="AK118" s="570"/>
      <c r="AL118" s="570"/>
      <c r="AM118" s="570"/>
      <c r="AN118" s="570"/>
      <c r="AO118" s="570"/>
      <c r="AP118" s="570"/>
      <c r="AQ118" s="570"/>
    </row>
    <row r="119" spans="3:43">
      <c r="AJ119" s="570"/>
      <c r="AK119" s="570"/>
      <c r="AL119" s="570"/>
      <c r="AM119" s="570"/>
      <c r="AN119" s="570"/>
      <c r="AO119" s="570"/>
      <c r="AP119" s="570"/>
      <c r="AQ119" s="570"/>
    </row>
    <row r="120" spans="3:43">
      <c r="R120"/>
      <c r="AJ120" s="570"/>
      <c r="AK120" s="570"/>
      <c r="AL120" s="570"/>
      <c r="AM120" s="570"/>
      <c r="AN120" s="570"/>
      <c r="AO120" s="570"/>
      <c r="AP120" s="570"/>
      <c r="AQ120" s="570"/>
    </row>
    <row r="121" spans="3:43">
      <c r="R121"/>
      <c r="AJ121" s="570"/>
      <c r="AK121" s="570"/>
      <c r="AL121" s="570"/>
      <c r="AM121" s="570"/>
      <c r="AN121" s="570"/>
      <c r="AO121" s="570"/>
      <c r="AP121" s="570"/>
      <c r="AQ121" s="570"/>
    </row>
    <row r="122" spans="3:43">
      <c r="R122"/>
      <c r="AJ122" s="570"/>
      <c r="AK122" s="570"/>
      <c r="AL122" s="570"/>
      <c r="AM122" s="570"/>
      <c r="AN122" s="570"/>
      <c r="AO122" s="570"/>
      <c r="AP122" s="570"/>
      <c r="AQ122" s="570"/>
    </row>
    <row r="123" spans="3:43">
      <c r="AJ123" s="570"/>
      <c r="AK123" s="570"/>
      <c r="AL123" s="570"/>
      <c r="AM123" s="570"/>
      <c r="AN123" s="570"/>
      <c r="AO123" s="570"/>
      <c r="AP123" s="570"/>
      <c r="AQ123" s="570"/>
    </row>
    <row r="124" spans="3:43">
      <c r="C124" s="548" t="s">
        <v>1124</v>
      </c>
      <c r="AJ124" s="570"/>
      <c r="AK124" s="570"/>
      <c r="AL124" s="570"/>
      <c r="AM124" s="570"/>
      <c r="AN124" s="570"/>
      <c r="AO124" s="570"/>
      <c r="AP124" s="570"/>
      <c r="AQ124" s="570"/>
    </row>
  </sheetData>
  <mergeCells count="1">
    <mergeCell ref="V5:X5"/>
  </mergeCells>
  <pageMargins left="0.7" right="0.7" top="0.75" bottom="0.75" header="0.3" footer="0.3"/>
  <pageSetup paperSize="9" orientation="portrait" verticalDpi="1200"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0ED9B-06C5-4D2F-A25C-E0C2AEEBD44D}">
  <dimension ref="B1:AG62"/>
  <sheetViews>
    <sheetView zoomScale="70" zoomScaleNormal="70" workbookViewId="0">
      <selection activeCell="D2" sqref="D2"/>
    </sheetView>
  </sheetViews>
  <sheetFormatPr defaultRowHeight="13.2"/>
  <cols>
    <col min="18" max="18" width="26.5546875" customWidth="1"/>
    <col min="20" max="20" width="30.109375" customWidth="1"/>
    <col min="21" max="23" width="10.5546875" bestFit="1" customWidth="1"/>
    <col min="29" max="29" width="18.33203125" customWidth="1"/>
  </cols>
  <sheetData>
    <row r="1" spans="2:28">
      <c r="B1" s="683" t="s">
        <v>1097</v>
      </c>
    </row>
    <row r="4" spans="2:28">
      <c r="B4" s="548" t="s">
        <v>1126</v>
      </c>
    </row>
    <row r="5" spans="2:28">
      <c r="B5" s="1357" t="s">
        <v>1127</v>
      </c>
    </row>
    <row r="8" spans="2:28">
      <c r="R8" s="548" t="s">
        <v>1098</v>
      </c>
      <c r="T8" s="548" t="s">
        <v>151</v>
      </c>
    </row>
    <row r="9" spans="2:28">
      <c r="R9" s="548" t="s">
        <v>1099</v>
      </c>
    </row>
    <row r="10" spans="2:28">
      <c r="Y10" s="548" t="s">
        <v>1107</v>
      </c>
    </row>
    <row r="11" spans="2:28">
      <c r="S11">
        <v>2015</v>
      </c>
      <c r="T11">
        <v>2020</v>
      </c>
      <c r="U11">
        <v>2025</v>
      </c>
      <c r="V11">
        <v>2030</v>
      </c>
      <c r="Y11" s="570">
        <v>2015</v>
      </c>
      <c r="Z11" s="570">
        <v>2020</v>
      </c>
      <c r="AA11" s="570">
        <v>2025</v>
      </c>
      <c r="AB11" s="570">
        <v>2030</v>
      </c>
    </row>
    <row r="12" spans="2:28">
      <c r="R12" s="548" t="s">
        <v>29</v>
      </c>
      <c r="S12" s="59">
        <v>12</v>
      </c>
      <c r="T12">
        <v>12</v>
      </c>
      <c r="U12">
        <v>11</v>
      </c>
      <c r="V12">
        <v>9</v>
      </c>
      <c r="Y12">
        <f>$S$12/S12</f>
        <v>1</v>
      </c>
      <c r="Z12" s="570">
        <f t="shared" ref="Z12:AB12" si="0">$S$12/T12</f>
        <v>1</v>
      </c>
      <c r="AA12" s="1243">
        <f t="shared" si="0"/>
        <v>1.0909090909090908</v>
      </c>
      <c r="AB12" s="1243">
        <f t="shared" si="0"/>
        <v>1.3333333333333333</v>
      </c>
    </row>
    <row r="13" spans="2:28">
      <c r="R13" s="548" t="s">
        <v>1100</v>
      </c>
      <c r="S13">
        <v>11</v>
      </c>
      <c r="T13">
        <v>11</v>
      </c>
      <c r="U13">
        <v>10</v>
      </c>
      <c r="V13">
        <v>8.9</v>
      </c>
      <c r="Y13" s="557">
        <f t="shared" ref="Y13:Y19" si="1">$S$12/S13</f>
        <v>1.0909090909090908</v>
      </c>
      <c r="Z13" s="557">
        <f t="shared" ref="Z13:Z19" si="2">$S$12/T13</f>
        <v>1.0909090909090908</v>
      </c>
      <c r="AA13" s="557">
        <f t="shared" ref="AA13:AA19" si="3">$S$12/U13</f>
        <v>1.2</v>
      </c>
      <c r="AB13" s="557">
        <f t="shared" ref="AB13:AB19" si="4">$S$12/V13</f>
        <v>1.348314606741573</v>
      </c>
    </row>
    <row r="14" spans="2:28">
      <c r="R14" s="548" t="s">
        <v>1105</v>
      </c>
      <c r="S14">
        <v>13</v>
      </c>
      <c r="T14">
        <v>13</v>
      </c>
      <c r="U14">
        <v>12</v>
      </c>
      <c r="V14">
        <v>10</v>
      </c>
      <c r="Y14" s="557">
        <f t="shared" si="1"/>
        <v>0.92307692307692313</v>
      </c>
      <c r="Z14" s="557">
        <f t="shared" si="2"/>
        <v>0.92307692307692313</v>
      </c>
      <c r="AA14" s="557">
        <f t="shared" si="3"/>
        <v>1</v>
      </c>
      <c r="AB14" s="557">
        <f t="shared" si="4"/>
        <v>1.2</v>
      </c>
    </row>
    <row r="15" spans="2:28">
      <c r="R15" s="548" t="s">
        <v>1106</v>
      </c>
      <c r="S15">
        <v>14</v>
      </c>
      <c r="T15">
        <v>14</v>
      </c>
      <c r="U15">
        <v>12</v>
      </c>
      <c r="V15">
        <v>11</v>
      </c>
      <c r="Y15" s="557">
        <f t="shared" si="1"/>
        <v>0.8571428571428571</v>
      </c>
      <c r="Z15" s="557">
        <f t="shared" si="2"/>
        <v>0.8571428571428571</v>
      </c>
      <c r="AA15" s="557">
        <f t="shared" si="3"/>
        <v>1</v>
      </c>
      <c r="AB15" s="557">
        <f t="shared" si="4"/>
        <v>1.0909090909090908</v>
      </c>
    </row>
    <row r="16" spans="2:28">
      <c r="R16" s="548" t="s">
        <v>1101</v>
      </c>
      <c r="S16">
        <v>14</v>
      </c>
      <c r="T16">
        <v>14</v>
      </c>
      <c r="U16">
        <v>12</v>
      </c>
      <c r="V16">
        <v>11</v>
      </c>
      <c r="Y16" s="557">
        <f t="shared" si="1"/>
        <v>0.8571428571428571</v>
      </c>
      <c r="Z16" s="557">
        <f t="shared" si="2"/>
        <v>0.8571428571428571</v>
      </c>
      <c r="AA16" s="557">
        <f t="shared" si="3"/>
        <v>1</v>
      </c>
      <c r="AB16" s="557">
        <f t="shared" si="4"/>
        <v>1.0909090909090908</v>
      </c>
    </row>
    <row r="17" spans="18:33">
      <c r="R17" s="548" t="s">
        <v>1102</v>
      </c>
      <c r="S17">
        <v>9.5</v>
      </c>
      <c r="T17">
        <v>8.8000000000000007</v>
      </c>
      <c r="U17">
        <v>8.1999999999999993</v>
      </c>
      <c r="V17">
        <v>7.6</v>
      </c>
      <c r="Y17" s="1273">
        <f t="shared" si="1"/>
        <v>1.263157894736842</v>
      </c>
      <c r="Z17" s="1273">
        <f t="shared" si="2"/>
        <v>1.3636363636363635</v>
      </c>
      <c r="AA17" s="1273">
        <f t="shared" si="3"/>
        <v>1.4634146341463417</v>
      </c>
      <c r="AB17" s="1273">
        <f t="shared" si="4"/>
        <v>1.5789473684210527</v>
      </c>
    </row>
    <row r="18" spans="18:33">
      <c r="R18" s="548" t="s">
        <v>1103</v>
      </c>
      <c r="S18">
        <v>5.7</v>
      </c>
      <c r="T18">
        <v>5.3</v>
      </c>
      <c r="U18">
        <v>4.9000000000000004</v>
      </c>
      <c r="V18">
        <v>4.5</v>
      </c>
      <c r="Y18" s="557">
        <f t="shared" si="1"/>
        <v>2.1052631578947367</v>
      </c>
      <c r="Z18" s="557">
        <f t="shared" si="2"/>
        <v>2.2641509433962264</v>
      </c>
      <c r="AA18" s="557">
        <f t="shared" si="3"/>
        <v>2.4489795918367343</v>
      </c>
      <c r="AB18" s="557">
        <f t="shared" si="4"/>
        <v>2.6666666666666665</v>
      </c>
    </row>
    <row r="19" spans="18:33">
      <c r="R19" s="548" t="s">
        <v>1104</v>
      </c>
      <c r="S19">
        <v>9</v>
      </c>
      <c r="T19">
        <v>8.1999999999999993</v>
      </c>
      <c r="U19">
        <v>7.5</v>
      </c>
      <c r="V19">
        <v>6.9</v>
      </c>
      <c r="Y19" s="557">
        <f t="shared" si="1"/>
        <v>1.3333333333333333</v>
      </c>
      <c r="Z19" s="557">
        <f t="shared" si="2"/>
        <v>1.4634146341463417</v>
      </c>
      <c r="AA19" s="557">
        <f t="shared" si="3"/>
        <v>1.6</v>
      </c>
      <c r="AB19" s="557">
        <f t="shared" si="4"/>
        <v>1.7391304347826086</v>
      </c>
    </row>
    <row r="21" spans="18:33">
      <c r="Y21" s="557">
        <f>Y18*0.85</f>
        <v>1.7894736842105261</v>
      </c>
      <c r="Z21" s="557">
        <f t="shared" ref="Z21:AB21" si="5">Z18*0.85</f>
        <v>1.9245283018867922</v>
      </c>
      <c r="AA21" s="557">
        <f t="shared" si="5"/>
        <v>2.0816326530612241</v>
      </c>
      <c r="AB21" s="557">
        <f t="shared" si="5"/>
        <v>2.2666666666666666</v>
      </c>
    </row>
    <row r="24" spans="18:33">
      <c r="R24" s="548" t="s">
        <v>7</v>
      </c>
    </row>
    <row r="26" spans="18:33">
      <c r="R26" s="570"/>
      <c r="S26" s="548" t="s">
        <v>1116</v>
      </c>
      <c r="T26" s="570"/>
      <c r="U26" s="570"/>
      <c r="V26" s="570"/>
      <c r="X26" s="548" t="s">
        <v>1115</v>
      </c>
      <c r="AC26" s="548" t="s">
        <v>1117</v>
      </c>
      <c r="AD26">
        <v>6.5</v>
      </c>
    </row>
    <row r="27" spans="18:33">
      <c r="R27" s="570"/>
      <c r="S27" s="570"/>
      <c r="T27" s="570"/>
      <c r="U27" s="570"/>
      <c r="V27" s="570"/>
      <c r="W27" s="570"/>
      <c r="X27" s="570"/>
      <c r="Y27" s="570"/>
      <c r="Z27" s="570"/>
      <c r="AA27" s="570"/>
      <c r="AB27" s="570"/>
    </row>
    <row r="28" spans="18:33">
      <c r="R28" s="570"/>
      <c r="S28" s="683">
        <v>2015</v>
      </c>
      <c r="T28" s="683">
        <v>2020</v>
      </c>
      <c r="U28" s="683">
        <v>2025</v>
      </c>
      <c r="V28" s="683">
        <v>2030</v>
      </c>
      <c r="W28" s="570"/>
      <c r="X28" s="683">
        <v>2015</v>
      </c>
      <c r="Y28" s="683">
        <v>2020</v>
      </c>
      <c r="Z28" s="683">
        <v>2025</v>
      </c>
      <c r="AA28" s="683">
        <v>2030</v>
      </c>
      <c r="AB28" s="570"/>
      <c r="AD28" s="683">
        <v>2015</v>
      </c>
      <c r="AE28" s="683">
        <v>2020</v>
      </c>
      <c r="AF28" s="683">
        <v>2025</v>
      </c>
      <c r="AG28" s="683">
        <v>2030</v>
      </c>
    </row>
    <row r="29" spans="18:33">
      <c r="R29" s="570" t="s">
        <v>29</v>
      </c>
      <c r="S29" s="570">
        <v>204</v>
      </c>
      <c r="T29" s="570">
        <v>204</v>
      </c>
      <c r="U29" s="570">
        <v>208</v>
      </c>
      <c r="V29" s="570">
        <v>218</v>
      </c>
      <c r="W29" s="570"/>
      <c r="X29" s="570">
        <f>S29-S$29</f>
        <v>0</v>
      </c>
      <c r="Y29" s="570">
        <f t="shared" ref="Y29:AA29" si="6">T29-T$29</f>
        <v>0</v>
      </c>
      <c r="Z29" s="570">
        <f t="shared" si="6"/>
        <v>0</v>
      </c>
      <c r="AA29" s="570">
        <f t="shared" si="6"/>
        <v>0</v>
      </c>
      <c r="AB29" s="570"/>
      <c r="AC29" s="570" t="s">
        <v>29</v>
      </c>
      <c r="AD29" s="549">
        <f>X29*$AD$26</f>
        <v>0</v>
      </c>
      <c r="AE29" s="549">
        <f t="shared" ref="AE29:AG36" si="7">Y29*$AD$26</f>
        <v>0</v>
      </c>
      <c r="AF29" s="549">
        <f t="shared" si="7"/>
        <v>0</v>
      </c>
      <c r="AG29" s="549">
        <f t="shared" si="7"/>
        <v>0</v>
      </c>
    </row>
    <row r="30" spans="18:33">
      <c r="R30" s="570" t="s">
        <v>1114</v>
      </c>
      <c r="S30" s="570">
        <v>229</v>
      </c>
      <c r="T30" s="570">
        <v>226</v>
      </c>
      <c r="U30" s="570">
        <v>227</v>
      </c>
      <c r="V30" s="570">
        <v>236</v>
      </c>
      <c r="W30" s="570"/>
      <c r="X30" s="570">
        <f>S30-S$29</f>
        <v>25</v>
      </c>
      <c r="Y30" s="570">
        <f t="shared" ref="Y30:Y31" si="8">T30-T$29</f>
        <v>22</v>
      </c>
      <c r="Z30" s="570">
        <f t="shared" ref="Z30:Z31" si="9">U30-U$29</f>
        <v>19</v>
      </c>
      <c r="AA30" s="570">
        <f t="shared" ref="AA30:AA31" si="10">V30-V$29</f>
        <v>18</v>
      </c>
      <c r="AB30" s="570"/>
      <c r="AC30" s="570" t="s">
        <v>1114</v>
      </c>
      <c r="AD30" s="549">
        <f t="shared" ref="AD30:AD36" si="11">X30*$AD$26</f>
        <v>162.5</v>
      </c>
      <c r="AE30" s="549">
        <f t="shared" si="7"/>
        <v>143</v>
      </c>
      <c r="AF30" s="549">
        <f t="shared" si="7"/>
        <v>123.5</v>
      </c>
      <c r="AG30" s="549">
        <f t="shared" si="7"/>
        <v>117</v>
      </c>
    </row>
    <row r="31" spans="18:33">
      <c r="R31" s="570" t="s">
        <v>1113</v>
      </c>
      <c r="S31" s="570">
        <v>267</v>
      </c>
      <c r="T31" s="570">
        <v>260</v>
      </c>
      <c r="U31" s="570">
        <v>255</v>
      </c>
      <c r="V31" s="570">
        <v>255</v>
      </c>
      <c r="W31" s="570"/>
      <c r="X31" s="570">
        <f t="shared" ref="X31:X36" si="12">S31-S$29</f>
        <v>63</v>
      </c>
      <c r="Y31" s="570">
        <f t="shared" si="8"/>
        <v>56</v>
      </c>
      <c r="Z31" s="570">
        <f t="shared" si="9"/>
        <v>47</v>
      </c>
      <c r="AA31" s="570">
        <f t="shared" si="10"/>
        <v>37</v>
      </c>
      <c r="AB31" s="570"/>
      <c r="AC31" s="570" t="s">
        <v>1113</v>
      </c>
      <c r="AD31" s="549">
        <f t="shared" si="11"/>
        <v>409.5</v>
      </c>
      <c r="AE31" s="549">
        <f t="shared" si="7"/>
        <v>364</v>
      </c>
      <c r="AF31" s="549">
        <f t="shared" si="7"/>
        <v>305.5</v>
      </c>
      <c r="AG31" s="549">
        <f t="shared" si="7"/>
        <v>240.5</v>
      </c>
    </row>
    <row r="32" spans="18:33">
      <c r="R32" s="570" t="s">
        <v>1112</v>
      </c>
      <c r="S32" s="570">
        <v>239</v>
      </c>
      <c r="T32" s="570">
        <v>232</v>
      </c>
      <c r="U32" s="570">
        <v>228</v>
      </c>
      <c r="V32" s="570">
        <v>228</v>
      </c>
      <c r="W32" s="570"/>
      <c r="X32" s="570">
        <f t="shared" si="12"/>
        <v>35</v>
      </c>
      <c r="Y32" s="570">
        <f t="shared" ref="Y32:Y36" si="13">T32-T$29</f>
        <v>28</v>
      </c>
      <c r="Z32" s="570">
        <f t="shared" ref="Z32:Z36" si="14">U32-U$29</f>
        <v>20</v>
      </c>
      <c r="AA32" s="570">
        <f t="shared" ref="AA32:AA36" si="15">V32-V$29</f>
        <v>10</v>
      </c>
      <c r="AB32" s="570"/>
      <c r="AC32" s="570" t="s">
        <v>1112</v>
      </c>
      <c r="AD32" s="549">
        <f t="shared" si="11"/>
        <v>227.5</v>
      </c>
      <c r="AE32" s="549">
        <f t="shared" si="7"/>
        <v>182</v>
      </c>
      <c r="AF32" s="549">
        <f t="shared" si="7"/>
        <v>130</v>
      </c>
      <c r="AG32" s="549">
        <f t="shared" si="7"/>
        <v>65</v>
      </c>
    </row>
    <row r="33" spans="18:33">
      <c r="R33" s="570" t="s">
        <v>1111</v>
      </c>
      <c r="S33" s="570">
        <v>256</v>
      </c>
      <c r="T33" s="570">
        <v>246</v>
      </c>
      <c r="U33" s="570">
        <v>239</v>
      </c>
      <c r="V33" s="570">
        <v>237</v>
      </c>
      <c r="W33" s="570"/>
      <c r="X33" s="570">
        <f t="shared" si="12"/>
        <v>52</v>
      </c>
      <c r="Y33" s="570">
        <f t="shared" si="13"/>
        <v>42</v>
      </c>
      <c r="Z33" s="570">
        <f t="shared" si="14"/>
        <v>31</v>
      </c>
      <c r="AA33" s="570">
        <f t="shared" si="15"/>
        <v>19</v>
      </c>
      <c r="AB33" s="570"/>
      <c r="AC33" s="570" t="s">
        <v>1111</v>
      </c>
      <c r="AD33" s="549">
        <f t="shared" si="11"/>
        <v>338</v>
      </c>
      <c r="AE33" s="549">
        <f t="shared" si="7"/>
        <v>273</v>
      </c>
      <c r="AF33" s="549">
        <f t="shared" si="7"/>
        <v>201.5</v>
      </c>
      <c r="AG33" s="549">
        <f t="shared" si="7"/>
        <v>123.5</v>
      </c>
    </row>
    <row r="34" spans="18:33">
      <c r="R34" s="570" t="s">
        <v>1110</v>
      </c>
      <c r="S34" s="570">
        <v>342</v>
      </c>
      <c r="T34" s="570">
        <v>281</v>
      </c>
      <c r="U34" s="570">
        <v>249</v>
      </c>
      <c r="V34" s="570">
        <v>236</v>
      </c>
      <c r="W34" s="570"/>
      <c r="X34" s="59">
        <f t="shared" si="12"/>
        <v>138</v>
      </c>
      <c r="Y34" s="59">
        <f t="shared" si="13"/>
        <v>77</v>
      </c>
      <c r="Z34" s="59">
        <f t="shared" si="14"/>
        <v>41</v>
      </c>
      <c r="AA34" s="59">
        <f t="shared" si="15"/>
        <v>18</v>
      </c>
      <c r="AB34" s="570"/>
      <c r="AC34" s="570" t="s">
        <v>1110</v>
      </c>
      <c r="AD34" s="1345">
        <f t="shared" si="11"/>
        <v>897</v>
      </c>
      <c r="AE34" s="1345">
        <f t="shared" si="7"/>
        <v>500.5</v>
      </c>
      <c r="AF34" s="1345">
        <f t="shared" si="7"/>
        <v>266.5</v>
      </c>
      <c r="AG34" s="1345">
        <f t="shared" si="7"/>
        <v>117</v>
      </c>
    </row>
    <row r="35" spans="18:33">
      <c r="R35" s="570" t="s">
        <v>1109</v>
      </c>
      <c r="S35" s="570">
        <v>306</v>
      </c>
      <c r="T35" s="570">
        <v>262</v>
      </c>
      <c r="U35" s="570">
        <v>222</v>
      </c>
      <c r="V35" s="570">
        <v>218</v>
      </c>
      <c r="W35" s="570"/>
      <c r="X35" s="570">
        <f t="shared" si="12"/>
        <v>102</v>
      </c>
      <c r="Y35" s="570">
        <f t="shared" si="13"/>
        <v>58</v>
      </c>
      <c r="Z35" s="570">
        <f t="shared" si="14"/>
        <v>14</v>
      </c>
      <c r="AA35" s="570">
        <f t="shared" si="15"/>
        <v>0</v>
      </c>
      <c r="AB35" s="570"/>
      <c r="AC35" s="570" t="s">
        <v>1109</v>
      </c>
      <c r="AD35" s="549">
        <f t="shared" si="11"/>
        <v>663</v>
      </c>
      <c r="AE35" s="549">
        <f t="shared" si="7"/>
        <v>377</v>
      </c>
      <c r="AF35" s="549">
        <f t="shared" si="7"/>
        <v>91</v>
      </c>
      <c r="AG35" s="549">
        <f t="shared" si="7"/>
        <v>0</v>
      </c>
    </row>
    <row r="36" spans="18:33">
      <c r="R36" s="570" t="s">
        <v>1108</v>
      </c>
      <c r="S36" s="570">
        <v>251</v>
      </c>
      <c r="T36" s="570">
        <v>225</v>
      </c>
      <c r="U36" s="570">
        <v>213</v>
      </c>
      <c r="V36" s="570">
        <v>208</v>
      </c>
      <c r="W36" s="570"/>
      <c r="X36" s="570">
        <f t="shared" si="12"/>
        <v>47</v>
      </c>
      <c r="Y36" s="570">
        <f t="shared" si="13"/>
        <v>21</v>
      </c>
      <c r="Z36" s="570">
        <f t="shared" si="14"/>
        <v>5</v>
      </c>
      <c r="AA36" s="570">
        <f t="shared" si="15"/>
        <v>-10</v>
      </c>
      <c r="AB36" s="570"/>
      <c r="AC36" s="570" t="s">
        <v>1108</v>
      </c>
      <c r="AD36" s="549">
        <f t="shared" si="11"/>
        <v>305.5</v>
      </c>
      <c r="AE36" s="549">
        <f t="shared" si="7"/>
        <v>136.5</v>
      </c>
      <c r="AF36" s="549">
        <f t="shared" si="7"/>
        <v>32.5</v>
      </c>
      <c r="AG36" s="549">
        <f t="shared" si="7"/>
        <v>-65</v>
      </c>
    </row>
    <row r="37" spans="18:33">
      <c r="W37" s="570"/>
      <c r="X37" s="570"/>
      <c r="Y37" s="570"/>
      <c r="Z37" s="570"/>
      <c r="AA37" s="570"/>
      <c r="AB37" s="570"/>
    </row>
    <row r="38" spans="18:33">
      <c r="W38" s="570"/>
      <c r="X38" s="570"/>
      <c r="Z38" s="570"/>
      <c r="AA38" s="548" t="s">
        <v>1119</v>
      </c>
      <c r="AB38" s="570"/>
    </row>
    <row r="39" spans="18:33">
      <c r="W39" s="548" t="s">
        <v>1118</v>
      </c>
      <c r="X39" s="570"/>
      <c r="Y39">
        <v>2020</v>
      </c>
      <c r="Z39" s="549">
        <f>TRA_Trucks!Q59</f>
        <v>1278.8346587071387</v>
      </c>
      <c r="AA39" s="549">
        <f>TRA_Trucks!Q59-TRA_Trucks!Q8</f>
        <v>527.81574562396452</v>
      </c>
      <c r="AB39" s="570"/>
    </row>
    <row r="40" spans="18:33">
      <c r="W40" s="570"/>
      <c r="X40" s="570"/>
      <c r="Y40">
        <v>2035</v>
      </c>
      <c r="Z40" s="549">
        <f>TRA_Trucks!Q62</f>
        <v>1055.6935013576374</v>
      </c>
      <c r="AA40" s="549">
        <f>TRA_Trucks!Q62-TRA_Trucks!Q11</f>
        <v>304.67458827446319</v>
      </c>
      <c r="AB40" s="570"/>
    </row>
    <row r="41" spans="18:33">
      <c r="W41" s="570"/>
      <c r="X41" s="570"/>
      <c r="Y41" s="549"/>
      <c r="Z41" s="570"/>
      <c r="AA41" s="570"/>
      <c r="AB41" s="570"/>
    </row>
    <row r="42" spans="18:33">
      <c r="W42" s="570"/>
      <c r="X42" s="570"/>
      <c r="AA42" s="570"/>
      <c r="AB42" s="570"/>
    </row>
    <row r="43" spans="18:33">
      <c r="W43" s="570"/>
      <c r="X43" s="570"/>
      <c r="Y43" s="570"/>
      <c r="Z43" s="570"/>
      <c r="AA43" s="570"/>
      <c r="AB43" s="570"/>
    </row>
    <row r="44" spans="18:33">
      <c r="R44" s="570"/>
      <c r="S44" s="570"/>
      <c r="T44" s="570"/>
      <c r="U44" s="570"/>
      <c r="V44" s="570"/>
      <c r="W44" s="570"/>
      <c r="X44" s="570"/>
      <c r="Y44" s="570"/>
      <c r="Z44" s="570"/>
      <c r="AA44" s="570"/>
      <c r="AB44" s="570"/>
    </row>
    <row r="45" spans="18:33">
      <c r="R45" s="570"/>
      <c r="S45" s="570"/>
      <c r="T45" s="570"/>
      <c r="U45" s="570"/>
      <c r="V45" s="570"/>
      <c r="W45" s="570"/>
      <c r="X45" s="570"/>
      <c r="Y45" s="570"/>
      <c r="Z45" s="570"/>
      <c r="AA45" s="570"/>
      <c r="AB45" s="570"/>
    </row>
    <row r="46" spans="18:33">
      <c r="R46" s="570"/>
      <c r="S46" s="570"/>
      <c r="T46" s="570"/>
      <c r="U46" s="570"/>
      <c r="V46" s="570"/>
      <c r="W46" s="570"/>
      <c r="X46" s="570"/>
      <c r="Y46" s="570"/>
      <c r="Z46" s="570"/>
      <c r="AA46" s="570"/>
      <c r="AB46" s="570"/>
    </row>
    <row r="47" spans="18:33">
      <c r="R47" s="570"/>
      <c r="S47" s="570"/>
      <c r="T47" s="570"/>
      <c r="U47" s="570" t="s">
        <v>98</v>
      </c>
      <c r="V47" s="570">
        <v>2015</v>
      </c>
      <c r="W47" s="570">
        <v>2020</v>
      </c>
      <c r="X47" s="570">
        <v>2035</v>
      </c>
      <c r="Y47" s="570">
        <v>2050</v>
      </c>
      <c r="Z47" s="570"/>
      <c r="AA47" s="570"/>
      <c r="AB47" s="570"/>
    </row>
    <row r="48" spans="18:33">
      <c r="R48" s="570"/>
      <c r="S48" s="570"/>
      <c r="T48" s="570" t="s">
        <v>141</v>
      </c>
      <c r="U48" s="570" t="s">
        <v>15</v>
      </c>
      <c r="V48" s="570">
        <v>1167133.0897193784</v>
      </c>
      <c r="W48" s="570">
        <v>498940.75599099655</v>
      </c>
      <c r="X48" s="570">
        <v>275799.59864149522</v>
      </c>
      <c r="Y48" s="570">
        <v>248163.29370200707</v>
      </c>
      <c r="Z48" s="570"/>
      <c r="AA48" s="570"/>
      <c r="AB48" s="570"/>
    </row>
    <row r="49" spans="18:28">
      <c r="R49" s="570"/>
      <c r="S49" s="570"/>
      <c r="T49" s="570" t="s">
        <v>143</v>
      </c>
      <c r="U49" s="570" t="s">
        <v>144</v>
      </c>
      <c r="V49" s="570">
        <v>2275</v>
      </c>
      <c r="W49" s="570">
        <v>780</v>
      </c>
      <c r="X49" s="570">
        <v>481</v>
      </c>
      <c r="Y49" s="570">
        <v>481</v>
      </c>
      <c r="Z49" s="570"/>
      <c r="AA49" s="570"/>
      <c r="AB49" s="570"/>
    </row>
    <row r="50" spans="18:28">
      <c r="R50" s="570"/>
      <c r="S50" s="570"/>
      <c r="T50" s="570" t="s">
        <v>145</v>
      </c>
      <c r="U50" s="570" t="s">
        <v>146</v>
      </c>
      <c r="V50" s="570">
        <v>709.71911810238873</v>
      </c>
      <c r="W50" s="570">
        <v>639.66763588589299</v>
      </c>
      <c r="X50" s="570">
        <v>573.38793896360755</v>
      </c>
      <c r="Y50" s="570">
        <v>515.93200353847624</v>
      </c>
      <c r="Z50" s="570"/>
      <c r="AA50" s="570"/>
      <c r="AB50" s="570"/>
    </row>
    <row r="51" spans="18:28">
      <c r="R51" s="570"/>
      <c r="S51" s="570"/>
      <c r="T51" s="570"/>
      <c r="U51" s="570"/>
      <c r="V51" s="570"/>
      <c r="W51" s="570"/>
      <c r="X51" s="570"/>
      <c r="Y51" s="570"/>
      <c r="Z51" s="570"/>
      <c r="AA51" s="570"/>
      <c r="AB51" s="570"/>
    </row>
    <row r="52" spans="18:28">
      <c r="R52" s="570"/>
      <c r="S52" s="570"/>
      <c r="T52" s="570"/>
      <c r="U52" s="570" t="s">
        <v>1120</v>
      </c>
      <c r="V52" s="570">
        <f>V49/6.5</f>
        <v>350</v>
      </c>
      <c r="W52" s="570">
        <f t="shared" ref="W52:Y52" si="16">W49/6.5</f>
        <v>120</v>
      </c>
      <c r="X52" s="570">
        <f t="shared" si="16"/>
        <v>74</v>
      </c>
      <c r="Y52" s="570">
        <f t="shared" si="16"/>
        <v>74</v>
      </c>
      <c r="Z52" s="570"/>
      <c r="AA52" s="570"/>
      <c r="AB52" s="570"/>
    </row>
    <row r="53" spans="18:28">
      <c r="R53" s="570"/>
      <c r="S53" s="570"/>
      <c r="T53" s="570"/>
      <c r="U53" s="570"/>
      <c r="V53" s="570"/>
      <c r="W53" s="570"/>
      <c r="X53" s="570"/>
      <c r="Y53" s="570"/>
      <c r="Z53" s="570"/>
      <c r="AA53" s="570"/>
      <c r="AB53" s="570"/>
    </row>
    <row r="54" spans="18:28">
      <c r="R54" s="570"/>
      <c r="S54" s="570"/>
      <c r="T54" s="570"/>
      <c r="U54" s="570"/>
      <c r="V54" s="570"/>
      <c r="W54" s="570"/>
      <c r="X54" s="570"/>
      <c r="Y54" s="570"/>
      <c r="Z54" s="570"/>
      <c r="AA54" s="570"/>
      <c r="AB54" s="570"/>
    </row>
    <row r="55" spans="18:28">
      <c r="R55" s="570"/>
      <c r="S55" s="570"/>
      <c r="T55" s="570"/>
      <c r="U55" s="570"/>
      <c r="V55" s="570"/>
      <c r="W55" s="570"/>
      <c r="X55" s="570"/>
      <c r="Y55" s="570"/>
      <c r="Z55" s="570"/>
      <c r="AA55" s="570"/>
      <c r="AB55" s="570"/>
    </row>
    <row r="58" spans="18:28">
      <c r="T58" t="s">
        <v>1121</v>
      </c>
    </row>
    <row r="59" spans="18:28">
      <c r="V59">
        <v>2015</v>
      </c>
      <c r="W59">
        <v>2020</v>
      </c>
      <c r="X59">
        <v>2025</v>
      </c>
      <c r="Y59">
        <v>2030</v>
      </c>
    </row>
    <row r="60" spans="18:28">
      <c r="T60" t="s">
        <v>1122</v>
      </c>
      <c r="U60" t="s">
        <v>146</v>
      </c>
      <c r="V60">
        <v>165</v>
      </c>
      <c r="W60">
        <v>155</v>
      </c>
      <c r="X60">
        <v>143</v>
      </c>
      <c r="Y60">
        <v>133</v>
      </c>
    </row>
    <row r="61" spans="18:28">
      <c r="T61" t="s">
        <v>1123</v>
      </c>
      <c r="U61" t="s">
        <v>333</v>
      </c>
      <c r="V61">
        <v>53800</v>
      </c>
      <c r="W61">
        <v>35300</v>
      </c>
      <c r="X61">
        <v>24000</v>
      </c>
      <c r="Y61">
        <v>15900</v>
      </c>
    </row>
    <row r="62" spans="18:28">
      <c r="V62" s="549">
        <f>V61/V60</f>
        <v>326.06060606060606</v>
      </c>
      <c r="W62" s="549">
        <f t="shared" ref="W62:Y62" si="17">W61/W60</f>
        <v>227.74193548387098</v>
      </c>
      <c r="X62" s="549">
        <f t="shared" si="17"/>
        <v>167.83216783216784</v>
      </c>
      <c r="Y62" s="549">
        <f t="shared" si="17"/>
        <v>119.54887218045113</v>
      </c>
    </row>
  </sheetData>
  <hyperlinks>
    <hyperlink ref="B5" r:id="rId1" xr:uid="{BBB4A598-003A-40DE-9E4B-1D129965DFB2}"/>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Ark4">
    <tabColor rgb="FF002060"/>
  </sheetPr>
  <dimension ref="B1:S102"/>
  <sheetViews>
    <sheetView topLeftCell="A28" workbookViewId="0">
      <selection activeCell="N5" sqref="N5:N27"/>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2" width="10" style="65" customWidth="1"/>
    <col min="13" max="14" width="9" style="65" customWidth="1"/>
    <col min="15" max="15" width="37.88671875" style="65" customWidth="1"/>
    <col min="16" max="18" width="8.88671875" style="65"/>
    <col min="19" max="19" width="9.109375" style="65" customWidth="1"/>
    <col min="20" max="16384" width="8.88671875" style="65"/>
  </cols>
  <sheetData>
    <row r="1" spans="2:19" s="62" customFormat="1" ht="21">
      <c r="B1" s="62" t="s">
        <v>245</v>
      </c>
      <c r="Q1" s="62">
        <v>0</v>
      </c>
      <c r="R1" s="64">
        <v>0</v>
      </c>
      <c r="S1" s="63"/>
    </row>
    <row r="2" spans="2:19">
      <c r="R2" s="158">
        <f>R1</f>
        <v>0</v>
      </c>
      <c r="S2" s="158">
        <f>S1</f>
        <v>0</v>
      </c>
    </row>
    <row r="4" spans="2:19" ht="14.4" thickBot="1">
      <c r="B4" s="154" t="s">
        <v>91</v>
      </c>
    </row>
    <row r="5" spans="2:19">
      <c r="B5" s="157" t="s">
        <v>92</v>
      </c>
      <c r="C5" s="85"/>
      <c r="D5" s="85"/>
      <c r="E5" s="85"/>
      <c r="F5" s="85"/>
      <c r="G5" s="85"/>
      <c r="H5" s="85"/>
      <c r="I5" s="85"/>
      <c r="J5" s="85"/>
      <c r="K5" s="85"/>
      <c r="L5" s="85"/>
      <c r="M5" s="85"/>
      <c r="N5" s="83"/>
    </row>
    <row r="6" spans="2:19">
      <c r="B6" s="133"/>
      <c r="C6" s="77"/>
      <c r="D6" s="77"/>
      <c r="E6" s="77"/>
      <c r="F6" s="77"/>
      <c r="G6" s="77"/>
      <c r="H6" s="77"/>
      <c r="I6" s="77"/>
      <c r="J6" s="77"/>
      <c r="K6" s="77"/>
      <c r="L6" s="77"/>
      <c r="M6" s="77"/>
      <c r="N6" s="74"/>
    </row>
    <row r="7" spans="2:19">
      <c r="B7" s="133"/>
      <c r="C7" s="77"/>
      <c r="D7" s="77"/>
      <c r="E7" s="77"/>
      <c r="F7" s="77"/>
      <c r="G7" s="77"/>
      <c r="H7" s="77"/>
      <c r="I7" s="77"/>
      <c r="J7" s="77"/>
      <c r="K7" s="77"/>
      <c r="L7" s="77"/>
      <c r="M7" s="77"/>
      <c r="N7" s="74"/>
    </row>
    <row r="8" spans="2:19">
      <c r="B8" s="133"/>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33"/>
      <c r="C12" s="77"/>
      <c r="D12" s="77"/>
      <c r="E12" s="77"/>
      <c r="F12" s="77"/>
      <c r="G12" s="77"/>
      <c r="H12" s="77"/>
      <c r="I12" s="77"/>
      <c r="J12" s="77"/>
      <c r="K12" s="77"/>
      <c r="L12" s="77"/>
      <c r="M12" s="77"/>
      <c r="N12" s="74"/>
    </row>
    <row r="13" spans="2:19">
      <c r="B13" s="133"/>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153"/>
    </row>
    <row r="20" spans="2:14">
      <c r="B20" s="88"/>
      <c r="C20" s="110"/>
      <c r="D20" s="85"/>
      <c r="E20" s="85"/>
      <c r="F20" s="85"/>
      <c r="G20" s="85"/>
      <c r="H20" s="85"/>
      <c r="I20" s="85" t="s">
        <v>96</v>
      </c>
      <c r="J20" s="83" t="s">
        <v>97</v>
      </c>
    </row>
    <row r="21" spans="2:14">
      <c r="B21" s="109"/>
      <c r="C21" s="108" t="s">
        <v>98</v>
      </c>
      <c r="D21" s="106">
        <v>2015</v>
      </c>
      <c r="E21" s="106">
        <v>2020</v>
      </c>
      <c r="F21" s="106">
        <v>2035</v>
      </c>
      <c r="G21" s="106">
        <v>2050</v>
      </c>
      <c r="H21" s="106" t="s">
        <v>99</v>
      </c>
      <c r="I21" s="152"/>
      <c r="J21" s="104"/>
    </row>
    <row r="22" spans="2:14">
      <c r="B22" s="128" t="s">
        <v>100</v>
      </c>
      <c r="C22" s="118"/>
      <c r="D22" s="151"/>
      <c r="E22" s="151"/>
      <c r="F22" s="151"/>
      <c r="G22" s="151"/>
      <c r="H22" s="151"/>
      <c r="I22" s="77"/>
      <c r="J22" s="74"/>
    </row>
    <row r="23" spans="2:14">
      <c r="B23" s="145" t="s">
        <v>101</v>
      </c>
      <c r="C23" s="118" t="s">
        <v>132</v>
      </c>
      <c r="D23" s="150">
        <f>+D67/D25</f>
        <v>0.20889962750427868</v>
      </c>
      <c r="E23" s="150">
        <f>+E67/E25</f>
        <v>0.22912676056338027</v>
      </c>
      <c r="F23" s="150">
        <f>+F67/F25</f>
        <v>0.24609235668789806</v>
      </c>
      <c r="G23" s="150">
        <f>+G67/G25</f>
        <v>0.25489357638888882</v>
      </c>
      <c r="H23" s="147"/>
      <c r="I23" s="99" t="s">
        <v>643</v>
      </c>
      <c r="J23" s="141"/>
    </row>
    <row r="24" spans="2:14">
      <c r="B24" s="145" t="s">
        <v>102</v>
      </c>
      <c r="C24" s="118" t="s">
        <v>132</v>
      </c>
      <c r="D24" s="149">
        <f>D23</f>
        <v>0.20889962750427868</v>
      </c>
      <c r="E24" s="148">
        <f>E23</f>
        <v>0.22912676056338027</v>
      </c>
      <c r="F24" s="148">
        <f>F23</f>
        <v>0.24609235668789806</v>
      </c>
      <c r="G24" s="148">
        <f>G23</f>
        <v>0.25489357638888882</v>
      </c>
      <c r="H24" s="147"/>
      <c r="I24" s="99"/>
      <c r="J24" s="141"/>
    </row>
    <row r="25" spans="2:14">
      <c r="B25" s="145" t="s">
        <v>103</v>
      </c>
      <c r="C25" s="118" t="s">
        <v>104</v>
      </c>
      <c r="D25" s="146">
        <v>3.9731999999999998</v>
      </c>
      <c r="E25" s="200">
        <v>3.55</v>
      </c>
      <c r="F25" s="186">
        <v>3.14</v>
      </c>
      <c r="G25" s="186">
        <v>2.88</v>
      </c>
      <c r="H25" s="142"/>
      <c r="I25" s="99" t="s">
        <v>643</v>
      </c>
      <c r="J25" s="141"/>
    </row>
    <row r="26" spans="2:14">
      <c r="B26" s="145" t="s">
        <v>105</v>
      </c>
      <c r="C26" s="118" t="s">
        <v>104</v>
      </c>
      <c r="D26" s="144"/>
      <c r="E26" s="143"/>
      <c r="F26" s="143"/>
      <c r="G26" s="143"/>
      <c r="H26" s="142"/>
      <c r="I26" s="99"/>
      <c r="J26" s="141"/>
    </row>
    <row r="27" spans="2:14">
      <c r="B27" s="133" t="s">
        <v>106</v>
      </c>
      <c r="C27" s="118" t="s">
        <v>107</v>
      </c>
      <c r="D27" s="214">
        <v>16.3</v>
      </c>
      <c r="E27" s="213">
        <v>16.3</v>
      </c>
      <c r="F27" s="213">
        <v>16.3</v>
      </c>
      <c r="G27" s="213">
        <v>16.3</v>
      </c>
      <c r="H27" s="125"/>
      <c r="I27" s="75" t="s">
        <v>615</v>
      </c>
      <c r="J27" s="74"/>
    </row>
    <row r="28" spans="2:14">
      <c r="B28" s="133" t="s">
        <v>108</v>
      </c>
      <c r="C28" s="118" t="s">
        <v>109</v>
      </c>
      <c r="D28" s="212">
        <f>D73</f>
        <v>14.94</v>
      </c>
      <c r="E28" s="212">
        <f>E73</f>
        <v>14.6412</v>
      </c>
      <c r="F28" s="212">
        <f>F73</f>
        <v>13.909139999999997</v>
      </c>
      <c r="G28" s="212">
        <f>G73</f>
        <v>13.213682999999998</v>
      </c>
      <c r="H28" s="138"/>
      <c r="I28" s="99"/>
      <c r="J28" s="74"/>
    </row>
    <row r="29" spans="2:14">
      <c r="B29" s="78"/>
      <c r="C29" s="137"/>
      <c r="D29" s="98"/>
      <c r="E29" s="98"/>
      <c r="F29" s="98"/>
      <c r="G29" s="98"/>
      <c r="H29" s="98"/>
      <c r="I29" s="79"/>
      <c r="J29" s="74"/>
    </row>
    <row r="30" spans="2:14">
      <c r="B30" s="128" t="s">
        <v>110</v>
      </c>
      <c r="C30" s="118"/>
      <c r="D30" s="98"/>
      <c r="E30" s="98"/>
      <c r="F30" s="98"/>
      <c r="G30" s="98"/>
      <c r="H30" s="98"/>
      <c r="I30" s="79"/>
      <c r="J30" s="74"/>
    </row>
    <row r="31" spans="2:14">
      <c r="B31" s="133" t="s">
        <v>111</v>
      </c>
      <c r="C31" s="118" t="s">
        <v>15</v>
      </c>
      <c r="D31" s="136">
        <v>177740</v>
      </c>
      <c r="E31" s="136">
        <v>182293</v>
      </c>
      <c r="F31" s="136">
        <v>194485</v>
      </c>
      <c r="G31" s="136">
        <v>194650</v>
      </c>
      <c r="H31" s="135">
        <v>2015</v>
      </c>
      <c r="I31" s="79"/>
      <c r="J31" s="74"/>
    </row>
    <row r="32" spans="2:14">
      <c r="B32" s="78" t="s">
        <v>16</v>
      </c>
      <c r="C32" s="118" t="s">
        <v>17</v>
      </c>
      <c r="D32" s="136">
        <v>1421.7563347350567</v>
      </c>
      <c r="E32" s="136">
        <v>1479.1169153328115</v>
      </c>
      <c r="F32" s="136">
        <v>1636.8625257442075</v>
      </c>
      <c r="G32" s="136">
        <v>1724.1513828658547</v>
      </c>
      <c r="H32" s="135">
        <v>2015</v>
      </c>
      <c r="I32" s="79"/>
      <c r="J32" s="74"/>
    </row>
    <row r="33" spans="2:10">
      <c r="B33" s="129" t="s">
        <v>18</v>
      </c>
      <c r="C33" s="118" t="s">
        <v>17</v>
      </c>
      <c r="D33" s="136">
        <v>1084.4069371446953</v>
      </c>
      <c r="E33" s="136">
        <v>1134.8828361589731</v>
      </c>
      <c r="F33" s="136">
        <v>1274.5108634559567</v>
      </c>
      <c r="G33" s="136">
        <v>1342.7285804571695</v>
      </c>
      <c r="H33" s="135">
        <v>2015</v>
      </c>
      <c r="I33" s="79"/>
      <c r="J33" s="74"/>
    </row>
    <row r="34" spans="2:10">
      <c r="B34" s="129" t="s">
        <v>19</v>
      </c>
      <c r="C34" s="118" t="s">
        <v>17</v>
      </c>
      <c r="D34" s="136">
        <v>337.34939759036143</v>
      </c>
      <c r="E34" s="136">
        <v>344.23407917383827</v>
      </c>
      <c r="F34" s="136">
        <v>362.35166228825079</v>
      </c>
      <c r="G34" s="136">
        <v>381.42280240868507</v>
      </c>
      <c r="H34" s="135">
        <v>2015</v>
      </c>
      <c r="I34" s="79"/>
      <c r="J34" s="74"/>
    </row>
    <row r="35" spans="2:10">
      <c r="B35" s="129"/>
      <c r="C35" s="118"/>
      <c r="D35" s="136"/>
      <c r="E35" s="136"/>
      <c r="F35" s="136"/>
      <c r="G35" s="136"/>
      <c r="H35" s="135"/>
      <c r="I35" s="79"/>
      <c r="J35" s="74"/>
    </row>
    <row r="36" spans="2:10">
      <c r="B36" s="129" t="s">
        <v>112</v>
      </c>
      <c r="C36" s="118" t="s">
        <v>17</v>
      </c>
      <c r="D36" s="136">
        <v>0</v>
      </c>
      <c r="E36" s="136">
        <v>0</v>
      </c>
      <c r="F36" s="136">
        <v>0</v>
      </c>
      <c r="G36" s="136">
        <v>0</v>
      </c>
      <c r="H36" s="135">
        <v>2015</v>
      </c>
      <c r="I36" s="79"/>
      <c r="J36" s="74"/>
    </row>
    <row r="37" spans="2:10">
      <c r="B37" s="128"/>
      <c r="C37" s="118"/>
      <c r="D37" s="134"/>
      <c r="E37" s="98"/>
      <c r="F37" s="98"/>
      <c r="G37" s="98"/>
      <c r="H37" s="98"/>
      <c r="I37" s="79"/>
      <c r="J37" s="74"/>
    </row>
    <row r="38" spans="2:10">
      <c r="B38" s="133" t="s">
        <v>111</v>
      </c>
      <c r="C38" s="118" t="s">
        <v>15</v>
      </c>
      <c r="D38" s="211">
        <v>177740</v>
      </c>
      <c r="E38" s="210">
        <v>182293</v>
      </c>
      <c r="F38" s="210">
        <v>194485</v>
      </c>
      <c r="G38" s="210">
        <v>194650</v>
      </c>
      <c r="H38" s="130">
        <v>2015</v>
      </c>
      <c r="I38" s="99" t="s">
        <v>614</v>
      </c>
      <c r="J38" s="74"/>
    </row>
    <row r="39" spans="2:10">
      <c r="B39" s="78" t="s">
        <v>16</v>
      </c>
      <c r="C39" s="118" t="s">
        <v>17</v>
      </c>
      <c r="D39" s="126">
        <f>+SUM(D40:D43)</f>
        <v>1421.7563347350567</v>
      </c>
      <c r="E39" s="126">
        <f>+SUM(E40:E43)</f>
        <v>1479.1169153328115</v>
      </c>
      <c r="F39" s="126">
        <f>+SUM(F40:F43)</f>
        <v>1636.8625257442075</v>
      </c>
      <c r="G39" s="126">
        <f>+SUM(G40:G43)</f>
        <v>1724.1513828658547</v>
      </c>
      <c r="H39" s="130">
        <v>2015</v>
      </c>
      <c r="I39" s="99"/>
      <c r="J39" s="74"/>
    </row>
    <row r="40" spans="2:10">
      <c r="B40" s="129" t="s">
        <v>18</v>
      </c>
      <c r="C40" s="118" t="s">
        <v>17</v>
      </c>
      <c r="D40" s="126">
        <v>1084.4069371446953</v>
      </c>
      <c r="E40" s="126">
        <v>1134.8828361589731</v>
      </c>
      <c r="F40" s="126">
        <v>1274.5108634559567</v>
      </c>
      <c r="G40" s="126">
        <v>1342.7285804571695</v>
      </c>
      <c r="H40" s="130">
        <v>2015</v>
      </c>
      <c r="I40" s="99"/>
      <c r="J40" s="74"/>
    </row>
    <row r="41" spans="2:10">
      <c r="B41" s="129" t="s">
        <v>19</v>
      </c>
      <c r="C41" s="118" t="s">
        <v>17</v>
      </c>
      <c r="D41" s="131">
        <f>+D74</f>
        <v>337.34939759036143</v>
      </c>
      <c r="E41" s="131">
        <f>+E74</f>
        <v>344.23407917383827</v>
      </c>
      <c r="F41" s="131">
        <f>+F74</f>
        <v>362.35166228825079</v>
      </c>
      <c r="G41" s="131">
        <f>+G74</f>
        <v>381.42280240868507</v>
      </c>
      <c r="H41" s="130">
        <v>2015</v>
      </c>
      <c r="I41" s="99"/>
      <c r="J41" s="74"/>
    </row>
    <row r="42" spans="2:10">
      <c r="B42" s="129"/>
      <c r="C42" s="118"/>
      <c r="D42" s="98"/>
      <c r="E42" s="98"/>
      <c r="F42" s="98"/>
      <c r="G42" s="98"/>
      <c r="H42" s="130"/>
      <c r="I42" s="99"/>
      <c r="J42" s="74"/>
    </row>
    <row r="43" spans="2:10">
      <c r="B43" s="129" t="s">
        <v>112</v>
      </c>
      <c r="C43" s="118" t="s">
        <v>17</v>
      </c>
      <c r="D43" s="125">
        <v>0</v>
      </c>
      <c r="E43" s="125">
        <v>0</v>
      </c>
      <c r="F43" s="125">
        <v>0</v>
      </c>
      <c r="G43" s="125">
        <v>0</v>
      </c>
      <c r="H43" s="130">
        <v>2015</v>
      </c>
      <c r="I43" s="99"/>
      <c r="J43" s="74"/>
    </row>
    <row r="44" spans="2:10">
      <c r="B44" s="129"/>
      <c r="C44" s="118"/>
      <c r="D44" s="98"/>
      <c r="E44" s="122"/>
      <c r="F44" s="122"/>
      <c r="G44" s="122"/>
      <c r="H44" s="98"/>
      <c r="I44" s="99"/>
      <c r="J44" s="74"/>
    </row>
    <row r="45" spans="2:10">
      <c r="B45" s="128" t="s">
        <v>113</v>
      </c>
      <c r="C45" s="118"/>
      <c r="D45" s="98"/>
      <c r="E45" s="122"/>
      <c r="F45" s="122"/>
      <c r="G45" s="122"/>
      <c r="H45" s="127"/>
      <c r="I45" s="99"/>
      <c r="J45" s="74"/>
    </row>
    <row r="46" spans="2:10">
      <c r="B46" s="123" t="s">
        <v>30</v>
      </c>
      <c r="C46" s="118"/>
      <c r="D46" s="98"/>
      <c r="E46" s="122"/>
      <c r="F46" s="122"/>
      <c r="G46" s="122"/>
      <c r="H46" s="126"/>
      <c r="I46" s="99"/>
      <c r="J46" s="74"/>
    </row>
    <row r="47" spans="2:10">
      <c r="B47" s="78" t="s">
        <v>20</v>
      </c>
      <c r="C47" s="118" t="s">
        <v>133</v>
      </c>
      <c r="D47" s="121"/>
      <c r="E47" s="121"/>
      <c r="F47" s="121"/>
      <c r="G47" s="121"/>
      <c r="H47" s="126"/>
      <c r="I47" s="99"/>
      <c r="J47" s="119" t="s">
        <v>114</v>
      </c>
    </row>
    <row r="48" spans="2:10">
      <c r="B48" s="78" t="s">
        <v>21</v>
      </c>
      <c r="C48" s="118" t="s">
        <v>133</v>
      </c>
      <c r="D48" s="124">
        <f t="shared" ref="D48:G52" si="0">D83/D$25</f>
        <v>8.0539615423336364E-3</v>
      </c>
      <c r="E48" s="124">
        <f t="shared" si="0"/>
        <v>9.014084507042254E-3</v>
      </c>
      <c r="F48" s="124">
        <f t="shared" si="0"/>
        <v>1.019108280254777E-2</v>
      </c>
      <c r="G48" s="124">
        <f t="shared" si="0"/>
        <v>1.1111111111111112E-2</v>
      </c>
      <c r="H48" s="120"/>
      <c r="I48" s="99"/>
      <c r="J48" s="74"/>
    </row>
    <row r="49" spans="2:10">
      <c r="B49" s="78" t="s">
        <v>22</v>
      </c>
      <c r="C49" s="118" t="s">
        <v>133</v>
      </c>
      <c r="D49" s="124">
        <f t="shared" si="0"/>
        <v>0</v>
      </c>
      <c r="E49" s="124">
        <f t="shared" si="0"/>
        <v>0</v>
      </c>
      <c r="F49" s="124">
        <f t="shared" si="0"/>
        <v>0</v>
      </c>
      <c r="G49" s="124">
        <f t="shared" si="0"/>
        <v>0</v>
      </c>
      <c r="H49" s="98"/>
      <c r="I49" s="99"/>
      <c r="J49" s="74"/>
    </row>
    <row r="50" spans="2:10">
      <c r="B50" s="78" t="s">
        <v>23</v>
      </c>
      <c r="C50" s="118" t="s">
        <v>133</v>
      </c>
      <c r="D50" s="124">
        <f t="shared" si="0"/>
        <v>0</v>
      </c>
      <c r="E50" s="124">
        <f t="shared" si="0"/>
        <v>0</v>
      </c>
      <c r="F50" s="124">
        <f t="shared" si="0"/>
        <v>0</v>
      </c>
      <c r="G50" s="124">
        <f t="shared" si="0"/>
        <v>0</v>
      </c>
      <c r="H50" s="125"/>
      <c r="I50" s="99"/>
      <c r="J50" s="74"/>
    </row>
    <row r="51" spans="2:10">
      <c r="B51" s="78" t="s">
        <v>115</v>
      </c>
      <c r="C51" s="118" t="s">
        <v>133</v>
      </c>
      <c r="D51" s="124">
        <f t="shared" si="0"/>
        <v>1.5101177891875567E-2</v>
      </c>
      <c r="E51" s="124">
        <f t="shared" si="0"/>
        <v>1.6901408450704227E-2</v>
      </c>
      <c r="F51" s="124">
        <f t="shared" si="0"/>
        <v>1.9108280254777069E-2</v>
      </c>
      <c r="G51" s="124">
        <f t="shared" si="0"/>
        <v>2.0833333333333332E-2</v>
      </c>
      <c r="H51" s="98"/>
      <c r="I51" s="99"/>
      <c r="J51" s="74"/>
    </row>
    <row r="52" spans="2:10">
      <c r="B52" s="78" t="s">
        <v>24</v>
      </c>
      <c r="C52" s="118" t="s">
        <v>133</v>
      </c>
      <c r="D52" s="124">
        <f t="shared" si="0"/>
        <v>1.2584314909896306E-3</v>
      </c>
      <c r="E52" s="124">
        <f t="shared" si="0"/>
        <v>1.4084507042253522E-3</v>
      </c>
      <c r="F52" s="124">
        <f t="shared" si="0"/>
        <v>1.592356687898089E-3</v>
      </c>
      <c r="G52" s="124">
        <f t="shared" si="0"/>
        <v>1.7361111111111112E-3</v>
      </c>
      <c r="H52" s="98"/>
      <c r="I52" s="99"/>
      <c r="J52" s="74"/>
    </row>
    <row r="53" spans="2:10">
      <c r="B53" s="78"/>
      <c r="C53" s="118"/>
      <c r="D53" s="122"/>
      <c r="E53" s="77"/>
      <c r="F53" s="77"/>
      <c r="G53" s="77"/>
      <c r="H53" s="98"/>
      <c r="I53" s="99"/>
      <c r="J53" s="74"/>
    </row>
    <row r="54" spans="2:10">
      <c r="B54" s="123" t="s">
        <v>31</v>
      </c>
      <c r="C54" s="118"/>
      <c r="D54" s="98"/>
      <c r="E54" s="122"/>
      <c r="F54" s="122"/>
      <c r="G54" s="122"/>
      <c r="H54" s="120"/>
      <c r="I54" s="99"/>
      <c r="J54" s="74"/>
    </row>
    <row r="55" spans="2:10">
      <c r="B55" s="78" t="s">
        <v>20</v>
      </c>
      <c r="C55" s="118" t="s">
        <v>133</v>
      </c>
      <c r="D55" s="121"/>
      <c r="E55" s="121"/>
      <c r="F55" s="121"/>
      <c r="G55" s="121"/>
      <c r="H55" s="120"/>
      <c r="I55" s="99"/>
      <c r="J55" s="119" t="s">
        <v>114</v>
      </c>
    </row>
    <row r="56" spans="2:10">
      <c r="B56" s="78" t="s">
        <v>21</v>
      </c>
      <c r="C56" s="118" t="s">
        <v>133</v>
      </c>
      <c r="D56" s="117">
        <f t="shared" ref="D56:G60" si="1">D48</f>
        <v>8.0539615423336364E-3</v>
      </c>
      <c r="E56" s="117">
        <f t="shared" si="1"/>
        <v>9.014084507042254E-3</v>
      </c>
      <c r="F56" s="117">
        <f t="shared" si="1"/>
        <v>1.019108280254777E-2</v>
      </c>
      <c r="G56" s="117">
        <f t="shared" si="1"/>
        <v>1.1111111111111112E-2</v>
      </c>
      <c r="H56" s="116"/>
      <c r="I56" s="99"/>
      <c r="J56" s="74"/>
    </row>
    <row r="57" spans="2:10">
      <c r="B57" s="78" t="s">
        <v>22</v>
      </c>
      <c r="C57" s="118" t="s">
        <v>133</v>
      </c>
      <c r="D57" s="117">
        <f t="shared" si="1"/>
        <v>0</v>
      </c>
      <c r="E57" s="117">
        <f t="shared" si="1"/>
        <v>0</v>
      </c>
      <c r="F57" s="117">
        <f t="shared" si="1"/>
        <v>0</v>
      </c>
      <c r="G57" s="117">
        <f t="shared" si="1"/>
        <v>0</v>
      </c>
      <c r="H57" s="116"/>
      <c r="I57" s="99"/>
      <c r="J57" s="74"/>
    </row>
    <row r="58" spans="2:10">
      <c r="B58" s="78" t="s">
        <v>23</v>
      </c>
      <c r="C58" s="118" t="s">
        <v>133</v>
      </c>
      <c r="D58" s="117">
        <f t="shared" si="1"/>
        <v>0</v>
      </c>
      <c r="E58" s="117">
        <f t="shared" si="1"/>
        <v>0</v>
      </c>
      <c r="F58" s="117">
        <f t="shared" si="1"/>
        <v>0</v>
      </c>
      <c r="G58" s="117">
        <f t="shared" si="1"/>
        <v>0</v>
      </c>
      <c r="H58" s="116"/>
      <c r="I58" s="99"/>
      <c r="J58" s="74"/>
    </row>
    <row r="59" spans="2:10">
      <c r="B59" s="78" t="s">
        <v>115</v>
      </c>
      <c r="C59" s="118" t="s">
        <v>133</v>
      </c>
      <c r="D59" s="117">
        <f t="shared" si="1"/>
        <v>1.5101177891875567E-2</v>
      </c>
      <c r="E59" s="117">
        <f t="shared" si="1"/>
        <v>1.6901408450704227E-2</v>
      </c>
      <c r="F59" s="117">
        <f t="shared" si="1"/>
        <v>1.9108280254777069E-2</v>
      </c>
      <c r="G59" s="117">
        <f t="shared" si="1"/>
        <v>2.0833333333333332E-2</v>
      </c>
      <c r="H59" s="116"/>
      <c r="I59" s="99"/>
      <c r="J59" s="74"/>
    </row>
    <row r="60" spans="2:10">
      <c r="B60" s="78" t="s">
        <v>24</v>
      </c>
      <c r="C60" s="118" t="s">
        <v>133</v>
      </c>
      <c r="D60" s="117">
        <f t="shared" si="1"/>
        <v>1.2584314909896306E-3</v>
      </c>
      <c r="E60" s="117">
        <f t="shared" si="1"/>
        <v>1.4084507042253522E-3</v>
      </c>
      <c r="F60" s="117">
        <f t="shared" si="1"/>
        <v>1.592356687898089E-3</v>
      </c>
      <c r="G60" s="117">
        <f t="shared" si="1"/>
        <v>1.7361111111111112E-3</v>
      </c>
      <c r="H60" s="116"/>
      <c r="I60" s="99"/>
      <c r="J60" s="74"/>
    </row>
    <row r="61" spans="2:10" ht="14.4" thickBot="1">
      <c r="B61" s="115"/>
      <c r="C61" s="114"/>
      <c r="D61" s="113"/>
      <c r="E61" s="72"/>
      <c r="F61" s="72"/>
      <c r="G61" s="72"/>
      <c r="H61" s="112"/>
      <c r="I61" s="111"/>
      <c r="J61" s="90"/>
    </row>
    <row r="62" spans="2:10">
      <c r="I62" s="69"/>
    </row>
    <row r="63" spans="2:10">
      <c r="I63" s="69"/>
    </row>
    <row r="64" spans="2:10" ht="16.2" thickBot="1">
      <c r="B64" s="89" t="s">
        <v>116</v>
      </c>
      <c r="I64" s="69"/>
    </row>
    <row r="65" spans="2:10">
      <c r="B65" s="88"/>
      <c r="C65" s="110"/>
      <c r="D65" s="85"/>
      <c r="E65" s="85"/>
      <c r="F65" s="85"/>
      <c r="G65" s="85"/>
      <c r="H65" s="85"/>
      <c r="I65" s="84" t="s">
        <v>96</v>
      </c>
      <c r="J65" s="83" t="s">
        <v>97</v>
      </c>
    </row>
    <row r="66" spans="2:10">
      <c r="B66" s="109"/>
      <c r="C66" s="108" t="s">
        <v>98</v>
      </c>
      <c r="D66" s="107">
        <v>2015</v>
      </c>
      <c r="E66" s="106">
        <v>2020</v>
      </c>
      <c r="F66" s="106">
        <v>2035</v>
      </c>
      <c r="G66" s="106">
        <v>2050</v>
      </c>
      <c r="H66" s="106"/>
      <c r="I66" s="105"/>
      <c r="J66" s="104"/>
    </row>
    <row r="67" spans="2:10">
      <c r="B67" s="78" t="s">
        <v>25</v>
      </c>
      <c r="C67" s="95" t="s">
        <v>134</v>
      </c>
      <c r="D67" s="161">
        <f>D68*D69/D70</f>
        <v>0.83</v>
      </c>
      <c r="E67" s="161">
        <f>D67*(1-E71)</f>
        <v>0.8133999999999999</v>
      </c>
      <c r="F67" s="161">
        <f>E67*(1-F71)</f>
        <v>0.77272999999999992</v>
      </c>
      <c r="G67" s="161">
        <f>F67*(1-G71)</f>
        <v>0.73409349999999984</v>
      </c>
      <c r="H67" s="100"/>
      <c r="I67" s="79"/>
      <c r="J67" s="74"/>
    </row>
    <row r="68" spans="2:10">
      <c r="B68" s="78" t="s">
        <v>135</v>
      </c>
      <c r="C68" s="95" t="s">
        <v>134</v>
      </c>
      <c r="D68" s="103">
        <v>0.83</v>
      </c>
      <c r="E68" s="103"/>
      <c r="F68" s="103"/>
      <c r="G68" s="103"/>
      <c r="H68" s="102"/>
      <c r="I68" s="99" t="s">
        <v>643</v>
      </c>
      <c r="J68" s="74"/>
    </row>
    <row r="69" spans="2:10">
      <c r="B69" s="78" t="s">
        <v>244</v>
      </c>
      <c r="C69" s="95" t="s">
        <v>118</v>
      </c>
      <c r="D69" s="103">
        <v>1975</v>
      </c>
      <c r="E69" s="103"/>
      <c r="F69" s="103"/>
      <c r="G69" s="103"/>
      <c r="H69" s="103"/>
      <c r="I69" s="79"/>
      <c r="J69" s="74"/>
    </row>
    <row r="70" spans="2:10">
      <c r="B70" s="78" t="s">
        <v>136</v>
      </c>
      <c r="C70" s="95" t="s">
        <v>118</v>
      </c>
      <c r="D70" s="103">
        <v>1975</v>
      </c>
      <c r="E70" s="103"/>
      <c r="F70" s="103"/>
      <c r="G70" s="103"/>
      <c r="H70" s="103"/>
      <c r="I70" s="99" t="s">
        <v>643</v>
      </c>
      <c r="J70" s="74"/>
    </row>
    <row r="71" spans="2:10">
      <c r="B71" s="78" t="s">
        <v>119</v>
      </c>
      <c r="C71" s="95" t="s">
        <v>26</v>
      </c>
      <c r="D71" s="103"/>
      <c r="E71" s="103">
        <v>0.02</v>
      </c>
      <c r="F71" s="103">
        <v>0.05</v>
      </c>
      <c r="G71" s="103">
        <v>0.05</v>
      </c>
      <c r="H71" s="103"/>
      <c r="I71" s="99"/>
      <c r="J71" s="74"/>
    </row>
    <row r="72" spans="2:10">
      <c r="B72" s="78" t="s">
        <v>120</v>
      </c>
      <c r="C72" s="95" t="s">
        <v>121</v>
      </c>
      <c r="D72" s="98">
        <v>18000</v>
      </c>
      <c r="E72" s="98">
        <v>18000</v>
      </c>
      <c r="F72" s="98">
        <v>18000</v>
      </c>
      <c r="G72" s="98">
        <v>18000</v>
      </c>
      <c r="H72" s="98"/>
      <c r="I72" s="79"/>
      <c r="J72" s="74"/>
    </row>
    <row r="73" spans="2:10">
      <c r="B73" s="78" t="s">
        <v>108</v>
      </c>
      <c r="C73" s="95" t="s">
        <v>109</v>
      </c>
      <c r="D73" s="209">
        <f>+D67*D72/1000</f>
        <v>14.94</v>
      </c>
      <c r="E73" s="209">
        <f>+E67*E72/1000</f>
        <v>14.6412</v>
      </c>
      <c r="F73" s="209">
        <f>+F67*F72/1000</f>
        <v>13.909139999999997</v>
      </c>
      <c r="G73" s="209">
        <f>+G67*G72/1000</f>
        <v>13.213682999999998</v>
      </c>
      <c r="H73" s="77"/>
      <c r="I73" s="79"/>
      <c r="J73" s="74" t="s">
        <v>122</v>
      </c>
    </row>
    <row r="74" spans="2:10">
      <c r="B74" s="78" t="s">
        <v>123</v>
      </c>
      <c r="C74" s="95" t="s">
        <v>17</v>
      </c>
      <c r="D74" s="97">
        <f>D75*1000/D67</f>
        <v>337.34939759036143</v>
      </c>
      <c r="E74" s="97">
        <f>E75*1000/E67</f>
        <v>344.23407917383827</v>
      </c>
      <c r="F74" s="97">
        <f>F75*1000/F67</f>
        <v>362.35166228825079</v>
      </c>
      <c r="G74" s="97">
        <f>G75*1000/G67</f>
        <v>381.42280240868507</v>
      </c>
      <c r="H74" s="97"/>
      <c r="I74" s="79"/>
      <c r="J74" s="74" t="s">
        <v>137</v>
      </c>
    </row>
    <row r="75" spans="2:10">
      <c r="B75" s="78" t="s">
        <v>123</v>
      </c>
      <c r="C75" s="95" t="s">
        <v>36</v>
      </c>
      <c r="D75" s="208">
        <v>0.28000000000000003</v>
      </c>
      <c r="E75" s="208">
        <v>0.28000000000000003</v>
      </c>
      <c r="F75" s="208">
        <v>0.28000000000000003</v>
      </c>
      <c r="G75" s="208">
        <v>0.28000000000000003</v>
      </c>
      <c r="H75" s="92"/>
      <c r="I75" s="75" t="s">
        <v>616</v>
      </c>
      <c r="J75" s="74"/>
    </row>
    <row r="76" spans="2:10">
      <c r="B76" s="78"/>
      <c r="C76" s="95"/>
      <c r="D76" s="94"/>
      <c r="E76" s="93"/>
      <c r="F76" s="207"/>
      <c r="G76" s="207"/>
      <c r="H76" s="92"/>
      <c r="I76" s="75"/>
      <c r="J76" s="74"/>
    </row>
    <row r="77" spans="2:10" ht="14.4" thickBot="1">
      <c r="B77" s="73"/>
      <c r="C77" s="91"/>
      <c r="D77" s="72"/>
      <c r="E77" s="72"/>
      <c r="F77" s="72"/>
      <c r="G77" s="72"/>
      <c r="H77" s="72"/>
      <c r="I77" s="71"/>
      <c r="J77" s="90"/>
    </row>
    <row r="78" spans="2:10">
      <c r="I78" s="69"/>
    </row>
    <row r="79" spans="2:10" ht="16.2" thickBot="1">
      <c r="B79" s="89" t="s">
        <v>125</v>
      </c>
      <c r="I79" s="69"/>
    </row>
    <row r="80" spans="2:10">
      <c r="B80" s="88"/>
      <c r="C80" s="85"/>
      <c r="D80" s="87"/>
      <c r="E80" s="87"/>
      <c r="F80" s="87"/>
      <c r="G80" s="86"/>
      <c r="H80" s="85"/>
      <c r="I80" s="84"/>
      <c r="J80" s="83"/>
    </row>
    <row r="81" spans="2:10">
      <c r="B81" s="78"/>
      <c r="C81" s="77"/>
      <c r="D81" s="77"/>
      <c r="E81" s="77"/>
      <c r="F81" s="77"/>
      <c r="G81" s="77"/>
      <c r="H81" s="77"/>
      <c r="I81" s="79"/>
      <c r="J81" s="74"/>
    </row>
    <row r="82" spans="2:10">
      <c r="B82" s="78" t="s">
        <v>20</v>
      </c>
      <c r="C82" s="77" t="s">
        <v>27</v>
      </c>
      <c r="D82" s="82"/>
      <c r="E82" s="81"/>
      <c r="F82" s="81"/>
      <c r="G82" s="81"/>
      <c r="H82" s="80"/>
      <c r="I82" s="79"/>
      <c r="J82" s="74" t="s">
        <v>126</v>
      </c>
    </row>
    <row r="83" spans="2:10">
      <c r="B83" s="78" t="s">
        <v>21</v>
      </c>
      <c r="C83" s="77" t="s">
        <v>27</v>
      </c>
      <c r="D83" s="76">
        <v>3.2000000000000001E-2</v>
      </c>
      <c r="E83" s="76">
        <v>3.2000000000000001E-2</v>
      </c>
      <c r="F83" s="76">
        <v>3.2000000000000001E-2</v>
      </c>
      <c r="G83" s="76">
        <v>3.2000000000000001E-2</v>
      </c>
      <c r="H83" s="76"/>
      <c r="I83" s="75" t="s">
        <v>617</v>
      </c>
      <c r="J83" s="74" t="s">
        <v>127</v>
      </c>
    </row>
    <row r="84" spans="2:10">
      <c r="B84" s="78" t="s">
        <v>22</v>
      </c>
      <c r="C84" s="77" t="s">
        <v>27</v>
      </c>
      <c r="D84" s="76"/>
      <c r="E84" s="76"/>
      <c r="F84" s="76"/>
      <c r="G84" s="76"/>
      <c r="H84" s="76"/>
      <c r="I84" s="75" t="s">
        <v>617</v>
      </c>
      <c r="J84" s="74" t="s">
        <v>128</v>
      </c>
    </row>
    <row r="85" spans="2:10">
      <c r="B85" s="78" t="s">
        <v>23</v>
      </c>
      <c r="C85" s="77" t="s">
        <v>27</v>
      </c>
      <c r="D85" s="76"/>
      <c r="E85" s="76"/>
      <c r="F85" s="76"/>
      <c r="G85" s="76"/>
      <c r="H85" s="76"/>
      <c r="I85" s="75" t="s">
        <v>617</v>
      </c>
      <c r="J85" s="74" t="s">
        <v>129</v>
      </c>
    </row>
    <row r="86" spans="2:10">
      <c r="B86" s="78" t="s">
        <v>115</v>
      </c>
      <c r="C86" s="77" t="s">
        <v>27</v>
      </c>
      <c r="D86" s="76">
        <v>0.06</v>
      </c>
      <c r="E86" s="76">
        <v>0.06</v>
      </c>
      <c r="F86" s="76">
        <v>0.06</v>
      </c>
      <c r="G86" s="76">
        <v>0.06</v>
      </c>
      <c r="H86" s="76"/>
      <c r="I86" s="75" t="s">
        <v>617</v>
      </c>
      <c r="J86" s="74"/>
    </row>
    <row r="87" spans="2:10">
      <c r="B87" s="78" t="s">
        <v>24</v>
      </c>
      <c r="C87" s="77" t="s">
        <v>27</v>
      </c>
      <c r="D87" s="76">
        <v>5.0000000000000001E-3</v>
      </c>
      <c r="E87" s="76">
        <v>5.0000000000000001E-3</v>
      </c>
      <c r="F87" s="76">
        <v>5.0000000000000001E-3</v>
      </c>
      <c r="G87" s="76">
        <v>5.0000000000000001E-3</v>
      </c>
      <c r="H87" s="76"/>
      <c r="I87" s="75" t="s">
        <v>617</v>
      </c>
      <c r="J87" s="74"/>
    </row>
    <row r="88" spans="2:10" ht="14.4" thickBot="1">
      <c r="B88" s="73"/>
      <c r="C88" s="72"/>
      <c r="D88" s="72"/>
      <c r="E88" s="72"/>
      <c r="F88" s="72"/>
      <c r="G88" s="72"/>
      <c r="H88" s="72"/>
      <c r="I88" s="71"/>
      <c r="J88" s="70"/>
    </row>
    <row r="89" spans="2:10">
      <c r="F89" s="68"/>
      <c r="G89" s="68"/>
      <c r="I89" s="69"/>
    </row>
    <row r="90" spans="2:10">
      <c r="F90" s="68"/>
      <c r="G90" s="68"/>
      <c r="H90" s="68"/>
    </row>
    <row r="91" spans="2:10">
      <c r="F91" s="68"/>
      <c r="G91" s="68"/>
      <c r="H91" s="68"/>
    </row>
    <row r="92" spans="2:10">
      <c r="F92" s="68"/>
      <c r="G92" s="68"/>
      <c r="H92" s="68"/>
      <c r="I92" s="66"/>
    </row>
    <row r="93" spans="2:10">
      <c r="F93" s="68"/>
      <c r="G93" s="68"/>
      <c r="H93" s="68"/>
    </row>
    <row r="94" spans="2:10">
      <c r="F94" s="68"/>
      <c r="G94" s="68"/>
      <c r="H94" s="68"/>
    </row>
    <row r="95" spans="2:10">
      <c r="D95" s="67"/>
      <c r="I95" s="66"/>
    </row>
    <row r="98" spans="9:9">
      <c r="I98" s="66"/>
    </row>
    <row r="101" spans="9:9">
      <c r="I101" s="66"/>
    </row>
    <row r="102" spans="9:9">
      <c r="I102" s="66"/>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'C:\Users\B003920\Desktop\[Kopi af alternativ_drivmiddelmodel_3.0_2.xlsm]Sheet1'!#REF!</xm:f>
          </x14:formula1>
          <xm:sqref>C9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Ark6">
    <tabColor rgb="FF002060"/>
  </sheetPr>
  <dimension ref="B1:S102"/>
  <sheetViews>
    <sheetView topLeftCell="A19" workbookViewId="0">
      <selection activeCell="E79" sqref="E79"/>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2" width="10" style="65" customWidth="1"/>
    <col min="13" max="14" width="9" style="65" customWidth="1"/>
    <col min="15" max="15" width="37.88671875" style="65" customWidth="1"/>
    <col min="16" max="18" width="8.88671875" style="65"/>
    <col min="19" max="19" width="9.109375" style="65" customWidth="1"/>
    <col min="20" max="16384" width="8.88671875" style="65"/>
  </cols>
  <sheetData>
    <row r="1" spans="2:19" s="62" customFormat="1" ht="21">
      <c r="B1" s="62" t="s">
        <v>32</v>
      </c>
      <c r="Q1" s="62">
        <v>0</v>
      </c>
      <c r="R1" s="64">
        <v>0</v>
      </c>
      <c r="S1" s="63"/>
    </row>
    <row r="2" spans="2:19">
      <c r="R2" s="158">
        <f>R1</f>
        <v>0</v>
      </c>
      <c r="S2" s="158">
        <f>S1</f>
        <v>0</v>
      </c>
    </row>
    <row r="4" spans="2:19" ht="14.4" thickBot="1">
      <c r="B4" s="154" t="s">
        <v>91</v>
      </c>
    </row>
    <row r="5" spans="2:19">
      <c r="B5" s="157" t="s">
        <v>92</v>
      </c>
      <c r="C5" s="85"/>
      <c r="D5" s="85"/>
      <c r="E5" s="85"/>
      <c r="F5" s="85"/>
      <c r="G5" s="85"/>
      <c r="H5" s="85"/>
      <c r="I5" s="85"/>
      <c r="J5" s="85"/>
      <c r="K5" s="85"/>
      <c r="L5" s="85"/>
      <c r="M5" s="85"/>
      <c r="N5" s="83"/>
    </row>
    <row r="6" spans="2:19">
      <c r="B6" s="133" t="s">
        <v>252</v>
      </c>
      <c r="C6" s="77"/>
      <c r="D6" s="77"/>
      <c r="E6" s="77"/>
      <c r="F6" s="77"/>
      <c r="G6" s="77"/>
      <c r="H6" s="77"/>
      <c r="I6" s="77"/>
      <c r="J6" s="77"/>
      <c r="K6" s="77"/>
      <c r="L6" s="77"/>
      <c r="M6" s="77"/>
      <c r="N6" s="74"/>
    </row>
    <row r="7" spans="2:19">
      <c r="B7" s="133" t="s">
        <v>251</v>
      </c>
      <c r="C7" s="77"/>
      <c r="D7" s="77"/>
      <c r="E7" s="77"/>
      <c r="F7" s="77"/>
      <c r="G7" s="77"/>
      <c r="H7" s="77"/>
      <c r="I7" s="77"/>
      <c r="J7" s="77"/>
      <c r="K7" s="77"/>
      <c r="L7" s="77"/>
      <c r="M7" s="77"/>
      <c r="N7" s="74"/>
    </row>
    <row r="8" spans="2:19">
      <c r="B8" s="133"/>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33" t="s">
        <v>250</v>
      </c>
      <c r="C12" s="77"/>
      <c r="D12" s="77"/>
      <c r="E12" s="77"/>
      <c r="F12" s="77"/>
      <c r="G12" s="77"/>
      <c r="H12" s="77"/>
      <c r="I12" s="77"/>
      <c r="J12" s="77"/>
      <c r="K12" s="77"/>
      <c r="L12" s="77"/>
      <c r="M12" s="77"/>
      <c r="N12" s="74"/>
    </row>
    <row r="13" spans="2:19">
      <c r="B13" s="133"/>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33" t="s">
        <v>249</v>
      </c>
      <c r="C15" s="77"/>
      <c r="D15" s="77"/>
      <c r="E15" s="77"/>
      <c r="F15" s="77"/>
      <c r="G15" s="77"/>
      <c r="H15" s="77"/>
      <c r="I15" s="77"/>
      <c r="J15" s="77"/>
      <c r="K15" s="77"/>
      <c r="L15" s="77"/>
      <c r="M15" s="77"/>
      <c r="N15" s="74"/>
    </row>
    <row r="16" spans="2:19">
      <c r="B16" s="133" t="s">
        <v>248</v>
      </c>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153"/>
    </row>
    <row r="20" spans="2:14">
      <c r="B20" s="88"/>
      <c r="C20" s="110"/>
      <c r="D20" s="85"/>
      <c r="E20" s="85"/>
      <c r="F20" s="85"/>
      <c r="G20" s="85"/>
      <c r="H20" s="85"/>
      <c r="I20" s="85" t="s">
        <v>96</v>
      </c>
      <c r="J20" s="83" t="s">
        <v>97</v>
      </c>
    </row>
    <row r="21" spans="2:14">
      <c r="B21" s="109"/>
      <c r="C21" s="108" t="s">
        <v>98</v>
      </c>
      <c r="D21" s="106">
        <v>2015</v>
      </c>
      <c r="E21" s="106">
        <v>2020</v>
      </c>
      <c r="F21" s="106">
        <v>2035</v>
      </c>
      <c r="G21" s="106">
        <v>2050</v>
      </c>
      <c r="H21" s="106" t="s">
        <v>99</v>
      </c>
      <c r="I21" s="152"/>
      <c r="J21" s="104"/>
    </row>
    <row r="22" spans="2:14">
      <c r="B22" s="128" t="s">
        <v>100</v>
      </c>
      <c r="C22" s="118"/>
      <c r="D22" s="151"/>
      <c r="E22" s="151"/>
      <c r="F22" s="151"/>
      <c r="G22" s="151"/>
      <c r="H22" s="151"/>
      <c r="I22" s="77"/>
      <c r="J22" s="74"/>
    </row>
    <row r="23" spans="2:14">
      <c r="B23" s="145" t="s">
        <v>101</v>
      </c>
      <c r="C23" s="118" t="s">
        <v>132</v>
      </c>
      <c r="D23" s="150">
        <f>D67/D25</f>
        <v>0.26659814344907329</v>
      </c>
      <c r="E23" s="150">
        <f>E67/E25</f>
        <v>0.27204013377926417</v>
      </c>
      <c r="F23" s="150">
        <f>F67/F25</f>
        <v>0.29159622641509431</v>
      </c>
      <c r="G23" s="150">
        <f>G67/G25</f>
        <v>0.30209609053497932</v>
      </c>
      <c r="H23" s="147">
        <f>'EU varebil diesel'!H3</f>
        <v>0</v>
      </c>
      <c r="I23" s="99" t="s">
        <v>643</v>
      </c>
      <c r="J23" s="141"/>
    </row>
    <row r="24" spans="2:14">
      <c r="B24" s="145" t="s">
        <v>102</v>
      </c>
      <c r="C24" s="118" t="s">
        <v>132</v>
      </c>
      <c r="D24" s="149">
        <f>D23</f>
        <v>0.26659814344907329</v>
      </c>
      <c r="E24" s="148">
        <f>E23</f>
        <v>0.27204013377926417</v>
      </c>
      <c r="F24" s="148">
        <f>F23</f>
        <v>0.29159622641509431</v>
      </c>
      <c r="G24" s="148">
        <f>G23</f>
        <v>0.30209609053497932</v>
      </c>
      <c r="H24" s="147"/>
      <c r="I24" s="99"/>
      <c r="J24" s="141"/>
    </row>
    <row r="25" spans="2:14">
      <c r="B25" s="145" t="s">
        <v>103</v>
      </c>
      <c r="C25" s="118" t="s">
        <v>104</v>
      </c>
      <c r="D25" s="220">
        <v>3.1133000000000002</v>
      </c>
      <c r="E25" s="219">
        <v>2.99</v>
      </c>
      <c r="F25" s="218">
        <v>2.65</v>
      </c>
      <c r="G25" s="218">
        <v>2.4300000000000002</v>
      </c>
      <c r="H25" s="142"/>
      <c r="I25" s="99" t="s">
        <v>643</v>
      </c>
      <c r="J25" s="141"/>
    </row>
    <row r="26" spans="2:14">
      <c r="B26" s="145" t="s">
        <v>105</v>
      </c>
      <c r="C26" s="118" t="s">
        <v>104</v>
      </c>
      <c r="D26" s="164"/>
      <c r="E26" s="163"/>
      <c r="F26" s="163"/>
      <c r="G26" s="163"/>
      <c r="H26" s="142"/>
      <c r="I26" s="99"/>
      <c r="J26" s="141"/>
    </row>
    <row r="27" spans="2:14">
      <c r="B27" s="133" t="s">
        <v>106</v>
      </c>
      <c r="C27" s="118" t="s">
        <v>107</v>
      </c>
      <c r="D27" s="140">
        <v>16.3</v>
      </c>
      <c r="E27" s="125">
        <v>16.3</v>
      </c>
      <c r="F27" s="125">
        <v>16.3</v>
      </c>
      <c r="G27" s="125">
        <v>16.3</v>
      </c>
      <c r="H27" s="125"/>
      <c r="I27" s="75" t="s">
        <v>615</v>
      </c>
      <c r="J27" s="74"/>
    </row>
    <row r="28" spans="2:14">
      <c r="B28" s="133" t="s">
        <v>108</v>
      </c>
      <c r="C28" s="118" t="s">
        <v>109</v>
      </c>
      <c r="D28" s="138">
        <f>+D73</f>
        <v>14.94</v>
      </c>
      <c r="E28" s="138">
        <f>+E73</f>
        <v>14.6412</v>
      </c>
      <c r="F28" s="138">
        <f>+F73</f>
        <v>13.909139999999997</v>
      </c>
      <c r="G28" s="138">
        <f>+G73</f>
        <v>13.213682999999998</v>
      </c>
      <c r="H28" s="138"/>
      <c r="I28" s="99"/>
      <c r="J28" s="74"/>
    </row>
    <row r="29" spans="2:14">
      <c r="B29" s="78"/>
      <c r="C29" s="137"/>
      <c r="D29" s="98"/>
      <c r="E29" s="98"/>
      <c r="F29" s="98"/>
      <c r="G29" s="98"/>
      <c r="H29" s="98"/>
      <c r="I29" s="79"/>
      <c r="J29" s="74"/>
    </row>
    <row r="30" spans="2:14">
      <c r="B30" s="128" t="s">
        <v>110</v>
      </c>
      <c r="C30" s="118"/>
      <c r="D30" s="98"/>
      <c r="E30" s="98"/>
      <c r="F30" s="98"/>
      <c r="G30" s="98"/>
      <c r="H30" s="98"/>
      <c r="I30" s="79"/>
      <c r="J30" s="74"/>
    </row>
    <row r="31" spans="2:14">
      <c r="B31" s="133" t="s">
        <v>111</v>
      </c>
      <c r="C31" s="118" t="s">
        <v>15</v>
      </c>
      <c r="D31" s="136">
        <v>182255</v>
      </c>
      <c r="E31" s="136">
        <v>184137</v>
      </c>
      <c r="F31" s="136">
        <v>191307</v>
      </c>
      <c r="G31" s="136">
        <v>191433</v>
      </c>
      <c r="H31" s="135">
        <v>2015</v>
      </c>
      <c r="I31" s="79"/>
      <c r="J31" s="74"/>
    </row>
    <row r="32" spans="2:14">
      <c r="B32" s="78" t="s">
        <v>16</v>
      </c>
      <c r="C32" s="118" t="s">
        <v>17</v>
      </c>
      <c r="D32" s="136">
        <v>1449.3027357770748</v>
      </c>
      <c r="E32" s="136">
        <v>1490.5969170326962</v>
      </c>
      <c r="F32" s="136">
        <v>1616.0362639550565</v>
      </c>
      <c r="G32" s="136">
        <v>1701.9599734472533</v>
      </c>
      <c r="H32" s="135">
        <v>2015</v>
      </c>
      <c r="I32" s="79"/>
      <c r="J32" s="74"/>
    </row>
    <row r="33" spans="2:10">
      <c r="B33" s="129" t="s">
        <v>18</v>
      </c>
      <c r="C33" s="118" t="s">
        <v>17</v>
      </c>
      <c r="D33" s="136">
        <v>1111.9533381867134</v>
      </c>
      <c r="E33" s="136">
        <v>1146.362837858858</v>
      </c>
      <c r="F33" s="136">
        <v>1253.6846016668057</v>
      </c>
      <c r="G33" s="136">
        <v>1320.5371710385682</v>
      </c>
      <c r="H33" s="135">
        <v>2015</v>
      </c>
      <c r="I33" s="79"/>
      <c r="J33" s="74"/>
    </row>
    <row r="34" spans="2:10">
      <c r="B34" s="129" t="s">
        <v>19</v>
      </c>
      <c r="C34" s="118" t="s">
        <v>17</v>
      </c>
      <c r="D34" s="136">
        <v>337.34939759036143</v>
      </c>
      <c r="E34" s="136">
        <v>344.23407917383827</v>
      </c>
      <c r="F34" s="136">
        <v>362.35166228825079</v>
      </c>
      <c r="G34" s="136">
        <v>381.42280240868507</v>
      </c>
      <c r="H34" s="135">
        <v>2015</v>
      </c>
      <c r="I34" s="79"/>
      <c r="J34" s="74"/>
    </row>
    <row r="35" spans="2:10">
      <c r="B35" s="129"/>
      <c r="C35" s="118"/>
      <c r="D35" s="136"/>
      <c r="E35" s="136"/>
      <c r="F35" s="136"/>
      <c r="G35" s="136"/>
      <c r="H35" s="135"/>
      <c r="I35" s="79"/>
      <c r="J35" s="74"/>
    </row>
    <row r="36" spans="2:10">
      <c r="B36" s="129" t="s">
        <v>112</v>
      </c>
      <c r="C36" s="118" t="s">
        <v>17</v>
      </c>
      <c r="D36" s="136">
        <v>0</v>
      </c>
      <c r="E36" s="136">
        <v>0</v>
      </c>
      <c r="F36" s="136">
        <v>0</v>
      </c>
      <c r="G36" s="136">
        <v>0</v>
      </c>
      <c r="H36" s="135">
        <v>2015</v>
      </c>
      <c r="I36" s="79"/>
      <c r="J36" s="74"/>
    </row>
    <row r="37" spans="2:10">
      <c r="B37" s="128"/>
      <c r="C37" s="118"/>
      <c r="D37" s="134"/>
      <c r="E37" s="98"/>
      <c r="F37" s="98"/>
      <c r="G37" s="98"/>
      <c r="H37" s="98"/>
      <c r="I37" s="79"/>
      <c r="J37" s="74"/>
    </row>
    <row r="38" spans="2:10">
      <c r="B38" s="133" t="s">
        <v>111</v>
      </c>
      <c r="C38" s="118" t="s">
        <v>15</v>
      </c>
      <c r="D38" s="127">
        <v>182255</v>
      </c>
      <c r="E38" s="127">
        <v>184137</v>
      </c>
      <c r="F38" s="127">
        <v>191307</v>
      </c>
      <c r="G38" s="127">
        <v>191433</v>
      </c>
      <c r="H38" s="130">
        <v>2015</v>
      </c>
      <c r="I38" s="99" t="s">
        <v>643</v>
      </c>
      <c r="J38" s="74"/>
    </row>
    <row r="39" spans="2:10">
      <c r="B39" s="78" t="s">
        <v>16</v>
      </c>
      <c r="C39" s="118" t="s">
        <v>17</v>
      </c>
      <c r="D39" s="126">
        <f>+SUM(D40:D43)</f>
        <v>1449.3027357770748</v>
      </c>
      <c r="E39" s="126">
        <f>+SUM(E40:E43)</f>
        <v>1490.5969170326962</v>
      </c>
      <c r="F39" s="126">
        <f>+SUM(F40:F43)</f>
        <v>1616.0362639550565</v>
      </c>
      <c r="G39" s="126">
        <f>+SUM(G40:G43)</f>
        <v>1701.9599734472533</v>
      </c>
      <c r="H39" s="130">
        <v>2015</v>
      </c>
      <c r="I39" s="99"/>
      <c r="J39" s="74"/>
    </row>
    <row r="40" spans="2:10">
      <c r="B40" s="129" t="s">
        <v>18</v>
      </c>
      <c r="C40" s="118" t="s">
        <v>17</v>
      </c>
      <c r="D40" s="126">
        <v>1111.9533381867134</v>
      </c>
      <c r="E40" s="126">
        <v>1146.362837858858</v>
      </c>
      <c r="F40" s="126">
        <v>1253.6846016668057</v>
      </c>
      <c r="G40" s="126">
        <v>1320.5371710385682</v>
      </c>
      <c r="H40" s="130">
        <v>2015</v>
      </c>
      <c r="I40" s="99"/>
      <c r="J40" s="74"/>
    </row>
    <row r="41" spans="2:10">
      <c r="B41" s="129" t="s">
        <v>19</v>
      </c>
      <c r="C41" s="118" t="s">
        <v>17</v>
      </c>
      <c r="D41" s="131">
        <f>+D74</f>
        <v>337.34939759036143</v>
      </c>
      <c r="E41" s="131">
        <f>+E74</f>
        <v>344.23407917383827</v>
      </c>
      <c r="F41" s="131">
        <f>+F74</f>
        <v>362.35166228825079</v>
      </c>
      <c r="G41" s="131">
        <f>+G74</f>
        <v>381.42280240868507</v>
      </c>
      <c r="H41" s="130">
        <v>2015</v>
      </c>
      <c r="I41" s="99"/>
      <c r="J41" s="74"/>
    </row>
    <row r="42" spans="2:10">
      <c r="B42" s="129"/>
      <c r="C42" s="118"/>
      <c r="D42" s="98"/>
      <c r="E42" s="98"/>
      <c r="F42" s="98"/>
      <c r="G42" s="98"/>
      <c r="H42" s="130"/>
      <c r="I42" s="99"/>
      <c r="J42" s="74"/>
    </row>
    <row r="43" spans="2:10">
      <c r="B43" s="129" t="s">
        <v>112</v>
      </c>
      <c r="C43" s="118" t="s">
        <v>17</v>
      </c>
      <c r="D43" s="125">
        <v>0</v>
      </c>
      <c r="E43" s="125">
        <v>0</v>
      </c>
      <c r="F43" s="125">
        <v>0</v>
      </c>
      <c r="G43" s="125">
        <v>0</v>
      </c>
      <c r="H43" s="130">
        <v>2015</v>
      </c>
      <c r="I43" s="99"/>
      <c r="J43" s="74"/>
    </row>
    <row r="44" spans="2:10">
      <c r="B44" s="129"/>
      <c r="C44" s="118"/>
      <c r="D44" s="98"/>
      <c r="E44" s="122"/>
      <c r="F44" s="122"/>
      <c r="G44" s="122"/>
      <c r="H44" s="98"/>
      <c r="I44" s="99"/>
      <c r="J44" s="74"/>
    </row>
    <row r="45" spans="2:10">
      <c r="B45" s="128" t="s">
        <v>113</v>
      </c>
      <c r="C45" s="118"/>
      <c r="D45" s="98"/>
      <c r="E45" s="122"/>
      <c r="F45" s="122"/>
      <c r="G45" s="122"/>
      <c r="H45" s="127"/>
      <c r="I45" s="99"/>
      <c r="J45" s="74"/>
    </row>
    <row r="46" spans="2:10">
      <c r="B46" s="123" t="s">
        <v>30</v>
      </c>
      <c r="C46" s="118"/>
      <c r="D46" s="98"/>
      <c r="E46" s="122"/>
      <c r="F46" s="122"/>
      <c r="G46" s="122"/>
      <c r="H46" s="126"/>
      <c r="I46" s="99"/>
      <c r="J46" s="74"/>
    </row>
    <row r="47" spans="2:10">
      <c r="B47" s="78" t="s">
        <v>20</v>
      </c>
      <c r="C47" s="118" t="s">
        <v>133</v>
      </c>
      <c r="D47" s="121"/>
      <c r="E47" s="121"/>
      <c r="F47" s="121"/>
      <c r="G47" s="121"/>
      <c r="H47" s="126"/>
      <c r="I47" s="99"/>
      <c r="J47" s="119" t="s">
        <v>114</v>
      </c>
    </row>
    <row r="48" spans="2:10">
      <c r="B48" s="78" t="s">
        <v>21</v>
      </c>
      <c r="C48" s="118" t="s">
        <v>133</v>
      </c>
      <c r="D48" s="124">
        <f t="shared" ref="D48:G52" si="0">D83/D$25</f>
        <v>1.6060129123438151E-2</v>
      </c>
      <c r="E48" s="124">
        <f t="shared" si="0"/>
        <v>3.0100334448160532E-2</v>
      </c>
      <c r="F48" s="124">
        <f t="shared" si="0"/>
        <v>3.3962264150943396E-2</v>
      </c>
      <c r="G48" s="124">
        <f t="shared" si="0"/>
        <v>3.7037037037037035E-2</v>
      </c>
      <c r="H48" s="120"/>
      <c r="I48" s="99"/>
      <c r="J48" s="74"/>
    </row>
    <row r="49" spans="2:10">
      <c r="B49" s="78" t="s">
        <v>22</v>
      </c>
      <c r="C49" s="118" t="s">
        <v>133</v>
      </c>
      <c r="D49" s="124">
        <f t="shared" si="0"/>
        <v>0</v>
      </c>
      <c r="E49" s="124">
        <f t="shared" si="0"/>
        <v>0</v>
      </c>
      <c r="F49" s="124">
        <f t="shared" si="0"/>
        <v>0</v>
      </c>
      <c r="G49" s="124">
        <f t="shared" si="0"/>
        <v>0</v>
      </c>
      <c r="H49" s="98"/>
      <c r="I49" s="99"/>
      <c r="J49" s="74"/>
    </row>
    <row r="50" spans="2:10">
      <c r="B50" s="78" t="s">
        <v>23</v>
      </c>
      <c r="C50" s="118" t="s">
        <v>133</v>
      </c>
      <c r="D50" s="124">
        <f t="shared" si="0"/>
        <v>0</v>
      </c>
      <c r="E50" s="124">
        <f t="shared" si="0"/>
        <v>0</v>
      </c>
      <c r="F50" s="124">
        <f t="shared" si="0"/>
        <v>0</v>
      </c>
      <c r="G50" s="124">
        <f t="shared" si="0"/>
        <v>0</v>
      </c>
      <c r="H50" s="125"/>
      <c r="I50" s="99"/>
      <c r="J50" s="74"/>
    </row>
    <row r="51" spans="2:10">
      <c r="B51" s="78" t="s">
        <v>115</v>
      </c>
      <c r="C51" s="118" t="s">
        <v>133</v>
      </c>
      <c r="D51" s="124">
        <f t="shared" si="0"/>
        <v>5.7816464844377344E-2</v>
      </c>
      <c r="E51" s="124">
        <f t="shared" si="0"/>
        <v>2.6755852842809364E-2</v>
      </c>
      <c r="F51" s="124">
        <f t="shared" si="0"/>
        <v>3.0188679245283019E-2</v>
      </c>
      <c r="G51" s="124">
        <f t="shared" si="0"/>
        <v>3.2921810699588473E-2</v>
      </c>
      <c r="H51" s="98"/>
      <c r="I51" s="99"/>
      <c r="J51" s="74"/>
    </row>
    <row r="52" spans="2:10">
      <c r="B52" s="78" t="s">
        <v>24</v>
      </c>
      <c r="C52" s="118" t="s">
        <v>133</v>
      </c>
      <c r="D52" s="124">
        <f t="shared" si="0"/>
        <v>1.6060129123438153E-3</v>
      </c>
      <c r="E52" s="124">
        <f t="shared" si="0"/>
        <v>1.6722408026755853E-3</v>
      </c>
      <c r="F52" s="124">
        <f t="shared" si="0"/>
        <v>1.8867924528301887E-3</v>
      </c>
      <c r="G52" s="124">
        <f t="shared" si="0"/>
        <v>2.0576131687242796E-3</v>
      </c>
      <c r="H52" s="98"/>
      <c r="I52" s="99"/>
      <c r="J52" s="74"/>
    </row>
    <row r="53" spans="2:10">
      <c r="B53" s="78"/>
      <c r="C53" s="118"/>
      <c r="D53" s="122"/>
      <c r="E53" s="77"/>
      <c r="F53" s="77"/>
      <c r="G53" s="77"/>
      <c r="H53" s="98"/>
      <c r="I53" s="99"/>
      <c r="J53" s="74"/>
    </row>
    <row r="54" spans="2:10">
      <c r="B54" s="123" t="s">
        <v>31</v>
      </c>
      <c r="C54" s="118"/>
      <c r="D54" s="98"/>
      <c r="E54" s="122"/>
      <c r="F54" s="122"/>
      <c r="G54" s="122"/>
      <c r="H54" s="120"/>
      <c r="I54" s="99"/>
      <c r="J54" s="74"/>
    </row>
    <row r="55" spans="2:10">
      <c r="B55" s="78" t="s">
        <v>20</v>
      </c>
      <c r="C55" s="118" t="s">
        <v>133</v>
      </c>
      <c r="D55" s="121"/>
      <c r="E55" s="121"/>
      <c r="F55" s="121"/>
      <c r="G55" s="121"/>
      <c r="H55" s="120"/>
      <c r="I55" s="99"/>
      <c r="J55" s="119" t="s">
        <v>114</v>
      </c>
    </row>
    <row r="56" spans="2:10">
      <c r="B56" s="78" t="s">
        <v>21</v>
      </c>
      <c r="C56" s="118" t="s">
        <v>133</v>
      </c>
      <c r="D56" s="117">
        <f t="shared" ref="D56:G60" si="1">D48</f>
        <v>1.6060129123438151E-2</v>
      </c>
      <c r="E56" s="117">
        <f t="shared" si="1"/>
        <v>3.0100334448160532E-2</v>
      </c>
      <c r="F56" s="117">
        <f t="shared" si="1"/>
        <v>3.3962264150943396E-2</v>
      </c>
      <c r="G56" s="117">
        <f t="shared" si="1"/>
        <v>3.7037037037037035E-2</v>
      </c>
      <c r="H56" s="116"/>
      <c r="I56" s="99"/>
      <c r="J56" s="74"/>
    </row>
    <row r="57" spans="2:10">
      <c r="B57" s="78" t="s">
        <v>22</v>
      </c>
      <c r="C57" s="118" t="s">
        <v>133</v>
      </c>
      <c r="D57" s="117">
        <f t="shared" si="1"/>
        <v>0</v>
      </c>
      <c r="E57" s="117">
        <f t="shared" si="1"/>
        <v>0</v>
      </c>
      <c r="F57" s="117">
        <f t="shared" si="1"/>
        <v>0</v>
      </c>
      <c r="G57" s="117">
        <f t="shared" si="1"/>
        <v>0</v>
      </c>
      <c r="H57" s="116"/>
      <c r="I57" s="99"/>
      <c r="J57" s="74"/>
    </row>
    <row r="58" spans="2:10">
      <c r="B58" s="78" t="s">
        <v>23</v>
      </c>
      <c r="C58" s="118" t="s">
        <v>133</v>
      </c>
      <c r="D58" s="117">
        <f t="shared" si="1"/>
        <v>0</v>
      </c>
      <c r="E58" s="117">
        <f t="shared" si="1"/>
        <v>0</v>
      </c>
      <c r="F58" s="117">
        <f t="shared" si="1"/>
        <v>0</v>
      </c>
      <c r="G58" s="117">
        <f t="shared" si="1"/>
        <v>0</v>
      </c>
      <c r="H58" s="116"/>
      <c r="I58" s="99"/>
      <c r="J58" s="74"/>
    </row>
    <row r="59" spans="2:10">
      <c r="B59" s="78" t="s">
        <v>115</v>
      </c>
      <c r="C59" s="118" t="s">
        <v>133</v>
      </c>
      <c r="D59" s="117">
        <f t="shared" si="1"/>
        <v>5.7816464844377344E-2</v>
      </c>
      <c r="E59" s="117">
        <f t="shared" si="1"/>
        <v>2.6755852842809364E-2</v>
      </c>
      <c r="F59" s="117">
        <f t="shared" si="1"/>
        <v>3.0188679245283019E-2</v>
      </c>
      <c r="G59" s="117">
        <f t="shared" si="1"/>
        <v>3.2921810699588473E-2</v>
      </c>
      <c r="H59" s="116"/>
      <c r="I59" s="99"/>
      <c r="J59" s="74"/>
    </row>
    <row r="60" spans="2:10">
      <c r="B60" s="78" t="s">
        <v>24</v>
      </c>
      <c r="C60" s="118" t="s">
        <v>133</v>
      </c>
      <c r="D60" s="117">
        <f t="shared" si="1"/>
        <v>1.6060129123438153E-3</v>
      </c>
      <c r="E60" s="117">
        <f t="shared" si="1"/>
        <v>1.6722408026755853E-3</v>
      </c>
      <c r="F60" s="117">
        <f t="shared" si="1"/>
        <v>1.8867924528301887E-3</v>
      </c>
      <c r="G60" s="117">
        <f t="shared" si="1"/>
        <v>2.0576131687242796E-3</v>
      </c>
      <c r="H60" s="116"/>
      <c r="I60" s="99"/>
      <c r="J60" s="74"/>
    </row>
    <row r="61" spans="2:10" ht="14.4" thickBot="1">
      <c r="B61" s="115"/>
      <c r="C61" s="114"/>
      <c r="D61" s="113"/>
      <c r="E61" s="72"/>
      <c r="F61" s="72"/>
      <c r="G61" s="72"/>
      <c r="H61" s="112"/>
      <c r="I61" s="111"/>
      <c r="J61" s="90"/>
    </row>
    <row r="62" spans="2:10">
      <c r="I62" s="69"/>
    </row>
    <row r="63" spans="2:10">
      <c r="I63" s="69"/>
    </row>
    <row r="64" spans="2:10" ht="16.2" thickBot="1">
      <c r="B64" s="89" t="s">
        <v>116</v>
      </c>
      <c r="I64" s="69"/>
    </row>
    <row r="65" spans="2:10">
      <c r="B65" s="88"/>
      <c r="C65" s="110"/>
      <c r="D65" s="85"/>
      <c r="E65" s="85"/>
      <c r="F65" s="85"/>
      <c r="G65" s="85"/>
      <c r="H65" s="85"/>
      <c r="I65" s="84" t="s">
        <v>96</v>
      </c>
      <c r="J65" s="83" t="s">
        <v>97</v>
      </c>
    </row>
    <row r="66" spans="2:10">
      <c r="B66" s="109"/>
      <c r="C66" s="108" t="s">
        <v>98</v>
      </c>
      <c r="D66" s="107">
        <v>2015</v>
      </c>
      <c r="E66" s="106">
        <v>2020</v>
      </c>
      <c r="F66" s="106">
        <v>2035</v>
      </c>
      <c r="G66" s="106">
        <v>2050</v>
      </c>
      <c r="H66" s="106"/>
      <c r="I66" s="105"/>
      <c r="J66" s="104"/>
    </row>
    <row r="67" spans="2:10">
      <c r="B67" s="78" t="s">
        <v>25</v>
      </c>
      <c r="C67" s="95" t="s">
        <v>134</v>
      </c>
      <c r="D67" s="161">
        <f>'EU Varebil benzin'!D67</f>
        <v>0.83</v>
      </c>
      <c r="E67" s="161">
        <f>'EU Varebil benzin'!E67</f>
        <v>0.8133999999999999</v>
      </c>
      <c r="F67" s="161">
        <f>'EU Varebil benzin'!F67</f>
        <v>0.77272999999999992</v>
      </c>
      <c r="G67" s="161">
        <f>'EU Varebil benzin'!G67</f>
        <v>0.73409349999999984</v>
      </c>
      <c r="H67" s="100"/>
      <c r="I67" s="79"/>
      <c r="J67" s="74" t="s">
        <v>246</v>
      </c>
    </row>
    <row r="68" spans="2:10">
      <c r="B68" s="78" t="s">
        <v>135</v>
      </c>
      <c r="C68" s="95" t="s">
        <v>134</v>
      </c>
      <c r="D68" s="103">
        <v>0.83</v>
      </c>
      <c r="E68" s="103"/>
      <c r="F68" s="103"/>
      <c r="G68" s="103"/>
      <c r="H68" s="102"/>
      <c r="I68" s="99"/>
      <c r="J68" s="74"/>
    </row>
    <row r="69" spans="2:10">
      <c r="B69" s="78" t="s">
        <v>247</v>
      </c>
      <c r="C69" s="95" t="s">
        <v>118</v>
      </c>
      <c r="D69" s="103">
        <v>1975</v>
      </c>
      <c r="E69" s="102"/>
      <c r="F69" s="102"/>
      <c r="G69" s="102"/>
      <c r="H69" s="101"/>
      <c r="I69" s="99" t="s">
        <v>643</v>
      </c>
      <c r="J69" s="74"/>
    </row>
    <row r="70" spans="2:10">
      <c r="B70" s="78" t="s">
        <v>136</v>
      </c>
      <c r="C70" s="95" t="s">
        <v>118</v>
      </c>
      <c r="D70" s="103">
        <v>1975</v>
      </c>
      <c r="E70" s="101"/>
      <c r="F70" s="101"/>
      <c r="G70" s="101"/>
      <c r="H70" s="100"/>
      <c r="I70" s="79"/>
      <c r="J70" s="74"/>
    </row>
    <row r="71" spans="2:10">
      <c r="B71" s="78" t="s">
        <v>119</v>
      </c>
      <c r="C71" s="95" t="s">
        <v>26</v>
      </c>
      <c r="D71" s="160"/>
      <c r="E71" s="103">
        <v>0.02</v>
      </c>
      <c r="F71" s="103">
        <v>0.05</v>
      </c>
      <c r="G71" s="103">
        <v>0.05</v>
      </c>
      <c r="H71" s="100"/>
      <c r="I71" s="99" t="s">
        <v>643</v>
      </c>
      <c r="J71" s="74"/>
    </row>
    <row r="72" spans="2:10">
      <c r="B72" s="78" t="s">
        <v>120</v>
      </c>
      <c r="C72" s="95" t="s">
        <v>121</v>
      </c>
      <c r="D72" s="98">
        <v>18000</v>
      </c>
      <c r="E72" s="98">
        <v>18000</v>
      </c>
      <c r="F72" s="98">
        <v>18000</v>
      </c>
      <c r="G72" s="98">
        <v>18000</v>
      </c>
      <c r="H72" s="98"/>
      <c r="I72" s="79"/>
      <c r="J72" s="74"/>
    </row>
    <row r="73" spans="2:10">
      <c r="B73" s="78" t="s">
        <v>108</v>
      </c>
      <c r="C73" s="95" t="s">
        <v>109</v>
      </c>
      <c r="D73" s="77">
        <f>+D67*D72/1000</f>
        <v>14.94</v>
      </c>
      <c r="E73" s="77">
        <f>+E67*E72/1000</f>
        <v>14.6412</v>
      </c>
      <c r="F73" s="77">
        <f>+F67*F72/1000</f>
        <v>13.909139999999997</v>
      </c>
      <c r="G73" s="77">
        <f>+G67*G72/1000</f>
        <v>13.213682999999998</v>
      </c>
      <c r="H73" s="77"/>
      <c r="I73" s="79"/>
      <c r="J73" s="74" t="s">
        <v>122</v>
      </c>
    </row>
    <row r="74" spans="2:10">
      <c r="B74" s="78" t="s">
        <v>123</v>
      </c>
      <c r="C74" s="95" t="s">
        <v>17</v>
      </c>
      <c r="D74" s="97">
        <f>D75*1000/D67</f>
        <v>337.34939759036143</v>
      </c>
      <c r="E74" s="97">
        <f>E75*1000/E67</f>
        <v>344.23407917383827</v>
      </c>
      <c r="F74" s="97">
        <f>F75*1000/F67</f>
        <v>362.35166228825079</v>
      </c>
      <c r="G74" s="97">
        <f>G75*1000/G67</f>
        <v>381.42280240868507</v>
      </c>
      <c r="H74" s="97"/>
      <c r="I74" s="79" t="s">
        <v>643</v>
      </c>
      <c r="J74" s="74"/>
    </row>
    <row r="75" spans="2:10">
      <c r="B75" s="78" t="s">
        <v>123</v>
      </c>
      <c r="C75" s="95" t="s">
        <v>36</v>
      </c>
      <c r="D75" s="96">
        <v>0.28000000000000003</v>
      </c>
      <c r="E75" s="92">
        <v>0.28000000000000003</v>
      </c>
      <c r="F75" s="92">
        <v>0.28000000000000003</v>
      </c>
      <c r="G75" s="92">
        <v>0.28000000000000003</v>
      </c>
      <c r="H75" s="92"/>
      <c r="I75" s="99" t="s">
        <v>643</v>
      </c>
      <c r="J75" s="74"/>
    </row>
    <row r="76" spans="2:10">
      <c r="B76" s="78" t="s">
        <v>124</v>
      </c>
      <c r="C76" s="95" t="s">
        <v>26</v>
      </c>
      <c r="D76" s="94"/>
      <c r="E76" s="93">
        <v>0.215</v>
      </c>
      <c r="F76" s="207">
        <v>0.3</v>
      </c>
      <c r="G76" s="207">
        <v>0.3</v>
      </c>
      <c r="H76" s="92"/>
      <c r="I76" s="75"/>
      <c r="J76" s="74"/>
    </row>
    <row r="77" spans="2:10" ht="14.4" thickBot="1">
      <c r="B77" s="73"/>
      <c r="C77" s="91"/>
      <c r="D77" s="72"/>
      <c r="E77" s="72"/>
      <c r="F77" s="72"/>
      <c r="G77" s="72"/>
      <c r="H77" s="72"/>
      <c r="I77" s="71"/>
      <c r="J77" s="90"/>
    </row>
    <row r="78" spans="2:10">
      <c r="I78" s="69"/>
    </row>
    <row r="79" spans="2:10" ht="16.2" thickBot="1">
      <c r="B79" s="89" t="s">
        <v>125</v>
      </c>
      <c r="I79" s="69"/>
    </row>
    <row r="80" spans="2:10">
      <c r="B80" s="88"/>
      <c r="C80" s="85"/>
      <c r="D80" s="87"/>
      <c r="E80" s="87"/>
      <c r="F80" s="87"/>
      <c r="G80" s="86"/>
      <c r="H80" s="85"/>
      <c r="I80" s="84"/>
      <c r="J80" s="83"/>
    </row>
    <row r="81" spans="2:10">
      <c r="B81" s="78"/>
      <c r="C81" s="77"/>
      <c r="D81" s="77"/>
      <c r="E81" s="77"/>
      <c r="F81" s="77"/>
      <c r="G81" s="77"/>
      <c r="H81" s="77"/>
      <c r="I81" s="79"/>
      <c r="J81" s="74"/>
    </row>
    <row r="82" spans="2:10">
      <c r="B82" s="78" t="s">
        <v>20</v>
      </c>
      <c r="C82" s="77" t="s">
        <v>27</v>
      </c>
      <c r="D82" s="82"/>
      <c r="E82" s="81"/>
      <c r="F82" s="81"/>
      <c r="G82" s="81"/>
      <c r="H82" s="80"/>
      <c r="I82" s="79"/>
      <c r="J82" s="74"/>
    </row>
    <row r="83" spans="2:10">
      <c r="B83" s="78" t="s">
        <v>21</v>
      </c>
      <c r="C83" s="77" t="s">
        <v>27</v>
      </c>
      <c r="D83" s="76">
        <v>0.05</v>
      </c>
      <c r="E83" s="76">
        <v>0.09</v>
      </c>
      <c r="F83" s="76">
        <v>0.09</v>
      </c>
      <c r="G83" s="76">
        <v>0.09</v>
      </c>
      <c r="H83" s="76"/>
      <c r="I83" s="99" t="s">
        <v>643</v>
      </c>
      <c r="J83" s="74"/>
    </row>
    <row r="84" spans="2:10">
      <c r="B84" s="78" t="s">
        <v>22</v>
      </c>
      <c r="C84" s="77" t="s">
        <v>27</v>
      </c>
      <c r="D84" s="76"/>
      <c r="E84" s="76"/>
      <c r="F84" s="76"/>
      <c r="G84" s="76"/>
      <c r="H84" s="76"/>
      <c r="I84" s="75"/>
      <c r="J84" s="74" t="s">
        <v>128</v>
      </c>
    </row>
    <row r="85" spans="2:10">
      <c r="B85" s="78" t="s">
        <v>23</v>
      </c>
      <c r="C85" s="77" t="s">
        <v>27</v>
      </c>
      <c r="D85" s="76"/>
      <c r="E85" s="76"/>
      <c r="F85" s="76"/>
      <c r="G85" s="76"/>
      <c r="H85" s="76"/>
      <c r="I85" s="75"/>
      <c r="J85" s="74"/>
    </row>
    <row r="86" spans="2:10">
      <c r="B86" s="78" t="s">
        <v>115</v>
      </c>
      <c r="C86" s="77" t="s">
        <v>27</v>
      </c>
      <c r="D86" s="76">
        <v>0.18</v>
      </c>
      <c r="E86" s="76">
        <v>0.08</v>
      </c>
      <c r="F86" s="76">
        <v>0.08</v>
      </c>
      <c r="G86" s="76">
        <v>0.08</v>
      </c>
      <c r="H86" s="76"/>
      <c r="I86" s="99" t="s">
        <v>643</v>
      </c>
      <c r="J86" s="74"/>
    </row>
    <row r="87" spans="2:10">
      <c r="B87" s="78" t="s">
        <v>24</v>
      </c>
      <c r="C87" s="77" t="s">
        <v>27</v>
      </c>
      <c r="D87" s="76">
        <v>5.0000000000000001E-3</v>
      </c>
      <c r="E87" s="76">
        <v>5.0000000000000001E-3</v>
      </c>
      <c r="F87" s="76">
        <v>5.0000000000000001E-3</v>
      </c>
      <c r="G87" s="76">
        <v>5.0000000000000001E-3</v>
      </c>
      <c r="H87" s="76"/>
      <c r="I87" s="99" t="s">
        <v>643</v>
      </c>
      <c r="J87" s="74"/>
    </row>
    <row r="88" spans="2:10" ht="14.4" thickBot="1">
      <c r="B88" s="73"/>
      <c r="C88" s="72"/>
      <c r="D88" s="72"/>
      <c r="E88" s="72"/>
      <c r="F88" s="72"/>
      <c r="G88" s="72"/>
      <c r="H88" s="72"/>
      <c r="I88" s="71"/>
      <c r="J88" s="70"/>
    </row>
    <row r="89" spans="2:10">
      <c r="F89" s="68"/>
      <c r="G89" s="68"/>
      <c r="I89" s="69"/>
    </row>
    <row r="90" spans="2:10">
      <c r="F90" s="68"/>
      <c r="G90" s="68"/>
      <c r="H90" s="68"/>
    </row>
    <row r="91" spans="2:10">
      <c r="F91" s="68"/>
      <c r="G91" s="68"/>
      <c r="H91" s="68"/>
    </row>
    <row r="92" spans="2:10">
      <c r="F92" s="68"/>
      <c r="G92" s="68"/>
      <c r="H92" s="68"/>
      <c r="I92" s="66"/>
    </row>
    <row r="93" spans="2:10">
      <c r="F93" s="68"/>
      <c r="G93" s="68"/>
      <c r="H93" s="68"/>
    </row>
    <row r="94" spans="2:10">
      <c r="F94" s="68"/>
      <c r="G94" s="68"/>
      <c r="H94" s="68"/>
    </row>
    <row r="95" spans="2:10">
      <c r="D95" s="67"/>
      <c r="I95" s="66"/>
    </row>
    <row r="98" spans="9:9">
      <c r="I98" s="66"/>
    </row>
    <row r="101" spans="9:9">
      <c r="I101" s="66"/>
    </row>
    <row r="102" spans="9:9">
      <c r="I102" s="66"/>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700-000000000000}">
          <x14:formula1>
            <xm:f>'C:\Users\B003920\Desktop\[Kopi af alternativ_drivmiddelmodel_3.0_2.xlsm]Sheet1'!#REF!</xm:f>
          </x14:formula1>
          <xm:sqref>C9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5">
    <tabColor rgb="FF002060"/>
  </sheetPr>
  <dimension ref="B1:S102"/>
  <sheetViews>
    <sheetView topLeftCell="B31" workbookViewId="0">
      <selection activeCell="D25" sqref="D24:G25"/>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2" width="10" style="65" customWidth="1"/>
    <col min="13" max="14" width="9" style="65" customWidth="1"/>
    <col min="15" max="15" width="37.88671875" style="65" customWidth="1"/>
    <col min="16" max="18" width="8.88671875" style="65"/>
    <col min="19" max="19" width="9.109375" style="65" customWidth="1"/>
    <col min="20" max="16384" width="8.88671875" style="65"/>
  </cols>
  <sheetData>
    <row r="1" spans="2:19" s="62" customFormat="1" ht="21">
      <c r="B1" s="62" t="s">
        <v>32</v>
      </c>
      <c r="Q1" s="62">
        <v>0</v>
      </c>
      <c r="R1" s="64">
        <v>0</v>
      </c>
      <c r="S1" s="63"/>
    </row>
    <row r="2" spans="2:19">
      <c r="R2" s="158">
        <f>R1</f>
        <v>0</v>
      </c>
      <c r="S2" s="158">
        <f>S1</f>
        <v>0</v>
      </c>
    </row>
    <row r="4" spans="2:19" ht="14.4" thickBot="1">
      <c r="B4" s="154" t="s">
        <v>91</v>
      </c>
    </row>
    <row r="5" spans="2:19">
      <c r="B5" s="157" t="s">
        <v>92</v>
      </c>
      <c r="C5" s="85"/>
      <c r="D5" s="85"/>
      <c r="E5" s="85"/>
      <c r="F5" s="85"/>
      <c r="G5" s="85"/>
      <c r="H5" s="85"/>
      <c r="I5" s="85"/>
      <c r="J5" s="85"/>
      <c r="K5" s="85"/>
      <c r="L5" s="85"/>
      <c r="M5" s="85"/>
      <c r="N5" s="83"/>
    </row>
    <row r="6" spans="2:19">
      <c r="B6" s="133" t="s">
        <v>130</v>
      </c>
      <c r="C6" s="77"/>
      <c r="D6" s="77"/>
      <c r="E6" s="77"/>
      <c r="F6" s="77"/>
      <c r="G6" s="77"/>
      <c r="H6" s="77"/>
      <c r="I6" s="77"/>
      <c r="J6" s="77"/>
      <c r="K6" s="77"/>
      <c r="L6" s="77"/>
      <c r="M6" s="77"/>
      <c r="N6" s="74"/>
    </row>
    <row r="7" spans="2:19">
      <c r="B7" s="133" t="s">
        <v>131</v>
      </c>
      <c r="C7" s="77"/>
      <c r="D7" s="77"/>
      <c r="E7" s="77"/>
      <c r="F7" s="77"/>
      <c r="G7" s="77"/>
      <c r="H7" s="77"/>
      <c r="I7" s="77"/>
      <c r="J7" s="77"/>
      <c r="K7" s="77"/>
      <c r="L7" s="77"/>
      <c r="M7" s="77"/>
      <c r="N7" s="74"/>
    </row>
    <row r="8" spans="2:19">
      <c r="B8" s="133"/>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33"/>
      <c r="C12" s="77"/>
      <c r="D12" s="77"/>
      <c r="E12" s="77"/>
      <c r="F12" s="77"/>
      <c r="G12" s="77"/>
      <c r="H12" s="77"/>
      <c r="I12" s="77"/>
      <c r="J12" s="77"/>
      <c r="K12" s="77"/>
      <c r="L12" s="77"/>
      <c r="M12" s="77"/>
      <c r="N12" s="74"/>
    </row>
    <row r="13" spans="2:19">
      <c r="B13" s="133"/>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153"/>
    </row>
    <row r="20" spans="2:14">
      <c r="B20" s="88"/>
      <c r="C20" s="110"/>
      <c r="D20" s="85"/>
      <c r="E20" s="85"/>
      <c r="F20" s="85"/>
      <c r="G20" s="85"/>
      <c r="H20" s="85"/>
      <c r="I20" s="85" t="s">
        <v>96</v>
      </c>
      <c r="J20" s="83" t="s">
        <v>97</v>
      </c>
    </row>
    <row r="21" spans="2:14">
      <c r="B21" s="109"/>
      <c r="C21" s="108" t="s">
        <v>98</v>
      </c>
      <c r="D21" s="106">
        <v>2015</v>
      </c>
      <c r="E21" s="106">
        <v>2020</v>
      </c>
      <c r="F21" s="106">
        <v>2035</v>
      </c>
      <c r="G21" s="106">
        <v>2050</v>
      </c>
      <c r="H21" s="106" t="s">
        <v>99</v>
      </c>
      <c r="I21" s="152"/>
      <c r="J21" s="104"/>
    </row>
    <row r="22" spans="2:14">
      <c r="B22" s="128" t="s">
        <v>100</v>
      </c>
      <c r="C22" s="118"/>
      <c r="D22" s="151"/>
      <c r="E22" s="151"/>
      <c r="F22" s="151"/>
      <c r="G22" s="151"/>
      <c r="H22" s="151"/>
      <c r="I22" s="77"/>
      <c r="J22" s="74"/>
    </row>
    <row r="23" spans="2:14">
      <c r="B23" s="145" t="s">
        <v>101</v>
      </c>
      <c r="C23" s="118" t="s">
        <v>132</v>
      </c>
      <c r="D23" s="150">
        <f>D67/D25</f>
        <v>0.2151652624756967</v>
      </c>
      <c r="E23" s="150">
        <f>E67/E25</f>
        <v>0.23645348837209298</v>
      </c>
      <c r="F23" s="150">
        <f>F67/F25</f>
        <v>0.2533540983606557</v>
      </c>
      <c r="G23" s="150">
        <f>G67/G25</f>
        <v>0.26217624999999994</v>
      </c>
      <c r="H23" s="147"/>
      <c r="I23" s="99" t="s">
        <v>643</v>
      </c>
      <c r="J23" s="141"/>
    </row>
    <row r="24" spans="2:14">
      <c r="B24" s="145" t="s">
        <v>102</v>
      </c>
      <c r="C24" s="118" t="s">
        <v>132</v>
      </c>
      <c r="D24" s="149">
        <f>D23</f>
        <v>0.2151652624756967</v>
      </c>
      <c r="E24" s="148">
        <f>E23</f>
        <v>0.23645348837209298</v>
      </c>
      <c r="F24" s="148">
        <f>F23</f>
        <v>0.2533540983606557</v>
      </c>
      <c r="G24" s="148">
        <f>G23</f>
        <v>0.26217624999999994</v>
      </c>
      <c r="H24" s="147"/>
      <c r="I24" s="99"/>
      <c r="J24" s="141"/>
    </row>
    <row r="25" spans="2:14">
      <c r="B25" s="145" t="s">
        <v>103</v>
      </c>
      <c r="C25" s="118" t="s">
        <v>104</v>
      </c>
      <c r="D25" s="220">
        <v>3.8574999999999999</v>
      </c>
      <c r="E25" s="219">
        <v>3.44</v>
      </c>
      <c r="F25" s="218">
        <v>3.05</v>
      </c>
      <c r="G25" s="218">
        <v>2.8</v>
      </c>
      <c r="H25" s="142"/>
      <c r="I25" s="99" t="s">
        <v>643</v>
      </c>
      <c r="J25" s="141"/>
    </row>
    <row r="26" spans="2:14">
      <c r="B26" s="145" t="s">
        <v>105</v>
      </c>
      <c r="C26" s="118" t="s">
        <v>104</v>
      </c>
      <c r="D26" s="164"/>
      <c r="E26" s="163"/>
      <c r="F26" s="163"/>
      <c r="G26" s="163"/>
      <c r="H26" s="142"/>
      <c r="I26" s="99"/>
      <c r="J26" s="141"/>
    </row>
    <row r="27" spans="2:14">
      <c r="B27" s="133" t="s">
        <v>106</v>
      </c>
      <c r="C27" s="118" t="s">
        <v>107</v>
      </c>
      <c r="D27" s="217">
        <v>16.3</v>
      </c>
      <c r="E27" s="150">
        <v>16.3</v>
      </c>
      <c r="F27" s="150">
        <v>16.3</v>
      </c>
      <c r="G27" s="150">
        <v>16.3</v>
      </c>
      <c r="H27" s="125"/>
      <c r="I27" s="75" t="s">
        <v>615</v>
      </c>
      <c r="J27" s="74"/>
    </row>
    <row r="28" spans="2:14">
      <c r="B28" s="133" t="s">
        <v>108</v>
      </c>
      <c r="C28" s="118" t="s">
        <v>109</v>
      </c>
      <c r="D28" s="216">
        <f>+D73</f>
        <v>14.94</v>
      </c>
      <c r="E28" s="216">
        <f>+E73</f>
        <v>14.6412</v>
      </c>
      <c r="F28" s="216">
        <f>+F73</f>
        <v>13.909139999999997</v>
      </c>
      <c r="G28" s="216">
        <f>+G73</f>
        <v>13.213682999999998</v>
      </c>
      <c r="H28" s="138"/>
      <c r="I28" s="99"/>
      <c r="J28" s="74"/>
    </row>
    <row r="29" spans="2:14">
      <c r="B29" s="78"/>
      <c r="C29" s="137"/>
      <c r="D29" s="98"/>
      <c r="E29" s="98"/>
      <c r="F29" s="98"/>
      <c r="G29" s="98"/>
      <c r="H29" s="98"/>
      <c r="I29" s="79"/>
      <c r="J29" s="74"/>
    </row>
    <row r="30" spans="2:14">
      <c r="B30" s="128" t="s">
        <v>110</v>
      </c>
      <c r="C30" s="118"/>
      <c r="D30" s="98"/>
      <c r="E30" s="98"/>
      <c r="F30" s="98"/>
      <c r="G30" s="98"/>
      <c r="H30" s="98"/>
      <c r="I30" s="79"/>
      <c r="J30" s="74"/>
    </row>
    <row r="31" spans="2:14">
      <c r="B31" s="133" t="s">
        <v>111</v>
      </c>
      <c r="C31" s="118" t="s">
        <v>15</v>
      </c>
      <c r="D31" s="136">
        <v>211980</v>
      </c>
      <c r="E31" s="136">
        <v>216118</v>
      </c>
      <c r="F31" s="136">
        <v>224351</v>
      </c>
      <c r="G31" s="136">
        <v>224457</v>
      </c>
      <c r="H31" s="135">
        <v>2015</v>
      </c>
      <c r="I31" s="79"/>
      <c r="J31" s="74"/>
    </row>
    <row r="32" spans="2:14">
      <c r="B32" s="78" t="s">
        <v>16</v>
      </c>
      <c r="C32" s="118" t="s">
        <v>17</v>
      </c>
      <c r="D32" s="136">
        <v>1630.657502327238</v>
      </c>
      <c r="E32" s="136">
        <v>1689.6977491173079</v>
      </c>
      <c r="F32" s="136">
        <v>1832.5822030868078</v>
      </c>
      <c r="G32" s="136">
        <v>1929.7651038917313</v>
      </c>
      <c r="H32" s="135">
        <v>2015</v>
      </c>
      <c r="I32" s="79"/>
      <c r="J32" s="74"/>
    </row>
    <row r="33" spans="2:10">
      <c r="B33" s="129" t="s">
        <v>18</v>
      </c>
      <c r="C33" s="118" t="s">
        <v>17</v>
      </c>
      <c r="D33" s="136">
        <v>1293.3081047368767</v>
      </c>
      <c r="E33" s="136">
        <v>1345.4636699434698</v>
      </c>
      <c r="F33" s="136">
        <v>1470.2305407985571</v>
      </c>
      <c r="G33" s="136">
        <v>1548.3423014830462</v>
      </c>
      <c r="H33" s="135">
        <v>2015</v>
      </c>
      <c r="I33" s="79"/>
      <c r="J33" s="74"/>
    </row>
    <row r="34" spans="2:10">
      <c r="B34" s="129" t="s">
        <v>19</v>
      </c>
      <c r="C34" s="118" t="s">
        <v>17</v>
      </c>
      <c r="D34" s="136">
        <v>337.34939759036143</v>
      </c>
      <c r="E34" s="136">
        <v>344.23407917383827</v>
      </c>
      <c r="F34" s="136">
        <v>362.35166228825079</v>
      </c>
      <c r="G34" s="136">
        <v>381.42280240868507</v>
      </c>
      <c r="H34" s="135">
        <v>2015</v>
      </c>
      <c r="I34" s="79"/>
      <c r="J34" s="74"/>
    </row>
    <row r="35" spans="2:10">
      <c r="B35" s="129"/>
      <c r="C35" s="118"/>
      <c r="D35" s="136"/>
      <c r="E35" s="136"/>
      <c r="F35" s="136"/>
      <c r="G35" s="136"/>
      <c r="H35" s="135"/>
      <c r="I35" s="79"/>
      <c r="J35" s="74"/>
    </row>
    <row r="36" spans="2:10">
      <c r="B36" s="129" t="s">
        <v>112</v>
      </c>
      <c r="C36" s="118" t="s">
        <v>17</v>
      </c>
      <c r="D36" s="136">
        <v>0</v>
      </c>
      <c r="E36" s="136">
        <v>0</v>
      </c>
      <c r="F36" s="136">
        <v>0</v>
      </c>
      <c r="G36" s="136">
        <v>0</v>
      </c>
      <c r="H36" s="135">
        <v>2015</v>
      </c>
      <c r="I36" s="79"/>
      <c r="J36" s="74"/>
    </row>
    <row r="37" spans="2:10">
      <c r="B37" s="128"/>
      <c r="C37" s="118"/>
      <c r="D37" s="134"/>
      <c r="E37" s="98"/>
      <c r="F37" s="98"/>
      <c r="G37" s="98"/>
      <c r="H37" s="98"/>
      <c r="I37" s="79"/>
      <c r="J37" s="74"/>
    </row>
    <row r="38" spans="2:10">
      <c r="B38" s="133" t="s">
        <v>111</v>
      </c>
      <c r="C38" s="118" t="s">
        <v>15</v>
      </c>
      <c r="D38" s="127">
        <v>211980</v>
      </c>
      <c r="E38" s="127">
        <v>216118</v>
      </c>
      <c r="F38" s="127">
        <v>224351</v>
      </c>
      <c r="G38" s="127">
        <v>224457</v>
      </c>
      <c r="H38" s="130">
        <v>2015</v>
      </c>
      <c r="I38" s="99" t="s">
        <v>614</v>
      </c>
      <c r="J38" s="74"/>
    </row>
    <row r="39" spans="2:10">
      <c r="B39" s="78" t="s">
        <v>16</v>
      </c>
      <c r="C39" s="118" t="s">
        <v>17</v>
      </c>
      <c r="D39" s="126">
        <f>+SUM(D40:D43)</f>
        <v>1630.657502327238</v>
      </c>
      <c r="E39" s="126">
        <f>+SUM(E40:E43)</f>
        <v>1689.6977491173079</v>
      </c>
      <c r="F39" s="126">
        <f>+SUM(F40:F43)</f>
        <v>1832.5822030868078</v>
      </c>
      <c r="G39" s="126">
        <f>+SUM(G40:G43)</f>
        <v>1929.7651038917313</v>
      </c>
      <c r="H39" s="130">
        <v>2015</v>
      </c>
      <c r="I39" s="99"/>
      <c r="J39" s="74"/>
    </row>
    <row r="40" spans="2:10">
      <c r="B40" s="129" t="s">
        <v>18</v>
      </c>
      <c r="C40" s="118" t="s">
        <v>17</v>
      </c>
      <c r="D40" s="126">
        <v>1293.3081047368767</v>
      </c>
      <c r="E40" s="126">
        <v>1345.4636699434698</v>
      </c>
      <c r="F40" s="126">
        <v>1470.2305407985571</v>
      </c>
      <c r="G40" s="126">
        <v>1548.3423014830462</v>
      </c>
      <c r="H40" s="130">
        <v>2015</v>
      </c>
      <c r="I40" s="99"/>
      <c r="J40" s="215"/>
    </row>
    <row r="41" spans="2:10">
      <c r="B41" s="129" t="s">
        <v>19</v>
      </c>
      <c r="C41" s="118" t="s">
        <v>17</v>
      </c>
      <c r="D41" s="131">
        <f>+D74</f>
        <v>337.34939759036143</v>
      </c>
      <c r="E41" s="131">
        <f>+E74</f>
        <v>344.23407917383827</v>
      </c>
      <c r="F41" s="131">
        <f>+F74</f>
        <v>362.35166228825079</v>
      </c>
      <c r="G41" s="131">
        <f>+G74</f>
        <v>381.42280240868507</v>
      </c>
      <c r="H41" s="130">
        <v>2015</v>
      </c>
      <c r="I41" s="99"/>
      <c r="J41" s="74"/>
    </row>
    <row r="42" spans="2:10">
      <c r="B42" s="129"/>
      <c r="C42" s="118"/>
      <c r="D42" s="98"/>
      <c r="E42" s="98"/>
      <c r="F42" s="98"/>
      <c r="G42" s="98"/>
      <c r="H42" s="130"/>
      <c r="I42" s="99"/>
      <c r="J42" s="74"/>
    </row>
    <row r="43" spans="2:10">
      <c r="B43" s="129" t="s">
        <v>112</v>
      </c>
      <c r="C43" s="118" t="s">
        <v>17</v>
      </c>
      <c r="D43" s="125">
        <v>0</v>
      </c>
      <c r="E43" s="125">
        <v>0</v>
      </c>
      <c r="F43" s="125">
        <v>0</v>
      </c>
      <c r="G43" s="125">
        <v>0</v>
      </c>
      <c r="H43" s="130">
        <v>2015</v>
      </c>
      <c r="I43" s="99"/>
      <c r="J43" s="74"/>
    </row>
    <row r="44" spans="2:10">
      <c r="B44" s="129"/>
      <c r="C44" s="118"/>
      <c r="D44" s="98"/>
      <c r="E44" s="122"/>
      <c r="F44" s="122"/>
      <c r="G44" s="122"/>
      <c r="H44" s="98"/>
      <c r="I44" s="99"/>
      <c r="J44" s="74"/>
    </row>
    <row r="45" spans="2:10">
      <c r="B45" s="128" t="s">
        <v>113</v>
      </c>
      <c r="C45" s="118"/>
      <c r="D45" s="98"/>
      <c r="E45" s="122"/>
      <c r="F45" s="122"/>
      <c r="G45" s="122"/>
      <c r="H45" s="127"/>
      <c r="I45" s="99"/>
      <c r="J45" s="74"/>
    </row>
    <row r="46" spans="2:10">
      <c r="B46" s="123" t="s">
        <v>30</v>
      </c>
      <c r="C46" s="118"/>
      <c r="D46" s="98"/>
      <c r="E46" s="122"/>
      <c r="F46" s="122"/>
      <c r="G46" s="122"/>
      <c r="H46" s="126"/>
      <c r="I46" s="99"/>
      <c r="J46" s="74"/>
    </row>
    <row r="47" spans="2:10">
      <c r="B47" s="78" t="s">
        <v>20</v>
      </c>
      <c r="C47" s="118" t="s">
        <v>133</v>
      </c>
      <c r="D47" s="121"/>
      <c r="E47" s="121"/>
      <c r="F47" s="121"/>
      <c r="G47" s="121"/>
      <c r="H47" s="126"/>
      <c r="I47" s="99"/>
      <c r="J47" s="119" t="s">
        <v>114</v>
      </c>
    </row>
    <row r="48" spans="2:10">
      <c r="B48" s="78" t="s">
        <v>21</v>
      </c>
      <c r="C48" s="118" t="s">
        <v>133</v>
      </c>
      <c r="D48" s="124">
        <f t="shared" ref="D48:G52" si="0">D83/D$25</f>
        <v>2.2216461438755671E-2</v>
      </c>
      <c r="E48" s="124">
        <f t="shared" si="0"/>
        <v>2.4912790697674419E-2</v>
      </c>
      <c r="F48" s="124">
        <f t="shared" si="0"/>
        <v>2.8098360655737706E-2</v>
      </c>
      <c r="G48" s="124">
        <f t="shared" si="0"/>
        <v>3.0607142857142857E-2</v>
      </c>
      <c r="H48" s="120"/>
      <c r="I48" s="99"/>
      <c r="J48" s="74"/>
    </row>
    <row r="49" spans="2:10">
      <c r="B49" s="78" t="s">
        <v>22</v>
      </c>
      <c r="C49" s="118" t="s">
        <v>133</v>
      </c>
      <c r="D49" s="124">
        <f t="shared" si="0"/>
        <v>0</v>
      </c>
      <c r="E49" s="124">
        <f t="shared" si="0"/>
        <v>0</v>
      </c>
      <c r="F49" s="124">
        <f t="shared" si="0"/>
        <v>0</v>
      </c>
      <c r="G49" s="124">
        <f t="shared" si="0"/>
        <v>0</v>
      </c>
      <c r="H49" s="98"/>
      <c r="I49" s="99"/>
      <c r="J49" s="74"/>
    </row>
    <row r="50" spans="2:10">
      <c r="B50" s="78" t="s">
        <v>23</v>
      </c>
      <c r="C50" s="118" t="s">
        <v>133</v>
      </c>
      <c r="D50" s="124">
        <f t="shared" si="0"/>
        <v>0</v>
      </c>
      <c r="E50" s="124">
        <f t="shared" si="0"/>
        <v>0</v>
      </c>
      <c r="F50" s="124">
        <f t="shared" si="0"/>
        <v>0</v>
      </c>
      <c r="G50" s="124">
        <f t="shared" si="0"/>
        <v>0</v>
      </c>
      <c r="H50" s="125"/>
      <c r="I50" s="99"/>
      <c r="J50" s="74"/>
    </row>
    <row r="51" spans="2:10">
      <c r="B51" s="78" t="s">
        <v>115</v>
      </c>
      <c r="C51" s="118" t="s">
        <v>133</v>
      </c>
      <c r="D51" s="124">
        <f t="shared" si="0"/>
        <v>1.5554115359688918E-2</v>
      </c>
      <c r="E51" s="124">
        <f t="shared" si="0"/>
        <v>1.7441860465116279E-2</v>
      </c>
      <c r="F51" s="124">
        <f t="shared" si="0"/>
        <v>1.9672131147540985E-2</v>
      </c>
      <c r="G51" s="124">
        <f t="shared" si="0"/>
        <v>2.1428571428571429E-2</v>
      </c>
      <c r="H51" s="98"/>
      <c r="I51" s="99"/>
      <c r="J51" s="74"/>
    </row>
    <row r="52" spans="2:10">
      <c r="B52" s="78" t="s">
        <v>24</v>
      </c>
      <c r="C52" s="118" t="s">
        <v>133</v>
      </c>
      <c r="D52" s="124">
        <f t="shared" si="0"/>
        <v>1.2961762799740765E-3</v>
      </c>
      <c r="E52" s="124">
        <f t="shared" si="0"/>
        <v>1.4534883720930232E-3</v>
      </c>
      <c r="F52" s="124">
        <f t="shared" si="0"/>
        <v>1.6393442622950822E-3</v>
      </c>
      <c r="G52" s="124">
        <f t="shared" si="0"/>
        <v>1.7857142857142859E-3</v>
      </c>
      <c r="H52" s="98"/>
      <c r="I52" s="99"/>
      <c r="J52" s="74"/>
    </row>
    <row r="53" spans="2:10">
      <c r="B53" s="78"/>
      <c r="C53" s="118"/>
      <c r="D53" s="122"/>
      <c r="E53" s="77"/>
      <c r="F53" s="77"/>
      <c r="G53" s="77"/>
      <c r="H53" s="98"/>
      <c r="I53" s="99"/>
      <c r="J53" s="74"/>
    </row>
    <row r="54" spans="2:10">
      <c r="B54" s="123" t="s">
        <v>31</v>
      </c>
      <c r="C54" s="118"/>
      <c r="D54" s="98"/>
      <c r="E54" s="122"/>
      <c r="F54" s="122"/>
      <c r="G54" s="122"/>
      <c r="H54" s="120"/>
      <c r="I54" s="99"/>
      <c r="J54" s="74"/>
    </row>
    <row r="55" spans="2:10">
      <c r="B55" s="78" t="s">
        <v>20</v>
      </c>
      <c r="C55" s="118" t="s">
        <v>133</v>
      </c>
      <c r="D55" s="121"/>
      <c r="E55" s="121"/>
      <c r="F55" s="121"/>
      <c r="G55" s="121"/>
      <c r="H55" s="120"/>
      <c r="I55" s="99"/>
      <c r="J55" s="119" t="s">
        <v>114</v>
      </c>
    </row>
    <row r="56" spans="2:10">
      <c r="B56" s="78" t="s">
        <v>21</v>
      </c>
      <c r="C56" s="118" t="s">
        <v>133</v>
      </c>
      <c r="D56" s="117">
        <f t="shared" ref="D56:G60" si="1">D48</f>
        <v>2.2216461438755671E-2</v>
      </c>
      <c r="E56" s="117">
        <f t="shared" si="1"/>
        <v>2.4912790697674419E-2</v>
      </c>
      <c r="F56" s="117">
        <f t="shared" si="1"/>
        <v>2.8098360655737706E-2</v>
      </c>
      <c r="G56" s="117">
        <f t="shared" si="1"/>
        <v>3.0607142857142857E-2</v>
      </c>
      <c r="H56" s="116"/>
      <c r="I56" s="99"/>
      <c r="J56" s="74"/>
    </row>
    <row r="57" spans="2:10">
      <c r="B57" s="78" t="s">
        <v>22</v>
      </c>
      <c r="C57" s="118" t="s">
        <v>133</v>
      </c>
      <c r="D57" s="117">
        <f t="shared" si="1"/>
        <v>0</v>
      </c>
      <c r="E57" s="117">
        <f t="shared" si="1"/>
        <v>0</v>
      </c>
      <c r="F57" s="117">
        <f t="shared" si="1"/>
        <v>0</v>
      </c>
      <c r="G57" s="117">
        <f t="shared" si="1"/>
        <v>0</v>
      </c>
      <c r="H57" s="116"/>
      <c r="I57" s="99"/>
      <c r="J57" s="74"/>
    </row>
    <row r="58" spans="2:10">
      <c r="B58" s="78" t="s">
        <v>23</v>
      </c>
      <c r="C58" s="118" t="s">
        <v>133</v>
      </c>
      <c r="D58" s="117">
        <f t="shared" si="1"/>
        <v>0</v>
      </c>
      <c r="E58" s="117">
        <f t="shared" si="1"/>
        <v>0</v>
      </c>
      <c r="F58" s="117">
        <f t="shared" si="1"/>
        <v>0</v>
      </c>
      <c r="G58" s="117">
        <f t="shared" si="1"/>
        <v>0</v>
      </c>
      <c r="H58" s="116"/>
      <c r="I58" s="99"/>
      <c r="J58" s="74"/>
    </row>
    <row r="59" spans="2:10">
      <c r="B59" s="78" t="s">
        <v>115</v>
      </c>
      <c r="C59" s="118" t="s">
        <v>133</v>
      </c>
      <c r="D59" s="117">
        <f t="shared" si="1"/>
        <v>1.5554115359688918E-2</v>
      </c>
      <c r="E59" s="117">
        <f t="shared" si="1"/>
        <v>1.7441860465116279E-2</v>
      </c>
      <c r="F59" s="117">
        <f t="shared" si="1"/>
        <v>1.9672131147540985E-2</v>
      </c>
      <c r="G59" s="117">
        <f t="shared" si="1"/>
        <v>2.1428571428571429E-2</v>
      </c>
      <c r="H59" s="116"/>
      <c r="I59" s="99"/>
      <c r="J59" s="74"/>
    </row>
    <row r="60" spans="2:10">
      <c r="B60" s="78" t="s">
        <v>24</v>
      </c>
      <c r="C60" s="118" t="s">
        <v>133</v>
      </c>
      <c r="D60" s="117">
        <f t="shared" si="1"/>
        <v>1.2961762799740765E-3</v>
      </c>
      <c r="E60" s="117">
        <f t="shared" si="1"/>
        <v>1.4534883720930232E-3</v>
      </c>
      <c r="F60" s="117">
        <f t="shared" si="1"/>
        <v>1.6393442622950822E-3</v>
      </c>
      <c r="G60" s="117">
        <f t="shared" si="1"/>
        <v>1.7857142857142859E-3</v>
      </c>
      <c r="H60" s="116"/>
      <c r="I60" s="99"/>
      <c r="J60" s="74"/>
    </row>
    <row r="61" spans="2:10" ht="14.4" thickBot="1">
      <c r="B61" s="115"/>
      <c r="C61" s="114"/>
      <c r="D61" s="113"/>
      <c r="E61" s="72"/>
      <c r="F61" s="72"/>
      <c r="G61" s="72"/>
      <c r="H61" s="112"/>
      <c r="I61" s="111"/>
      <c r="J61" s="90"/>
    </row>
    <row r="62" spans="2:10">
      <c r="I62" s="69"/>
    </row>
    <row r="63" spans="2:10">
      <c r="I63" s="69"/>
    </row>
    <row r="64" spans="2:10" ht="16.2" thickBot="1">
      <c r="B64" s="89" t="s">
        <v>116</v>
      </c>
      <c r="I64" s="69"/>
    </row>
    <row r="65" spans="2:10">
      <c r="B65" s="88"/>
      <c r="C65" s="110"/>
      <c r="D65" s="85"/>
      <c r="E65" s="85"/>
      <c r="F65" s="85"/>
      <c r="G65" s="85"/>
      <c r="H65" s="85"/>
      <c r="I65" s="84" t="s">
        <v>96</v>
      </c>
      <c r="J65" s="83" t="s">
        <v>97</v>
      </c>
    </row>
    <row r="66" spans="2:10">
      <c r="B66" s="109"/>
      <c r="C66" s="108" t="s">
        <v>98</v>
      </c>
      <c r="D66" s="107">
        <v>2015</v>
      </c>
      <c r="E66" s="106">
        <v>2020</v>
      </c>
      <c r="F66" s="106">
        <v>2035</v>
      </c>
      <c r="G66" s="106">
        <v>2050</v>
      </c>
      <c r="H66" s="106"/>
      <c r="I66" s="105"/>
      <c r="J66" s="104"/>
    </row>
    <row r="67" spans="2:10">
      <c r="B67" s="78" t="s">
        <v>25</v>
      </c>
      <c r="C67" s="95" t="s">
        <v>134</v>
      </c>
      <c r="D67" s="161">
        <f>'EU Varebil benzin'!D67</f>
        <v>0.83</v>
      </c>
      <c r="E67" s="161">
        <f>'EU Varebil benzin'!E67</f>
        <v>0.8133999999999999</v>
      </c>
      <c r="F67" s="161">
        <f>'EU Varebil benzin'!F67</f>
        <v>0.77272999999999992</v>
      </c>
      <c r="G67" s="161">
        <f>'EU Varebil benzin'!G67</f>
        <v>0.73409349999999984</v>
      </c>
      <c r="H67" s="100"/>
      <c r="I67" s="79"/>
      <c r="J67" s="74" t="s">
        <v>246</v>
      </c>
    </row>
    <row r="68" spans="2:10">
      <c r="B68" s="78" t="s">
        <v>135</v>
      </c>
      <c r="C68" s="95" t="s">
        <v>134</v>
      </c>
      <c r="D68" s="103">
        <f>'EU varebil diesel'!D67</f>
        <v>0.83</v>
      </c>
      <c r="E68" s="103"/>
      <c r="F68" s="103"/>
      <c r="G68" s="103"/>
      <c r="H68" s="102"/>
      <c r="I68" s="99" t="s">
        <v>643</v>
      </c>
      <c r="J68" s="74"/>
    </row>
    <row r="69" spans="2:10">
      <c r="B69" s="78" t="s">
        <v>117</v>
      </c>
      <c r="C69" s="95" t="s">
        <v>118</v>
      </c>
      <c r="D69" s="103">
        <v>1975</v>
      </c>
      <c r="E69" s="102"/>
      <c r="F69" s="102"/>
      <c r="G69" s="102"/>
      <c r="H69" s="101"/>
      <c r="I69" s="79"/>
      <c r="J69" s="74"/>
    </row>
    <row r="70" spans="2:10">
      <c r="B70" s="78" t="s">
        <v>136</v>
      </c>
      <c r="C70" s="95" t="s">
        <v>118</v>
      </c>
      <c r="D70" s="103">
        <v>1975</v>
      </c>
      <c r="E70" s="101"/>
      <c r="F70" s="101"/>
      <c r="G70" s="101"/>
      <c r="H70" s="100"/>
      <c r="I70" s="99" t="s">
        <v>643</v>
      </c>
      <c r="J70" s="74"/>
    </row>
    <row r="71" spans="2:10">
      <c r="B71" s="78" t="s">
        <v>119</v>
      </c>
      <c r="C71" s="95" t="s">
        <v>26</v>
      </c>
      <c r="D71" s="160"/>
      <c r="E71" s="103">
        <v>0.02</v>
      </c>
      <c r="F71" s="103">
        <v>0.05</v>
      </c>
      <c r="G71" s="103">
        <v>0.05</v>
      </c>
      <c r="H71" s="100"/>
      <c r="I71" s="99"/>
      <c r="J71" s="74"/>
    </row>
    <row r="72" spans="2:10">
      <c r="B72" s="78" t="s">
        <v>120</v>
      </c>
      <c r="C72" s="95" t="s">
        <v>121</v>
      </c>
      <c r="D72" s="98">
        <v>18000</v>
      </c>
      <c r="E72" s="98">
        <v>18000</v>
      </c>
      <c r="F72" s="98">
        <v>18000</v>
      </c>
      <c r="G72" s="98">
        <v>18000</v>
      </c>
      <c r="H72" s="98"/>
      <c r="I72" s="79"/>
      <c r="J72" s="74"/>
    </row>
    <row r="73" spans="2:10">
      <c r="B73" s="78" t="s">
        <v>108</v>
      </c>
      <c r="C73" s="95" t="s">
        <v>109</v>
      </c>
      <c r="D73" s="77">
        <f>+D67*D72/1000</f>
        <v>14.94</v>
      </c>
      <c r="E73" s="77">
        <f>+E67*E72/1000</f>
        <v>14.6412</v>
      </c>
      <c r="F73" s="77">
        <f>+F67*F72/1000</f>
        <v>13.909139999999997</v>
      </c>
      <c r="G73" s="77">
        <f>+G67*G72/1000</f>
        <v>13.213682999999998</v>
      </c>
      <c r="H73" s="77"/>
      <c r="I73" s="79"/>
      <c r="J73" s="74" t="s">
        <v>122</v>
      </c>
    </row>
    <row r="74" spans="2:10">
      <c r="B74" s="78" t="s">
        <v>123</v>
      </c>
      <c r="C74" s="95" t="s">
        <v>17</v>
      </c>
      <c r="D74" s="97">
        <f>D75*1000/D67</f>
        <v>337.34939759036143</v>
      </c>
      <c r="E74" s="97">
        <f>E75*1000/E67</f>
        <v>344.23407917383827</v>
      </c>
      <c r="F74" s="97">
        <f>F75*1000/F67</f>
        <v>362.35166228825079</v>
      </c>
      <c r="G74" s="97">
        <f>G75*1000/G67</f>
        <v>381.42280240868507</v>
      </c>
      <c r="H74" s="97"/>
      <c r="I74" s="79"/>
      <c r="J74" s="74" t="s">
        <v>137</v>
      </c>
    </row>
    <row r="75" spans="2:10">
      <c r="B75" s="78" t="s">
        <v>123</v>
      </c>
      <c r="C75" s="95" t="s">
        <v>36</v>
      </c>
      <c r="D75" s="96">
        <f>'EU varebil diesel'!D75</f>
        <v>0.28000000000000003</v>
      </c>
      <c r="E75" s="96">
        <f>'EU varebil diesel'!E75</f>
        <v>0.28000000000000003</v>
      </c>
      <c r="F75" s="96">
        <f>'EU varebil diesel'!F75</f>
        <v>0.28000000000000003</v>
      </c>
      <c r="G75" s="96">
        <f>'EU varebil diesel'!G75</f>
        <v>0.28000000000000003</v>
      </c>
      <c r="H75" s="92"/>
      <c r="I75" s="75" t="s">
        <v>616</v>
      </c>
      <c r="J75" s="74"/>
    </row>
    <row r="76" spans="2:10">
      <c r="B76" s="78" t="s">
        <v>124</v>
      </c>
      <c r="C76" s="95" t="s">
        <v>26</v>
      </c>
      <c r="D76" s="94"/>
      <c r="E76" s="93">
        <v>0.215</v>
      </c>
      <c r="F76" s="207">
        <v>0.3</v>
      </c>
      <c r="G76" s="207">
        <v>0.3</v>
      </c>
      <c r="H76" s="92"/>
      <c r="I76" s="75" t="s">
        <v>617</v>
      </c>
      <c r="J76" s="74"/>
    </row>
    <row r="77" spans="2:10" ht="14.4" thickBot="1">
      <c r="B77" s="73"/>
      <c r="C77" s="91"/>
      <c r="D77" s="72"/>
      <c r="E77" s="72"/>
      <c r="F77" s="72"/>
      <c r="G77" s="72"/>
      <c r="H77" s="72"/>
      <c r="I77" s="71"/>
      <c r="J77" s="90"/>
    </row>
    <row r="78" spans="2:10">
      <c r="I78" s="69"/>
    </row>
    <row r="79" spans="2:10" ht="16.2" thickBot="1">
      <c r="B79" s="89" t="s">
        <v>125</v>
      </c>
      <c r="I79" s="69"/>
    </row>
    <row r="80" spans="2:10">
      <c r="B80" s="88"/>
      <c r="C80" s="85"/>
      <c r="D80" s="87"/>
      <c r="E80" s="87"/>
      <c r="F80" s="87"/>
      <c r="G80" s="86"/>
      <c r="H80" s="85"/>
      <c r="I80" s="84"/>
      <c r="J80" s="83"/>
    </row>
    <row r="81" spans="2:10">
      <c r="B81" s="78"/>
      <c r="C81" s="77"/>
      <c r="D81" s="77"/>
      <c r="E81" s="77"/>
      <c r="F81" s="77"/>
      <c r="G81" s="77"/>
      <c r="H81" s="77"/>
      <c r="I81" s="79"/>
      <c r="J81" s="74"/>
    </row>
    <row r="82" spans="2:10">
      <c r="B82" s="78" t="s">
        <v>20</v>
      </c>
      <c r="C82" s="77" t="s">
        <v>27</v>
      </c>
      <c r="D82" s="82"/>
      <c r="E82" s="81"/>
      <c r="F82" s="81"/>
      <c r="G82" s="81"/>
      <c r="H82" s="80"/>
      <c r="I82" s="79"/>
      <c r="J82" s="74" t="s">
        <v>126</v>
      </c>
    </row>
    <row r="83" spans="2:10">
      <c r="B83" s="78" t="s">
        <v>21</v>
      </c>
      <c r="C83" s="77" t="s">
        <v>27</v>
      </c>
      <c r="D83" s="76">
        <v>8.5699999999999998E-2</v>
      </c>
      <c r="E83" s="76">
        <v>8.5699999999999998E-2</v>
      </c>
      <c r="F83" s="76">
        <v>8.5699999999999998E-2</v>
      </c>
      <c r="G83" s="76">
        <v>8.5699999999999998E-2</v>
      </c>
      <c r="H83" s="76"/>
      <c r="I83" s="75" t="s">
        <v>617</v>
      </c>
      <c r="J83" s="74" t="s">
        <v>127</v>
      </c>
    </row>
    <row r="84" spans="2:10">
      <c r="B84" s="78" t="s">
        <v>22</v>
      </c>
      <c r="C84" s="77" t="s">
        <v>27</v>
      </c>
      <c r="D84" s="76"/>
      <c r="E84" s="76"/>
      <c r="F84" s="76"/>
      <c r="G84" s="76"/>
      <c r="H84" s="76"/>
      <c r="I84" s="75" t="s">
        <v>617</v>
      </c>
      <c r="J84" s="74" t="s">
        <v>128</v>
      </c>
    </row>
    <row r="85" spans="2:10">
      <c r="B85" s="78" t="s">
        <v>23</v>
      </c>
      <c r="C85" s="77" t="s">
        <v>27</v>
      </c>
      <c r="D85" s="76"/>
      <c r="E85" s="76"/>
      <c r="F85" s="76"/>
      <c r="G85" s="76"/>
      <c r="H85" s="76"/>
      <c r="I85" s="75" t="s">
        <v>617</v>
      </c>
      <c r="J85" s="74" t="s">
        <v>129</v>
      </c>
    </row>
    <row r="86" spans="2:10">
      <c r="B86" s="78" t="s">
        <v>115</v>
      </c>
      <c r="C86" s="77" t="s">
        <v>27</v>
      </c>
      <c r="D86" s="76">
        <v>0.06</v>
      </c>
      <c r="E86" s="76">
        <v>0.06</v>
      </c>
      <c r="F86" s="76">
        <v>0.06</v>
      </c>
      <c r="G86" s="76">
        <v>0.06</v>
      </c>
      <c r="H86" s="76"/>
      <c r="I86" s="75" t="s">
        <v>617</v>
      </c>
      <c r="J86" s="74"/>
    </row>
    <row r="87" spans="2:10">
      <c r="B87" s="78" t="s">
        <v>24</v>
      </c>
      <c r="C87" s="77" t="s">
        <v>27</v>
      </c>
      <c r="D87" s="76">
        <v>5.0000000000000001E-3</v>
      </c>
      <c r="E87" s="76">
        <v>5.0000000000000001E-3</v>
      </c>
      <c r="F87" s="76">
        <v>5.0000000000000001E-3</v>
      </c>
      <c r="G87" s="76">
        <v>5.0000000000000001E-3</v>
      </c>
      <c r="H87" s="76"/>
      <c r="I87" s="75" t="s">
        <v>617</v>
      </c>
      <c r="J87" s="74"/>
    </row>
    <row r="88" spans="2:10" ht="14.4" thickBot="1">
      <c r="B88" s="73"/>
      <c r="C88" s="72"/>
      <c r="D88" s="72"/>
      <c r="E88" s="72"/>
      <c r="F88" s="72"/>
      <c r="G88" s="72"/>
      <c r="H88" s="72"/>
      <c r="I88" s="71"/>
      <c r="J88" s="70"/>
    </row>
    <row r="89" spans="2:10">
      <c r="F89" s="68"/>
      <c r="G89" s="68"/>
      <c r="I89" s="69"/>
    </row>
    <row r="90" spans="2:10">
      <c r="F90" s="68"/>
      <c r="G90" s="68"/>
      <c r="H90" s="68"/>
    </row>
    <row r="91" spans="2:10">
      <c r="F91" s="68"/>
      <c r="G91" s="68"/>
      <c r="H91" s="68"/>
    </row>
    <row r="92" spans="2:10">
      <c r="F92" s="68"/>
      <c r="G92" s="68"/>
      <c r="H92" s="68"/>
      <c r="I92" s="66"/>
    </row>
    <row r="93" spans="2:10">
      <c r="F93" s="68"/>
      <c r="G93" s="68"/>
      <c r="H93" s="68"/>
    </row>
    <row r="94" spans="2:10">
      <c r="F94" s="68"/>
      <c r="G94" s="68"/>
      <c r="H94" s="68"/>
    </row>
    <row r="95" spans="2:10">
      <c r="D95" s="67"/>
      <c r="I95" s="66"/>
    </row>
    <row r="98" spans="9:9">
      <c r="I98" s="66"/>
    </row>
    <row r="101" spans="9:9">
      <c r="I101" s="66"/>
    </row>
    <row r="102" spans="9:9">
      <c r="I102" s="66"/>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'C:\Users\B003920\Desktop\[Kopi af alternativ_drivmiddelmodel_3.0_2.xlsm]Sheet1'!#REF!</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Ark7">
    <tabColor rgb="FF002060"/>
  </sheetPr>
  <dimension ref="B1:S97"/>
  <sheetViews>
    <sheetView topLeftCell="A22" workbookViewId="0">
      <selection activeCell="D25" sqref="D25"/>
    </sheetView>
  </sheetViews>
  <sheetFormatPr defaultColWidth="8.88671875" defaultRowHeight="13.8"/>
  <cols>
    <col min="1" max="1" width="2.88671875" style="65" customWidth="1"/>
    <col min="2" max="2" width="35" style="65" customWidth="1"/>
    <col min="3" max="3" width="18" style="65" customWidth="1"/>
    <col min="4" max="7" width="15.88671875" style="65" customWidth="1"/>
    <col min="8" max="8" width="7.109375" style="65" customWidth="1"/>
    <col min="9" max="9" width="45.88671875" style="65" customWidth="1"/>
    <col min="10" max="10" width="10.6640625" style="65" customWidth="1"/>
    <col min="11" max="11" width="9.109375" style="65" customWidth="1"/>
    <col min="12" max="12" width="30.6640625" style="65" customWidth="1"/>
    <col min="13" max="13" width="8.88671875" style="65"/>
    <col min="14" max="14" width="37.88671875" style="65" customWidth="1"/>
    <col min="15" max="17" width="8.88671875" style="65"/>
    <col min="18" max="18" width="9.109375" style="65" customWidth="1"/>
    <col min="19" max="16384" width="8.88671875" style="65"/>
  </cols>
  <sheetData>
    <row r="1" spans="2:18" s="62" customFormat="1" ht="21">
      <c r="B1" s="62" t="s">
        <v>265</v>
      </c>
      <c r="Q1" s="64">
        <v>0</v>
      </c>
      <c r="R1" s="63">
        <v>0</v>
      </c>
    </row>
    <row r="2" spans="2:18">
      <c r="Q2" s="158">
        <f>Q1</f>
        <v>0</v>
      </c>
      <c r="R2" s="158">
        <f>R1</f>
        <v>0</v>
      </c>
    </row>
    <row r="4" spans="2:18" ht="14.4" thickBot="1">
      <c r="B4" s="154" t="s">
        <v>91</v>
      </c>
    </row>
    <row r="5" spans="2:18">
      <c r="B5" s="157" t="s">
        <v>92</v>
      </c>
      <c r="C5" s="85"/>
      <c r="D5" s="85"/>
      <c r="E5" s="85"/>
      <c r="F5" s="85"/>
      <c r="G5" s="85"/>
      <c r="H5" s="85"/>
      <c r="I5" s="85"/>
      <c r="J5" s="85"/>
      <c r="K5" s="85"/>
      <c r="L5" s="85"/>
      <c r="M5" s="83"/>
    </row>
    <row r="6" spans="2:18">
      <c r="B6" s="133" t="s">
        <v>264</v>
      </c>
      <c r="C6" s="77"/>
      <c r="D6" s="77"/>
      <c r="E6" s="77"/>
      <c r="F6" s="77"/>
      <c r="G6" s="77"/>
      <c r="H6" s="77"/>
      <c r="I6" s="77"/>
      <c r="J6" s="77"/>
      <c r="K6" s="77"/>
      <c r="L6" s="77"/>
      <c r="M6" s="74"/>
    </row>
    <row r="7" spans="2:18">
      <c r="B7" s="133" t="s">
        <v>263</v>
      </c>
      <c r="C7" s="77"/>
      <c r="D7" s="77"/>
      <c r="E7" s="77"/>
      <c r="F7" s="77"/>
      <c r="G7" s="77"/>
      <c r="H7" s="77"/>
      <c r="I7" s="77"/>
      <c r="J7" s="77"/>
      <c r="K7" s="77"/>
      <c r="L7" s="77"/>
      <c r="M7" s="74"/>
    </row>
    <row r="8" spans="2:18">
      <c r="B8" s="133" t="s">
        <v>262</v>
      </c>
      <c r="C8" s="77"/>
      <c r="D8" s="77"/>
      <c r="E8" s="77"/>
      <c r="F8" s="77"/>
      <c r="G8" s="77"/>
      <c r="H8" s="77"/>
      <c r="I8" s="77"/>
      <c r="J8" s="77"/>
      <c r="K8" s="77"/>
      <c r="L8" s="77"/>
      <c r="M8" s="74"/>
    </row>
    <row r="9" spans="2:18">
      <c r="B9" s="156" t="s">
        <v>232</v>
      </c>
      <c r="C9" s="61" t="s">
        <v>240</v>
      </c>
      <c r="D9" s="77"/>
      <c r="E9" s="77"/>
      <c r="F9" s="77"/>
      <c r="G9" s="77"/>
      <c r="H9" s="77"/>
      <c r="I9" s="77"/>
      <c r="J9" s="77"/>
      <c r="K9" s="77"/>
      <c r="L9" s="77"/>
      <c r="M9" s="74"/>
    </row>
    <row r="10" spans="2:18">
      <c r="B10" s="133"/>
      <c r="C10" s="77"/>
      <c r="D10" s="77"/>
      <c r="E10" s="77"/>
      <c r="F10" s="77"/>
      <c r="G10" s="77"/>
      <c r="H10" s="77"/>
      <c r="I10" s="77"/>
      <c r="J10" s="77"/>
      <c r="K10" s="77"/>
      <c r="L10" s="77"/>
      <c r="M10" s="74"/>
    </row>
    <row r="11" spans="2:18">
      <c r="B11" s="155" t="s">
        <v>93</v>
      </c>
      <c r="C11" s="77"/>
      <c r="D11" s="77"/>
      <c r="E11" s="77"/>
      <c r="F11" s="77"/>
      <c r="G11" s="77"/>
      <c r="H11" s="77"/>
      <c r="I11" s="77"/>
      <c r="J11" s="77"/>
      <c r="K11" s="77"/>
      <c r="L11" s="77"/>
      <c r="M11" s="74"/>
    </row>
    <row r="12" spans="2:18">
      <c r="B12" s="133" t="s">
        <v>261</v>
      </c>
      <c r="C12" s="77"/>
      <c r="D12" s="77"/>
      <c r="E12" s="77"/>
      <c r="F12" s="77"/>
      <c r="G12" s="77"/>
      <c r="H12" s="77"/>
      <c r="I12" s="77"/>
      <c r="J12" s="77"/>
      <c r="K12" s="77"/>
      <c r="L12" s="77"/>
      <c r="M12" s="74"/>
    </row>
    <row r="13" spans="2:18">
      <c r="B13" s="133" t="s">
        <v>260</v>
      </c>
      <c r="C13" s="77"/>
      <c r="D13" s="77"/>
      <c r="E13" s="77"/>
      <c r="F13" s="77"/>
      <c r="G13" s="77"/>
      <c r="H13" s="77"/>
      <c r="I13" s="77"/>
      <c r="J13" s="77"/>
      <c r="K13" s="77"/>
      <c r="L13" s="77"/>
      <c r="M13" s="74"/>
    </row>
    <row r="14" spans="2:18">
      <c r="B14" s="155" t="s">
        <v>94</v>
      </c>
      <c r="C14" s="77"/>
      <c r="D14" s="77"/>
      <c r="E14" s="77"/>
      <c r="F14" s="77"/>
      <c r="G14" s="77"/>
      <c r="H14" s="77"/>
      <c r="I14" s="77"/>
      <c r="J14" s="77"/>
      <c r="K14" s="77"/>
      <c r="L14" s="77"/>
      <c r="M14" s="74"/>
    </row>
    <row r="15" spans="2:18">
      <c r="B15" s="133" t="s">
        <v>259</v>
      </c>
      <c r="C15" s="77"/>
      <c r="D15" s="77"/>
      <c r="E15" s="77"/>
      <c r="F15" s="77"/>
      <c r="G15" s="77"/>
      <c r="H15" s="77"/>
      <c r="I15" s="77"/>
      <c r="J15" s="77"/>
      <c r="K15" s="77"/>
      <c r="L15" s="77"/>
      <c r="M15" s="74"/>
    </row>
    <row r="16" spans="2:18">
      <c r="B16" s="133" t="s">
        <v>258</v>
      </c>
      <c r="C16" s="77"/>
      <c r="D16" s="77"/>
      <c r="E16" s="77"/>
      <c r="F16" s="77"/>
      <c r="G16" s="77"/>
      <c r="H16" s="77"/>
      <c r="I16" s="77"/>
      <c r="J16" s="77"/>
      <c r="K16" s="77"/>
      <c r="L16" s="77"/>
      <c r="M16" s="74"/>
    </row>
    <row r="17" spans="2:17" ht="14.4" thickBot="1">
      <c r="B17" s="73" t="s">
        <v>257</v>
      </c>
      <c r="C17" s="72"/>
      <c r="D17" s="72"/>
      <c r="E17" s="72"/>
      <c r="F17" s="72"/>
      <c r="G17" s="72"/>
      <c r="H17" s="72"/>
      <c r="I17" s="72"/>
      <c r="J17" s="72"/>
      <c r="K17" s="72"/>
      <c r="L17" s="72"/>
      <c r="M17" s="90"/>
    </row>
    <row r="19" spans="2:17" ht="14.4" thickBot="1">
      <c r="B19" s="154" t="s">
        <v>95</v>
      </c>
      <c r="E19" s="68"/>
    </row>
    <row r="20" spans="2:17">
      <c r="B20" s="88"/>
      <c r="C20" s="110"/>
      <c r="D20" s="168"/>
      <c r="E20" s="85"/>
      <c r="F20" s="85"/>
      <c r="G20" s="85"/>
      <c r="H20" s="85"/>
      <c r="I20" s="85" t="s">
        <v>96</v>
      </c>
      <c r="J20" s="83" t="s">
        <v>97</v>
      </c>
    </row>
    <row r="21" spans="2:17">
      <c r="B21" s="109"/>
      <c r="C21" s="108" t="s">
        <v>98</v>
      </c>
      <c r="D21" s="107">
        <v>2015</v>
      </c>
      <c r="E21" s="106">
        <v>2020</v>
      </c>
      <c r="F21" s="106">
        <v>2035</v>
      </c>
      <c r="G21" s="106">
        <v>2050</v>
      </c>
      <c r="H21" s="152" t="s">
        <v>99</v>
      </c>
      <c r="I21" s="152"/>
      <c r="J21" s="104"/>
    </row>
    <row r="22" spans="2:17">
      <c r="B22" s="128" t="s">
        <v>100</v>
      </c>
      <c r="C22" s="118"/>
      <c r="D22" s="180"/>
      <c r="E22" s="151"/>
      <c r="F22" s="151"/>
      <c r="G22" s="151"/>
      <c r="H22" s="77"/>
      <c r="I22" s="77"/>
      <c r="J22" s="74"/>
    </row>
    <row r="23" spans="2:17">
      <c r="B23" s="145" t="s">
        <v>101</v>
      </c>
      <c r="C23" s="118" t="s">
        <v>138</v>
      </c>
      <c r="D23" s="206">
        <v>0.73399999999999999</v>
      </c>
      <c r="E23" s="206">
        <v>0.73699999999999999</v>
      </c>
      <c r="F23" s="206">
        <v>0.755</v>
      </c>
      <c r="G23" s="206">
        <v>0.77900000000000003</v>
      </c>
      <c r="H23" s="99"/>
      <c r="I23" s="99" t="s">
        <v>643</v>
      </c>
      <c r="J23" s="74"/>
    </row>
    <row r="24" spans="2:17">
      <c r="B24" s="145" t="s">
        <v>102</v>
      </c>
      <c r="C24" s="118" t="s">
        <v>138</v>
      </c>
      <c r="D24" s="144">
        <f>D23</f>
        <v>0.73399999999999999</v>
      </c>
      <c r="E24" s="205">
        <f>E23</f>
        <v>0.73699999999999999</v>
      </c>
      <c r="F24" s="205">
        <f>F23</f>
        <v>0.755</v>
      </c>
      <c r="G24" s="205">
        <f>G23</f>
        <v>0.77900000000000003</v>
      </c>
      <c r="H24" s="99"/>
      <c r="I24" s="99"/>
      <c r="J24" s="74"/>
    </row>
    <row r="25" spans="2:17">
      <c r="B25" s="145" t="s">
        <v>103</v>
      </c>
      <c r="C25" s="118" t="s">
        <v>104</v>
      </c>
      <c r="D25" s="204">
        <f>D67/D23</f>
        <v>1.1934653727527984</v>
      </c>
      <c r="E25" s="204">
        <f>E67/E23</f>
        <v>1.1390210806742354</v>
      </c>
      <c r="F25" s="204">
        <f>F67/F23</f>
        <v>1.0449132641285226</v>
      </c>
      <c r="G25" s="204">
        <f>G67/G23</f>
        <v>0.95825332631732296</v>
      </c>
      <c r="H25" s="99"/>
      <c r="I25" s="99" t="s">
        <v>643</v>
      </c>
      <c r="J25" s="74" t="s">
        <v>256</v>
      </c>
    </row>
    <row r="26" spans="2:17">
      <c r="B26" s="145" t="s">
        <v>105</v>
      </c>
      <c r="C26" s="118" t="s">
        <v>104</v>
      </c>
      <c r="D26" s="144"/>
      <c r="E26" s="143"/>
      <c r="F26" s="143"/>
      <c r="G26" s="143"/>
      <c r="H26" s="99"/>
      <c r="I26" s="99"/>
      <c r="J26" s="74"/>
    </row>
    <row r="27" spans="2:17">
      <c r="B27" s="133" t="s">
        <v>106</v>
      </c>
      <c r="C27" s="118" t="s">
        <v>107</v>
      </c>
      <c r="D27" s="140">
        <f>D83</f>
        <v>10.6</v>
      </c>
      <c r="E27" s="125">
        <v>16.3</v>
      </c>
      <c r="F27" s="125">
        <v>16.3</v>
      </c>
      <c r="G27" s="125">
        <v>16.3</v>
      </c>
      <c r="H27" s="75"/>
      <c r="I27" s="75" t="s">
        <v>615</v>
      </c>
      <c r="J27" s="74"/>
    </row>
    <row r="28" spans="2:17">
      <c r="B28" s="133" t="s">
        <v>108</v>
      </c>
      <c r="C28" s="118" t="s">
        <v>109</v>
      </c>
      <c r="D28" s="177">
        <f>+D75</f>
        <v>15.768064504809972</v>
      </c>
      <c r="E28" s="139">
        <f>+E75</f>
        <v>15.110253656224405</v>
      </c>
      <c r="F28" s="139">
        <f>+F75</f>
        <v>14.200371259506623</v>
      </c>
      <c r="G28" s="139">
        <f>+G75</f>
        <v>13.436628141621505</v>
      </c>
      <c r="H28" s="99"/>
      <c r="I28" s="99"/>
      <c r="J28" s="74"/>
    </row>
    <row r="29" spans="2:17">
      <c r="B29" s="78"/>
      <c r="C29" s="137"/>
      <c r="D29" s="134"/>
      <c r="E29" s="98"/>
      <c r="F29" s="98"/>
      <c r="G29" s="98"/>
      <c r="H29" s="79"/>
      <c r="I29" s="79"/>
      <c r="J29" s="74"/>
    </row>
    <row r="30" spans="2:17">
      <c r="B30" s="128" t="s">
        <v>110</v>
      </c>
      <c r="C30" s="118"/>
      <c r="D30" s="134"/>
      <c r="E30" s="98"/>
      <c r="F30" s="98"/>
      <c r="G30" s="98"/>
      <c r="H30" s="79"/>
      <c r="I30" s="79"/>
      <c r="J30" s="74"/>
      <c r="N30" s="199"/>
      <c r="O30" s="199"/>
      <c r="P30" s="199"/>
      <c r="Q30" s="199"/>
    </row>
    <row r="31" spans="2:17">
      <c r="B31" s="133" t="s">
        <v>111</v>
      </c>
      <c r="C31" s="118" t="s">
        <v>15</v>
      </c>
      <c r="D31" s="136">
        <v>237087.5</v>
      </c>
      <c r="E31" s="136">
        <v>196502</v>
      </c>
      <c r="F31" s="136">
        <v>166928</v>
      </c>
      <c r="G31" s="136">
        <v>162158</v>
      </c>
      <c r="H31" s="135">
        <v>2015</v>
      </c>
      <c r="I31" s="1071">
        <f>D25/3.6</f>
        <v>0.33151815909799953</v>
      </c>
      <c r="J31" s="74" t="s">
        <v>931</v>
      </c>
    </row>
    <row r="32" spans="2:17">
      <c r="B32" s="78" t="s">
        <v>16</v>
      </c>
      <c r="C32" s="118" t="s">
        <v>17</v>
      </c>
      <c r="D32" s="136">
        <v>1642.2165929292059</v>
      </c>
      <c r="E32" s="136">
        <v>1468.8833506567689</v>
      </c>
      <c r="F32" s="136">
        <v>1373.16997802734</v>
      </c>
      <c r="G32" s="136">
        <v>1418.8631814805108</v>
      </c>
      <c r="H32" s="135">
        <v>2015</v>
      </c>
      <c r="I32" s="79">
        <f>400*I31</f>
        <v>132.6072636391998</v>
      </c>
      <c r="J32" s="74" t="s">
        <v>932</v>
      </c>
    </row>
    <row r="33" spans="2:17">
      <c r="B33" s="129" t="s">
        <v>18</v>
      </c>
      <c r="C33" s="118" t="s">
        <v>17</v>
      </c>
      <c r="D33" s="136">
        <v>1370.528206653694</v>
      </c>
      <c r="E33" s="136">
        <v>1185.3672630075532</v>
      </c>
      <c r="F33" s="136">
        <v>1071.4877246755468</v>
      </c>
      <c r="G33" s="136">
        <v>1100.0331926732879</v>
      </c>
      <c r="H33" s="135">
        <v>2015</v>
      </c>
      <c r="I33" s="79"/>
      <c r="J33" s="74"/>
    </row>
    <row r="34" spans="2:17">
      <c r="B34" s="129" t="s">
        <v>19</v>
      </c>
      <c r="C34" s="118" t="s">
        <v>17</v>
      </c>
      <c r="D34" s="136">
        <v>271.6883862755119</v>
      </c>
      <c r="E34" s="136">
        <v>283.51608764921571</v>
      </c>
      <c r="F34" s="136">
        <v>301.68225335179324</v>
      </c>
      <c r="G34" s="136">
        <v>318.82998880722289</v>
      </c>
      <c r="H34" s="135">
        <v>2015</v>
      </c>
      <c r="I34" s="1072"/>
      <c r="J34" s="74"/>
    </row>
    <row r="35" spans="2:17">
      <c r="B35" s="129"/>
      <c r="C35" s="118"/>
      <c r="D35" s="136"/>
      <c r="E35" s="136"/>
      <c r="F35" s="136"/>
      <c r="G35" s="136"/>
      <c r="H35" s="135"/>
      <c r="I35" s="79"/>
      <c r="J35" s="74"/>
    </row>
    <row r="36" spans="2:17">
      <c r="B36" s="129" t="s">
        <v>112</v>
      </c>
      <c r="C36" s="118" t="s">
        <v>17</v>
      </c>
      <c r="D36" s="136">
        <v>0</v>
      </c>
      <c r="E36" s="136">
        <v>0</v>
      </c>
      <c r="F36" s="136">
        <v>0</v>
      </c>
      <c r="G36" s="136">
        <v>0</v>
      </c>
      <c r="H36" s="135">
        <v>2015</v>
      </c>
      <c r="I36" s="79"/>
      <c r="J36" s="74"/>
    </row>
    <row r="37" spans="2:17">
      <c r="B37" s="128"/>
      <c r="C37" s="118"/>
      <c r="D37" s="134"/>
      <c r="E37" s="98"/>
      <c r="F37" s="98"/>
      <c r="G37" s="98"/>
      <c r="H37" s="98"/>
      <c r="I37" s="79"/>
      <c r="J37" s="74"/>
    </row>
    <row r="38" spans="2:17">
      <c r="B38" s="133" t="s">
        <v>111</v>
      </c>
      <c r="C38" s="118" t="s">
        <v>15</v>
      </c>
      <c r="D38" s="176">
        <f>200000-30*D81+D80</f>
        <v>433431.5247791796</v>
      </c>
      <c r="E38" s="176">
        <f>$D38-$D80+E80</f>
        <v>362908.00042794342</v>
      </c>
      <c r="F38" s="176">
        <f>$D38-$D80+F80</f>
        <v>187594.80889397993</v>
      </c>
      <c r="G38" s="176">
        <f>$D38-$D80+G80</f>
        <v>182963.31666207025</v>
      </c>
      <c r="H38" s="130">
        <v>2015</v>
      </c>
      <c r="I38" s="99" t="s">
        <v>643</v>
      </c>
      <c r="J38" s="74" t="s">
        <v>255</v>
      </c>
      <c r="N38" s="199"/>
      <c r="O38" s="199"/>
      <c r="P38" s="199"/>
      <c r="Q38" s="199"/>
    </row>
    <row r="39" spans="2:17">
      <c r="B39" s="78" t="s">
        <v>16</v>
      </c>
      <c r="C39" s="118" t="s">
        <v>17</v>
      </c>
      <c r="D39" s="175">
        <f>+SUM(D40:D43)</f>
        <v>1642.2165929292059</v>
      </c>
      <c r="E39" s="126">
        <f>+SUM(E40:E43)</f>
        <v>1468.8833506567689</v>
      </c>
      <c r="F39" s="126">
        <f>+SUM(F40:F43)</f>
        <v>1373.16997802734</v>
      </c>
      <c r="G39" s="126">
        <f>+SUM(G40:G43)</f>
        <v>1418.8631814805108</v>
      </c>
      <c r="H39" s="130">
        <v>2015</v>
      </c>
      <c r="I39" s="99"/>
      <c r="J39" s="74"/>
      <c r="N39" s="199"/>
      <c r="O39" s="199"/>
      <c r="P39" s="199"/>
      <c r="Q39" s="199"/>
    </row>
    <row r="40" spans="2:17">
      <c r="B40" s="129" t="s">
        <v>18</v>
      </c>
      <c r="C40" s="118" t="s">
        <v>17</v>
      </c>
      <c r="D40" s="175">
        <v>1370.528206653694</v>
      </c>
      <c r="E40" s="126">
        <v>1185.3672630075532</v>
      </c>
      <c r="F40" s="126">
        <v>1071.4877246755468</v>
      </c>
      <c r="G40" s="126">
        <v>1100.0331926732879</v>
      </c>
      <c r="H40" s="130">
        <v>2015</v>
      </c>
      <c r="I40" s="99"/>
      <c r="J40" s="74"/>
      <c r="N40" s="199"/>
      <c r="O40" s="199"/>
      <c r="P40" s="199"/>
      <c r="Q40" s="199"/>
    </row>
    <row r="41" spans="2:17">
      <c r="B41" s="129" t="s">
        <v>19</v>
      </c>
      <c r="C41" s="118" t="s">
        <v>17</v>
      </c>
      <c r="D41" s="174">
        <f>+D76</f>
        <v>271.6883862755119</v>
      </c>
      <c r="E41" s="174">
        <f>+E76</f>
        <v>283.51608764921571</v>
      </c>
      <c r="F41" s="174">
        <f>+F76</f>
        <v>301.68225335179324</v>
      </c>
      <c r="G41" s="174">
        <f>+G76</f>
        <v>318.82998880722289</v>
      </c>
      <c r="H41" s="130">
        <v>2015</v>
      </c>
      <c r="I41" s="99"/>
      <c r="J41" s="74"/>
    </row>
    <row r="42" spans="2:17">
      <c r="B42" s="129"/>
      <c r="C42" s="118"/>
      <c r="D42" s="134"/>
      <c r="E42" s="98"/>
      <c r="F42" s="98"/>
      <c r="G42" s="98"/>
      <c r="H42" s="130"/>
      <c r="I42" s="99"/>
      <c r="J42" s="74"/>
      <c r="M42" s="198"/>
    </row>
    <row r="43" spans="2:17">
      <c r="B43" s="129" t="s">
        <v>112</v>
      </c>
      <c r="C43" s="118" t="s">
        <v>17</v>
      </c>
      <c r="D43" s="140">
        <v>0</v>
      </c>
      <c r="E43" s="125">
        <v>0</v>
      </c>
      <c r="F43" s="125">
        <v>0</v>
      </c>
      <c r="G43" s="125">
        <v>0</v>
      </c>
      <c r="H43" s="130">
        <v>2015</v>
      </c>
      <c r="I43" s="99"/>
      <c r="J43" s="74"/>
    </row>
    <row r="44" spans="2:17">
      <c r="B44" s="129"/>
      <c r="C44" s="118"/>
      <c r="D44" s="134"/>
      <c r="E44" s="98"/>
      <c r="F44" s="98"/>
      <c r="G44" s="98"/>
      <c r="H44" s="99"/>
      <c r="I44" s="99"/>
      <c r="J44" s="74"/>
    </row>
    <row r="45" spans="2:17">
      <c r="B45" s="128" t="s">
        <v>113</v>
      </c>
      <c r="C45" s="118"/>
      <c r="D45" s="134"/>
      <c r="E45" s="132"/>
      <c r="F45" s="132"/>
      <c r="G45" s="132"/>
      <c r="H45" s="99"/>
      <c r="I45" s="99"/>
      <c r="J45" s="74"/>
    </row>
    <row r="46" spans="2:17">
      <c r="B46" s="123" t="s">
        <v>30</v>
      </c>
      <c r="C46" s="118"/>
      <c r="D46" s="134"/>
      <c r="E46" s="98"/>
      <c r="F46" s="98"/>
      <c r="G46" s="98"/>
      <c r="H46" s="99"/>
      <c r="I46" s="99"/>
      <c r="J46" s="74"/>
    </row>
    <row r="47" spans="2:17">
      <c r="B47" s="78" t="s">
        <v>20</v>
      </c>
      <c r="C47" s="118" t="s">
        <v>139</v>
      </c>
      <c r="D47" s="171"/>
      <c r="E47" s="162"/>
      <c r="F47" s="162"/>
      <c r="G47" s="162"/>
      <c r="H47" s="99"/>
      <c r="I47" s="99"/>
      <c r="J47" s="119" t="s">
        <v>114</v>
      </c>
    </row>
    <row r="48" spans="2:17">
      <c r="B48" s="78" t="s">
        <v>21</v>
      </c>
      <c r="C48" s="118" t="s">
        <v>139</v>
      </c>
      <c r="D48" s="124">
        <f t="shared" ref="D48:G52" si="0">D92/D$89</f>
        <v>0</v>
      </c>
      <c r="E48" s="124">
        <f t="shared" si="0"/>
        <v>0</v>
      </c>
      <c r="F48" s="124">
        <f t="shared" si="0"/>
        <v>0</v>
      </c>
      <c r="G48" s="124">
        <f t="shared" si="0"/>
        <v>0</v>
      </c>
      <c r="H48" s="99"/>
      <c r="I48" s="99"/>
      <c r="J48" s="74"/>
    </row>
    <row r="49" spans="2:19">
      <c r="B49" s="78" t="s">
        <v>22</v>
      </c>
      <c r="C49" s="118" t="s">
        <v>139</v>
      </c>
      <c r="D49" s="124">
        <f t="shared" si="0"/>
        <v>0</v>
      </c>
      <c r="E49" s="124">
        <f t="shared" si="0"/>
        <v>0</v>
      </c>
      <c r="F49" s="124">
        <f t="shared" si="0"/>
        <v>0</v>
      </c>
      <c r="G49" s="124">
        <f t="shared" si="0"/>
        <v>0</v>
      </c>
      <c r="H49" s="99"/>
      <c r="I49" s="99"/>
      <c r="J49" s="74"/>
    </row>
    <row r="50" spans="2:19">
      <c r="B50" s="78" t="s">
        <v>23</v>
      </c>
      <c r="C50" s="118" t="s">
        <v>139</v>
      </c>
      <c r="D50" s="124">
        <f t="shared" si="0"/>
        <v>0</v>
      </c>
      <c r="E50" s="124">
        <f t="shared" si="0"/>
        <v>0</v>
      </c>
      <c r="F50" s="124">
        <f t="shared" si="0"/>
        <v>0</v>
      </c>
      <c r="G50" s="124">
        <f t="shared" si="0"/>
        <v>0</v>
      </c>
      <c r="H50" s="99"/>
      <c r="I50" s="99"/>
      <c r="J50" s="74"/>
    </row>
    <row r="51" spans="2:19">
      <c r="B51" s="78" t="s">
        <v>115</v>
      </c>
      <c r="C51" s="118" t="s">
        <v>139</v>
      </c>
      <c r="D51" s="124">
        <f t="shared" si="0"/>
        <v>0</v>
      </c>
      <c r="E51" s="124">
        <f t="shared" si="0"/>
        <v>0</v>
      </c>
      <c r="F51" s="124">
        <f t="shared" si="0"/>
        <v>0</v>
      </c>
      <c r="G51" s="124">
        <f t="shared" si="0"/>
        <v>0</v>
      </c>
      <c r="H51" s="99"/>
      <c r="I51" s="99"/>
      <c r="J51" s="74"/>
      <c r="O51" s="203"/>
      <c r="P51" s="203"/>
      <c r="Q51" s="203"/>
    </row>
    <row r="52" spans="2:19">
      <c r="B52" s="78" t="s">
        <v>24</v>
      </c>
      <c r="C52" s="118" t="s">
        <v>139</v>
      </c>
      <c r="D52" s="124">
        <f t="shared" si="0"/>
        <v>0</v>
      </c>
      <c r="E52" s="124">
        <f t="shared" si="0"/>
        <v>0</v>
      </c>
      <c r="F52" s="124">
        <f t="shared" si="0"/>
        <v>0</v>
      </c>
      <c r="G52" s="124">
        <f t="shared" si="0"/>
        <v>0</v>
      </c>
      <c r="H52" s="99"/>
      <c r="I52" s="99"/>
      <c r="J52" s="74"/>
      <c r="O52" s="191"/>
      <c r="P52" s="191"/>
      <c r="Q52" s="191"/>
    </row>
    <row r="53" spans="2:19">
      <c r="B53" s="78"/>
      <c r="C53" s="118"/>
      <c r="D53" s="122"/>
      <c r="E53" s="77"/>
      <c r="F53" s="77"/>
      <c r="G53" s="77"/>
      <c r="H53" s="99"/>
      <c r="I53" s="99"/>
      <c r="J53" s="74"/>
    </row>
    <row r="54" spans="2:19">
      <c r="B54" s="123" t="s">
        <v>31</v>
      </c>
      <c r="C54" s="118"/>
      <c r="D54" s="134"/>
      <c r="E54" s="98"/>
      <c r="F54" s="98"/>
      <c r="G54" s="98"/>
      <c r="H54" s="99"/>
      <c r="I54" s="99"/>
      <c r="J54" s="74"/>
    </row>
    <row r="55" spans="2:19">
      <c r="B55" s="78" t="s">
        <v>20</v>
      </c>
      <c r="C55" s="118" t="s">
        <v>139</v>
      </c>
      <c r="D55" s="171"/>
      <c r="E55" s="162"/>
      <c r="F55" s="162"/>
      <c r="G55" s="162"/>
      <c r="H55" s="99"/>
      <c r="I55" s="99"/>
      <c r="J55" s="119" t="s">
        <v>114</v>
      </c>
    </row>
    <row r="56" spans="2:19">
      <c r="B56" s="78" t="s">
        <v>21</v>
      </c>
      <c r="C56" s="118" t="s">
        <v>139</v>
      </c>
      <c r="D56" s="117">
        <f t="shared" ref="D56:G60" si="1">D48</f>
        <v>0</v>
      </c>
      <c r="E56" s="117">
        <f t="shared" si="1"/>
        <v>0</v>
      </c>
      <c r="F56" s="117">
        <f t="shared" si="1"/>
        <v>0</v>
      </c>
      <c r="G56" s="117">
        <f t="shared" si="1"/>
        <v>0</v>
      </c>
      <c r="H56" s="99"/>
      <c r="I56" s="99"/>
      <c r="J56" s="74"/>
    </row>
    <row r="57" spans="2:19">
      <c r="B57" s="78" t="s">
        <v>22</v>
      </c>
      <c r="C57" s="118" t="s">
        <v>139</v>
      </c>
      <c r="D57" s="117">
        <f t="shared" si="1"/>
        <v>0</v>
      </c>
      <c r="E57" s="117">
        <f t="shared" si="1"/>
        <v>0</v>
      </c>
      <c r="F57" s="117">
        <f t="shared" si="1"/>
        <v>0</v>
      </c>
      <c r="G57" s="117">
        <f t="shared" si="1"/>
        <v>0</v>
      </c>
      <c r="H57" s="99"/>
      <c r="I57" s="99"/>
      <c r="J57" s="74"/>
    </row>
    <row r="58" spans="2:19">
      <c r="B58" s="78" t="s">
        <v>23</v>
      </c>
      <c r="C58" s="118" t="s">
        <v>139</v>
      </c>
      <c r="D58" s="117">
        <f t="shared" si="1"/>
        <v>0</v>
      </c>
      <c r="E58" s="117">
        <f t="shared" si="1"/>
        <v>0</v>
      </c>
      <c r="F58" s="117">
        <f t="shared" si="1"/>
        <v>0</v>
      </c>
      <c r="G58" s="117">
        <f t="shared" si="1"/>
        <v>0</v>
      </c>
      <c r="H58" s="99"/>
      <c r="I58" s="99"/>
      <c r="J58" s="74"/>
    </row>
    <row r="59" spans="2:19">
      <c r="B59" s="78" t="s">
        <v>115</v>
      </c>
      <c r="C59" s="118" t="s">
        <v>139</v>
      </c>
      <c r="D59" s="117">
        <f t="shared" si="1"/>
        <v>0</v>
      </c>
      <c r="E59" s="117">
        <f t="shared" si="1"/>
        <v>0</v>
      </c>
      <c r="F59" s="117">
        <f t="shared" si="1"/>
        <v>0</v>
      </c>
      <c r="G59" s="117">
        <f t="shared" si="1"/>
        <v>0</v>
      </c>
      <c r="H59" s="99"/>
      <c r="I59" s="99"/>
      <c r="J59" s="74"/>
      <c r="S59" s="191"/>
    </row>
    <row r="60" spans="2:19">
      <c r="B60" s="78" t="s">
        <v>24</v>
      </c>
      <c r="C60" s="118" t="s">
        <v>139</v>
      </c>
      <c r="D60" s="117">
        <f t="shared" si="1"/>
        <v>0</v>
      </c>
      <c r="E60" s="117">
        <f t="shared" si="1"/>
        <v>0</v>
      </c>
      <c r="F60" s="117">
        <f t="shared" si="1"/>
        <v>0</v>
      </c>
      <c r="G60" s="117">
        <f t="shared" si="1"/>
        <v>0</v>
      </c>
      <c r="H60" s="99"/>
      <c r="I60" s="99"/>
      <c r="J60" s="74"/>
    </row>
    <row r="61" spans="2:19" ht="14.4" thickBot="1">
      <c r="B61" s="115"/>
      <c r="C61" s="114"/>
      <c r="D61" s="113"/>
      <c r="E61" s="72"/>
      <c r="F61" s="72"/>
      <c r="G61" s="72"/>
      <c r="H61" s="111"/>
      <c r="I61" s="111"/>
      <c r="J61" s="90"/>
    </row>
    <row r="62" spans="2:19">
      <c r="H62" s="69"/>
      <c r="I62" s="69"/>
    </row>
    <row r="63" spans="2:19">
      <c r="H63" s="69"/>
      <c r="I63" s="69"/>
    </row>
    <row r="64" spans="2:19" ht="16.2" thickBot="1">
      <c r="B64" s="89" t="s">
        <v>116</v>
      </c>
      <c r="H64" s="69"/>
      <c r="I64" s="69"/>
    </row>
    <row r="65" spans="2:10">
      <c r="B65" s="88"/>
      <c r="C65" s="110"/>
      <c r="D65" s="85"/>
      <c r="E65" s="85"/>
      <c r="F65" s="85"/>
      <c r="G65" s="85"/>
      <c r="H65" s="84"/>
      <c r="I65" s="84" t="s">
        <v>96</v>
      </c>
      <c r="J65" s="83" t="s">
        <v>97</v>
      </c>
    </row>
    <row r="66" spans="2:10">
      <c r="B66" s="109"/>
      <c r="C66" s="108" t="s">
        <v>98</v>
      </c>
      <c r="D66" s="107">
        <v>2015</v>
      </c>
      <c r="E66" s="106">
        <v>2020</v>
      </c>
      <c r="F66" s="106">
        <v>2035</v>
      </c>
      <c r="G66" s="106">
        <v>2050</v>
      </c>
      <c r="H66" s="105"/>
      <c r="I66" s="105"/>
      <c r="J66" s="104"/>
    </row>
    <row r="67" spans="2:10" ht="14.4">
      <c r="B67" s="78" t="s">
        <v>25</v>
      </c>
      <c r="C67" s="95" t="s">
        <v>134</v>
      </c>
      <c r="D67" s="196">
        <v>0.87600358360055397</v>
      </c>
      <c r="E67" s="196">
        <v>0.83945853645691138</v>
      </c>
      <c r="F67" s="196">
        <v>0.78890951441703461</v>
      </c>
      <c r="G67" s="196">
        <v>0.74647934120119463</v>
      </c>
      <c r="H67" s="79"/>
      <c r="I67" s="79" t="s">
        <v>643</v>
      </c>
      <c r="J67" s="74" t="s">
        <v>254</v>
      </c>
    </row>
    <row r="68" spans="2:10">
      <c r="B68" s="78" t="s">
        <v>135</v>
      </c>
      <c r="C68" s="95" t="s">
        <v>134</v>
      </c>
      <c r="D68" s="103">
        <v>0.83</v>
      </c>
      <c r="E68" s="103"/>
      <c r="F68" s="103"/>
      <c r="G68" s="103"/>
      <c r="H68" s="79"/>
      <c r="I68" s="79"/>
      <c r="J68" s="74"/>
    </row>
    <row r="69" spans="2:10">
      <c r="B69" s="78" t="s">
        <v>140</v>
      </c>
      <c r="C69" s="95" t="s">
        <v>118</v>
      </c>
      <c r="D69" s="102">
        <v>2200</v>
      </c>
      <c r="E69" s="102"/>
      <c r="F69" s="102"/>
      <c r="G69" s="102"/>
      <c r="H69" s="99"/>
      <c r="I69" s="99"/>
      <c r="J69" s="74"/>
    </row>
    <row r="70" spans="2:10">
      <c r="B70" s="78" t="s">
        <v>136</v>
      </c>
      <c r="C70" s="95" t="s">
        <v>118</v>
      </c>
      <c r="D70" s="103">
        <v>1975</v>
      </c>
      <c r="E70" s="101"/>
      <c r="F70" s="101"/>
      <c r="G70" s="101"/>
      <c r="H70" s="79"/>
      <c r="I70" s="79"/>
      <c r="J70" s="74"/>
    </row>
    <row r="71" spans="2:10">
      <c r="B71" s="78"/>
      <c r="C71" s="95"/>
      <c r="D71" s="103"/>
      <c r="E71" s="103">
        <v>0.02</v>
      </c>
      <c r="F71" s="103">
        <v>0.05</v>
      </c>
      <c r="G71" s="103">
        <v>0.05</v>
      </c>
      <c r="H71" s="99"/>
      <c r="I71" s="99"/>
      <c r="J71" s="74"/>
    </row>
    <row r="72" spans="2:10">
      <c r="B72" s="78" t="s">
        <v>120</v>
      </c>
      <c r="C72" s="95" t="s">
        <v>121</v>
      </c>
      <c r="D72" s="98">
        <v>18000</v>
      </c>
      <c r="E72" s="98">
        <v>18000</v>
      </c>
      <c r="F72" s="98">
        <v>18000</v>
      </c>
      <c r="G72" s="98">
        <v>18000</v>
      </c>
      <c r="H72" s="79"/>
      <c r="I72" s="79"/>
      <c r="J72" s="74"/>
    </row>
    <row r="73" spans="2:10">
      <c r="B73" s="165"/>
      <c r="C73" s="202"/>
      <c r="D73" s="98"/>
      <c r="E73" s="98"/>
      <c r="F73" s="98"/>
      <c r="G73" s="98"/>
      <c r="H73" s="79"/>
      <c r="I73" s="79"/>
      <c r="J73" s="119"/>
    </row>
    <row r="74" spans="2:10">
      <c r="B74" s="78" t="s">
        <v>124</v>
      </c>
      <c r="C74" s="95" t="s">
        <v>26</v>
      </c>
      <c r="D74" s="201"/>
      <c r="E74" s="201"/>
      <c r="F74" s="201"/>
      <c r="G74" s="201"/>
      <c r="H74" s="79"/>
      <c r="I74" s="79"/>
      <c r="J74" s="74"/>
    </row>
    <row r="75" spans="2:10">
      <c r="B75" s="78" t="s">
        <v>108</v>
      </c>
      <c r="C75" s="95" t="s">
        <v>109</v>
      </c>
      <c r="D75" s="77">
        <f>+D67*D72/1000</f>
        <v>15.768064504809972</v>
      </c>
      <c r="E75" s="77">
        <f>+E67*E72/1000</f>
        <v>15.110253656224405</v>
      </c>
      <c r="F75" s="77">
        <f>+F67*F72/1000</f>
        <v>14.200371259506623</v>
      </c>
      <c r="G75" s="77">
        <f>+G67*G72/1000</f>
        <v>13.436628141621505</v>
      </c>
      <c r="H75" s="79"/>
      <c r="I75" s="79"/>
      <c r="J75" s="74"/>
    </row>
    <row r="76" spans="2:10">
      <c r="B76" s="78" t="s">
        <v>123</v>
      </c>
      <c r="C76" s="95" t="s">
        <v>17</v>
      </c>
      <c r="D76" s="97">
        <f>D77*1000/D67</f>
        <v>271.6883862755119</v>
      </c>
      <c r="E76" s="97">
        <f>E77*1000/E67</f>
        <v>283.51608764921571</v>
      </c>
      <c r="F76" s="97">
        <f>F77*1000/F67</f>
        <v>301.68225335179324</v>
      </c>
      <c r="G76" s="97">
        <f>G77*1000/G67</f>
        <v>318.82998880722289</v>
      </c>
      <c r="H76" s="79"/>
      <c r="I76" s="79"/>
      <c r="J76" s="119"/>
    </row>
    <row r="77" spans="2:10">
      <c r="B77" s="78" t="s">
        <v>123</v>
      </c>
      <c r="C77" s="95" t="s">
        <v>36</v>
      </c>
      <c r="D77" s="97">
        <v>0.23799999999999999</v>
      </c>
      <c r="E77" s="97">
        <v>0.23799999999999999</v>
      </c>
      <c r="F77" s="97">
        <v>0.23799999999999999</v>
      </c>
      <c r="G77" s="97">
        <v>0.23799999999999999</v>
      </c>
      <c r="H77" s="79"/>
      <c r="I77" s="79"/>
      <c r="J77" s="119"/>
    </row>
    <row r="78" spans="2:10">
      <c r="B78" s="78" t="s">
        <v>141</v>
      </c>
      <c r="C78" s="95" t="s">
        <v>17</v>
      </c>
      <c r="D78" s="97">
        <f>+D79/D28</f>
        <v>582.04274290059084</v>
      </c>
      <c r="E78" s="97">
        <f>+E79/E28</f>
        <v>362.55581745366442</v>
      </c>
      <c r="F78" s="97">
        <f>+F79/F28</f>
        <v>195.95500610379983</v>
      </c>
      <c r="G78" s="97">
        <f>+G79/G28</f>
        <v>174.73485721875298</v>
      </c>
      <c r="H78" s="79"/>
      <c r="I78" s="79"/>
      <c r="J78" s="74"/>
    </row>
    <row r="79" spans="2:10">
      <c r="B79" s="78" t="s">
        <v>141</v>
      </c>
      <c r="C79" s="95" t="s">
        <v>142</v>
      </c>
      <c r="D79" s="99">
        <v>9177.6875146130424</v>
      </c>
      <c r="E79" s="99">
        <v>5478.3103662646608</v>
      </c>
      <c r="F79" s="99">
        <v>2782.6338368328438</v>
      </c>
      <c r="G79" s="99">
        <v>2347.8472998277116</v>
      </c>
      <c r="H79" s="79"/>
      <c r="I79" s="79"/>
      <c r="J79" s="74"/>
    </row>
    <row r="80" spans="2:10">
      <c r="B80" s="78" t="s">
        <v>141</v>
      </c>
      <c r="C80" s="95" t="s">
        <v>15</v>
      </c>
      <c r="D80" s="183">
        <f>D81*D82+(D27-D83)/D83*D82*(E81+F81)/2</f>
        <v>301681.5247791796</v>
      </c>
      <c r="E80" s="183">
        <f>E81*E82</f>
        <v>231158.00042794342</v>
      </c>
      <c r="F80" s="183">
        <f>F81*F82</f>
        <v>55844.808893979927</v>
      </c>
      <c r="G80" s="183">
        <f>G81*G82</f>
        <v>51213.316662070254</v>
      </c>
      <c r="H80" s="79"/>
      <c r="I80" s="79"/>
      <c r="J80" s="74"/>
    </row>
    <row r="81" spans="2:10">
      <c r="B81" s="78" t="s">
        <v>143</v>
      </c>
      <c r="C81" s="95" t="s">
        <v>144</v>
      </c>
      <c r="D81" s="975">
        <f>350*6.5</f>
        <v>2275</v>
      </c>
      <c r="E81" s="975">
        <f>D81-(D81-F81)/(F66-D66)*(E66-D66)</f>
        <v>1826.5</v>
      </c>
      <c r="F81" s="975">
        <f>74*6.5</f>
        <v>481</v>
      </c>
      <c r="G81" s="975">
        <f>74*6.5</f>
        <v>481</v>
      </c>
      <c r="H81" s="99"/>
      <c r="I81" s="99" t="s">
        <v>929</v>
      </c>
      <c r="J81" s="195"/>
    </row>
    <row r="82" spans="2:10">
      <c r="B82" s="78" t="s">
        <v>145</v>
      </c>
      <c r="C82" s="95" t="s">
        <v>146</v>
      </c>
      <c r="D82" s="92">
        <f>400*D25/3.6</f>
        <v>132.60726363919983</v>
      </c>
      <c r="E82" s="92">
        <f t="shared" ref="E82:G82" si="2">400*E25/3.6</f>
        <v>126.55789785269282</v>
      </c>
      <c r="F82" s="92">
        <f t="shared" si="2"/>
        <v>116.10147379205806</v>
      </c>
      <c r="G82" s="92">
        <f t="shared" si="2"/>
        <v>106.47259181303588</v>
      </c>
      <c r="H82" s="99"/>
      <c r="I82" s="99" t="s">
        <v>930</v>
      </c>
      <c r="J82" s="74"/>
    </row>
    <row r="83" spans="2:10">
      <c r="B83" s="78" t="s">
        <v>237</v>
      </c>
      <c r="C83" s="95" t="s">
        <v>236</v>
      </c>
      <c r="D83" s="92">
        <v>10.6</v>
      </c>
      <c r="E83" s="92">
        <v>16</v>
      </c>
      <c r="F83" s="92">
        <v>16</v>
      </c>
      <c r="G83" s="92">
        <v>16</v>
      </c>
      <c r="H83" s="99"/>
      <c r="I83" s="99"/>
      <c r="J83" s="74"/>
    </row>
    <row r="84" spans="2:10">
      <c r="B84" s="78" t="s">
        <v>147</v>
      </c>
      <c r="C84" s="95" t="s">
        <v>148</v>
      </c>
      <c r="D84" s="146">
        <f>D25/3.6</f>
        <v>0.33151815909799953</v>
      </c>
      <c r="E84" s="146">
        <f>E25/3.6</f>
        <v>0.31639474463173206</v>
      </c>
      <c r="F84" s="146">
        <f>F25/3.6</f>
        <v>0.29025368448014516</v>
      </c>
      <c r="G84" s="146">
        <f>G25/3.6</f>
        <v>0.26618147953258969</v>
      </c>
      <c r="H84" s="99"/>
      <c r="I84" s="99" t="s">
        <v>253</v>
      </c>
      <c r="J84" s="74"/>
    </row>
    <row r="85" spans="2:10">
      <c r="B85" s="78" t="s">
        <v>243</v>
      </c>
      <c r="C85" s="95" t="s">
        <v>242</v>
      </c>
      <c r="D85" s="146">
        <v>8.9285714285714288</v>
      </c>
      <c r="E85" s="200">
        <v>6.25</v>
      </c>
      <c r="F85" s="200">
        <v>5</v>
      </c>
      <c r="G85" s="200">
        <v>4.5454545454545459</v>
      </c>
      <c r="H85" s="99"/>
      <c r="I85" s="99" t="s">
        <v>644</v>
      </c>
      <c r="J85" s="74"/>
    </row>
    <row r="86" spans="2:10" ht="14.4" thickBot="1">
      <c r="B86" s="73" t="s">
        <v>241</v>
      </c>
      <c r="C86" s="91" t="s">
        <v>118</v>
      </c>
      <c r="D86" s="194">
        <f>D82*D85</f>
        <v>1183.9934253499985</v>
      </c>
      <c r="E86" s="194">
        <f>E82*E85</f>
        <v>790.98686157933014</v>
      </c>
      <c r="F86" s="194">
        <f>F82*F85</f>
        <v>580.50736896029025</v>
      </c>
      <c r="G86" s="194">
        <f>G82*G85</f>
        <v>483.9663264228904</v>
      </c>
      <c r="H86" s="193"/>
      <c r="I86" s="193"/>
      <c r="J86" s="90"/>
    </row>
    <row r="87" spans="2:10">
      <c r="D87" s="192"/>
      <c r="E87" s="192"/>
      <c r="F87" s="192"/>
      <c r="G87" s="192"/>
    </row>
    <row r="88" spans="2:10" ht="16.2" thickBot="1">
      <c r="B88" s="89" t="s">
        <v>125</v>
      </c>
    </row>
    <row r="89" spans="2:10">
      <c r="B89" s="88" t="s">
        <v>149</v>
      </c>
      <c r="C89" s="85"/>
      <c r="D89" s="190">
        <v>0.40970000000000001</v>
      </c>
      <c r="E89" s="166">
        <v>0.32</v>
      </c>
      <c r="F89" s="166">
        <v>0.32</v>
      </c>
      <c r="G89" s="166">
        <v>0.32</v>
      </c>
      <c r="H89" s="189"/>
      <c r="I89" s="99" t="s">
        <v>643</v>
      </c>
      <c r="J89" s="74"/>
    </row>
    <row r="90" spans="2:10">
      <c r="B90" s="78"/>
      <c r="C90" s="77"/>
      <c r="D90" s="77"/>
      <c r="E90" s="77"/>
      <c r="F90" s="77"/>
      <c r="G90" s="77"/>
      <c r="H90" s="77"/>
      <c r="I90" s="77"/>
      <c r="J90" s="74"/>
    </row>
    <row r="91" spans="2:10">
      <c r="B91" s="78" t="s">
        <v>20</v>
      </c>
      <c r="C91" s="77" t="s">
        <v>27</v>
      </c>
      <c r="D91" s="181">
        <v>0</v>
      </c>
      <c r="E91" s="181">
        <v>0</v>
      </c>
      <c r="F91" s="181">
        <v>0</v>
      </c>
      <c r="G91" s="181"/>
      <c r="H91" s="77"/>
      <c r="I91" s="77"/>
      <c r="J91" s="74"/>
    </row>
    <row r="92" spans="2:10">
      <c r="B92" s="78" t="s">
        <v>21</v>
      </c>
      <c r="C92" s="77" t="s">
        <v>27</v>
      </c>
      <c r="D92" s="181">
        <v>0</v>
      </c>
      <c r="E92" s="181">
        <v>0</v>
      </c>
      <c r="F92" s="181">
        <v>0</v>
      </c>
      <c r="G92" s="181"/>
      <c r="H92" s="77"/>
      <c r="I92" s="77"/>
      <c r="J92" s="74"/>
    </row>
    <row r="93" spans="2:10">
      <c r="B93" s="78" t="s">
        <v>22</v>
      </c>
      <c r="C93" s="77" t="s">
        <v>27</v>
      </c>
      <c r="D93" s="181">
        <v>0</v>
      </c>
      <c r="E93" s="181">
        <v>0</v>
      </c>
      <c r="F93" s="181">
        <v>0</v>
      </c>
      <c r="G93" s="181"/>
      <c r="H93" s="77"/>
      <c r="I93" s="77"/>
      <c r="J93" s="74"/>
    </row>
    <row r="94" spans="2:10">
      <c r="B94" s="78" t="s">
        <v>23</v>
      </c>
      <c r="C94" s="77" t="s">
        <v>27</v>
      </c>
      <c r="D94" s="181">
        <v>0</v>
      </c>
      <c r="E94" s="181">
        <v>0</v>
      </c>
      <c r="F94" s="181">
        <v>0</v>
      </c>
      <c r="G94" s="181"/>
      <c r="H94" s="77"/>
      <c r="I94" s="77"/>
      <c r="J94" s="74"/>
    </row>
    <row r="95" spans="2:10">
      <c r="B95" s="78" t="s">
        <v>115</v>
      </c>
      <c r="C95" s="77" t="s">
        <v>27</v>
      </c>
      <c r="D95" s="181">
        <v>0</v>
      </c>
      <c r="E95" s="181">
        <v>0</v>
      </c>
      <c r="F95" s="181">
        <v>0</v>
      </c>
      <c r="G95" s="181"/>
      <c r="H95" s="77"/>
      <c r="I95" s="77"/>
      <c r="J95" s="74"/>
    </row>
    <row r="96" spans="2:10">
      <c r="B96" s="78" t="s">
        <v>24</v>
      </c>
      <c r="C96" s="77" t="s">
        <v>27</v>
      </c>
      <c r="D96" s="181">
        <v>0</v>
      </c>
      <c r="E96" s="181">
        <v>0</v>
      </c>
      <c r="F96" s="181">
        <v>0</v>
      </c>
      <c r="G96" s="181"/>
      <c r="H96" s="77"/>
      <c r="I96" s="77"/>
      <c r="J96" s="74"/>
    </row>
    <row r="97" spans="2:10" ht="14.4" thickBot="1">
      <c r="B97" s="73"/>
      <c r="C97" s="72"/>
      <c r="D97" s="72"/>
      <c r="E97" s="72"/>
      <c r="F97" s="72"/>
      <c r="G97" s="72"/>
      <c r="H97" s="72"/>
      <c r="I97" s="72"/>
      <c r="J97" s="90"/>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'C:\Users\B003920\Desktop\[Kopi af alternativ_drivmiddelmodel_3.0_2.xlsm]Sheet1'!#REF!</xm:f>
          </x14:formula1>
          <xm:sqref>C9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
    <tabColor rgb="FF002060"/>
    <pageSetUpPr fitToPage="1"/>
  </sheetPr>
  <dimension ref="B1:S112"/>
  <sheetViews>
    <sheetView topLeftCell="A16" zoomScale="80" zoomScaleNormal="80" workbookViewId="0">
      <selection activeCell="D25" sqref="D25"/>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1" width="9" style="65" customWidth="1"/>
    <col min="12" max="12" width="10.88671875" style="65" customWidth="1"/>
    <col min="13" max="13" width="9.109375" style="65" customWidth="1"/>
    <col min="14" max="14" width="9" style="65" customWidth="1"/>
    <col min="15" max="15" width="8.88671875" style="65"/>
    <col min="16" max="16" width="37.88671875" style="65" customWidth="1"/>
    <col min="17" max="18" width="8.88671875" style="65"/>
    <col min="19" max="19" width="9.109375" style="65" customWidth="1"/>
    <col min="20" max="16384" width="8.88671875" style="65"/>
  </cols>
  <sheetData>
    <row r="1" spans="2:19" s="62" customFormat="1" ht="21">
      <c r="B1" s="62" t="s">
        <v>33</v>
      </c>
      <c r="Q1" s="62">
        <v>0</v>
      </c>
      <c r="R1" s="64">
        <v>0</v>
      </c>
      <c r="S1" s="63"/>
    </row>
    <row r="2" spans="2:19">
      <c r="R2" s="158"/>
      <c r="S2" s="158"/>
    </row>
    <row r="4" spans="2:19" ht="14.4" thickBot="1">
      <c r="B4" s="154" t="s">
        <v>91</v>
      </c>
    </row>
    <row r="5" spans="2:19">
      <c r="B5" s="157" t="s">
        <v>92</v>
      </c>
      <c r="C5" s="85"/>
      <c r="D5" s="85"/>
      <c r="E5" s="85"/>
      <c r="F5" s="85"/>
      <c r="G5" s="85"/>
      <c r="H5" s="85"/>
      <c r="I5" s="85"/>
      <c r="J5" s="85"/>
      <c r="K5" s="85"/>
      <c r="L5" s="85"/>
      <c r="M5" s="85"/>
      <c r="N5" s="85"/>
      <c r="O5" s="83"/>
    </row>
    <row r="6" spans="2:19">
      <c r="B6" s="133" t="s">
        <v>181</v>
      </c>
      <c r="C6" s="77"/>
      <c r="D6" s="77"/>
      <c r="E6" s="77"/>
      <c r="F6" s="77"/>
      <c r="G6" s="77"/>
      <c r="H6" s="77"/>
      <c r="I6" s="77"/>
      <c r="J6" s="77"/>
      <c r="K6" s="77"/>
      <c r="L6" s="77"/>
      <c r="M6" s="77"/>
      <c r="N6" s="77"/>
      <c r="O6" s="74"/>
    </row>
    <row r="7" spans="2:19">
      <c r="B7" s="133"/>
      <c r="C7" s="77"/>
      <c r="D7" s="77"/>
      <c r="E7" s="77"/>
      <c r="F7" s="77"/>
      <c r="G7" s="77"/>
      <c r="H7" s="77"/>
      <c r="I7" s="77"/>
      <c r="J7" s="77"/>
      <c r="K7" s="77"/>
      <c r="L7" s="77"/>
      <c r="M7" s="77"/>
      <c r="N7" s="77"/>
      <c r="O7" s="74"/>
    </row>
    <row r="8" spans="2:19">
      <c r="B8" s="133"/>
      <c r="C8" s="77"/>
      <c r="D8" s="77"/>
      <c r="E8" s="77"/>
      <c r="F8" s="77"/>
      <c r="G8" s="77"/>
      <c r="H8" s="77"/>
      <c r="I8" s="77"/>
      <c r="J8" s="77"/>
      <c r="K8" s="77"/>
      <c r="L8" s="77"/>
      <c r="M8" s="77"/>
      <c r="N8" s="77"/>
      <c r="O8" s="74"/>
    </row>
    <row r="9" spans="2:19">
      <c r="B9" s="156" t="s">
        <v>232</v>
      </c>
      <c r="C9" s="61" t="s">
        <v>231</v>
      </c>
      <c r="D9" s="77"/>
      <c r="E9" s="77"/>
      <c r="F9" s="77"/>
      <c r="G9" s="77"/>
      <c r="H9" s="77"/>
      <c r="I9" s="77"/>
      <c r="J9" s="77"/>
      <c r="K9" s="77"/>
      <c r="L9" s="77"/>
      <c r="M9" s="77"/>
      <c r="N9" s="77"/>
      <c r="O9" s="74"/>
    </row>
    <row r="10" spans="2:19">
      <c r="B10" s="133"/>
      <c r="C10" s="77"/>
      <c r="D10" s="77"/>
      <c r="E10" s="77"/>
      <c r="F10" s="77"/>
      <c r="G10" s="77"/>
      <c r="H10" s="77"/>
      <c r="I10" s="77"/>
      <c r="J10" s="77"/>
      <c r="K10" s="77"/>
      <c r="L10" s="77"/>
      <c r="M10" s="77"/>
      <c r="N10" s="77"/>
      <c r="O10" s="74"/>
    </row>
    <row r="11" spans="2:19">
      <c r="B11" s="155" t="s">
        <v>93</v>
      </c>
      <c r="C11" s="77"/>
      <c r="D11" s="77"/>
      <c r="E11" s="77"/>
      <c r="F11" s="77"/>
      <c r="G11" s="77"/>
      <c r="H11" s="77"/>
      <c r="I11" s="77"/>
      <c r="J11" s="77"/>
      <c r="K11" s="77"/>
      <c r="L11" s="77"/>
      <c r="M11" s="77"/>
      <c r="N11" s="77"/>
      <c r="O11" s="74"/>
    </row>
    <row r="12" spans="2:19">
      <c r="B12" s="133"/>
      <c r="C12" s="77"/>
      <c r="D12" s="77"/>
      <c r="E12" s="77"/>
      <c r="F12" s="77"/>
      <c r="G12" s="77"/>
      <c r="H12" s="77"/>
      <c r="I12" s="77"/>
      <c r="J12" s="77"/>
      <c r="K12" s="77"/>
      <c r="L12" s="77"/>
      <c r="M12" s="77"/>
      <c r="N12" s="77"/>
      <c r="O12" s="74"/>
    </row>
    <row r="13" spans="2:19">
      <c r="B13" s="133"/>
      <c r="C13" s="77"/>
      <c r="D13" s="77"/>
      <c r="E13" s="77"/>
      <c r="F13" s="77"/>
      <c r="G13" s="77"/>
      <c r="H13" s="77"/>
      <c r="I13" s="77"/>
      <c r="J13" s="77"/>
      <c r="K13" s="77"/>
      <c r="L13" s="77"/>
      <c r="M13" s="77"/>
      <c r="N13" s="77"/>
      <c r="O13" s="74"/>
    </row>
    <row r="14" spans="2:19">
      <c r="B14" s="155" t="s">
        <v>94</v>
      </c>
      <c r="C14" s="77"/>
      <c r="D14" s="77"/>
      <c r="E14" s="77"/>
      <c r="F14" s="77"/>
      <c r="G14" s="77"/>
      <c r="H14" s="77"/>
      <c r="I14" s="77"/>
      <c r="J14" s="77"/>
      <c r="K14" s="77"/>
      <c r="L14" s="77"/>
      <c r="M14" s="77"/>
      <c r="N14" s="77"/>
      <c r="O14" s="74"/>
    </row>
    <row r="15" spans="2:19">
      <c r="B15" s="133"/>
      <c r="C15" s="77"/>
      <c r="D15" s="77"/>
      <c r="E15" s="77"/>
      <c r="F15" s="77"/>
      <c r="G15" s="77"/>
      <c r="H15" s="77"/>
      <c r="I15" s="77"/>
      <c r="J15" s="77"/>
      <c r="K15" s="77"/>
      <c r="L15" s="77"/>
      <c r="M15" s="77"/>
      <c r="N15" s="77"/>
      <c r="O15" s="74"/>
    </row>
    <row r="16" spans="2:19">
      <c r="B16" s="128"/>
      <c r="C16" s="77"/>
      <c r="D16" s="77"/>
      <c r="E16" s="77"/>
      <c r="F16" s="77"/>
      <c r="G16" s="77"/>
      <c r="H16" s="77"/>
      <c r="I16" s="77"/>
      <c r="J16" s="77"/>
      <c r="K16" s="77"/>
      <c r="L16" s="77"/>
      <c r="M16" s="77"/>
      <c r="N16" s="77"/>
      <c r="O16" s="74"/>
    </row>
    <row r="17" spans="2:15" ht="14.4" thickBot="1">
      <c r="B17" s="73"/>
      <c r="C17" s="72"/>
      <c r="D17" s="72"/>
      <c r="E17" s="72"/>
      <c r="F17" s="72"/>
      <c r="G17" s="72"/>
      <c r="H17" s="72"/>
      <c r="I17" s="72"/>
      <c r="J17" s="72"/>
      <c r="K17" s="72"/>
      <c r="L17" s="72"/>
      <c r="M17" s="72"/>
      <c r="N17" s="72"/>
      <c r="O17" s="90"/>
    </row>
    <row r="19" spans="2:15" ht="14.4" thickBot="1">
      <c r="B19" s="154" t="s">
        <v>95</v>
      </c>
      <c r="E19" s="153"/>
      <c r="F19" s="153"/>
      <c r="G19" s="153"/>
    </row>
    <row r="20" spans="2:15">
      <c r="B20" s="88"/>
      <c r="C20" s="110"/>
      <c r="D20" s="168"/>
      <c r="E20" s="85"/>
      <c r="F20" s="85"/>
      <c r="G20" s="85"/>
      <c r="H20" s="85"/>
      <c r="I20" s="85" t="s">
        <v>96</v>
      </c>
      <c r="J20" s="83" t="s">
        <v>97</v>
      </c>
    </row>
    <row r="21" spans="2:15">
      <c r="B21" s="109"/>
      <c r="C21" s="108" t="s">
        <v>98</v>
      </c>
      <c r="D21" s="107">
        <v>2015</v>
      </c>
      <c r="E21" s="106">
        <v>2020</v>
      </c>
      <c r="F21" s="106">
        <v>2035</v>
      </c>
      <c r="G21" s="106">
        <v>2050</v>
      </c>
      <c r="H21" s="106" t="s">
        <v>99</v>
      </c>
      <c r="I21" s="152"/>
      <c r="J21" s="104"/>
    </row>
    <row r="22" spans="2:15">
      <c r="B22" s="128" t="s">
        <v>100</v>
      </c>
      <c r="C22" s="118"/>
      <c r="D22" s="180"/>
      <c r="E22" s="151"/>
      <c r="F22" s="151"/>
      <c r="G22" s="151"/>
      <c r="H22" s="151"/>
      <c r="I22" s="77"/>
      <c r="J22" s="74"/>
    </row>
    <row r="23" spans="2:15">
      <c r="B23" s="145" t="s">
        <v>101</v>
      </c>
      <c r="C23" s="118" t="s">
        <v>132</v>
      </c>
      <c r="D23" s="260">
        <f>D71</f>
        <v>0.19</v>
      </c>
      <c r="E23" s="259">
        <f>E71</f>
        <v>0.2</v>
      </c>
      <c r="F23" s="259">
        <f>F71</f>
        <v>0.22</v>
      </c>
      <c r="G23" s="259">
        <f>G71</f>
        <v>0.24</v>
      </c>
      <c r="H23" s="147"/>
      <c r="I23" s="187"/>
      <c r="J23" s="74"/>
      <c r="K23" s="244"/>
    </row>
    <row r="24" spans="2:15">
      <c r="B24" s="145" t="s">
        <v>102</v>
      </c>
      <c r="C24" s="118" t="s">
        <v>132</v>
      </c>
      <c r="D24" s="144">
        <f>D23</f>
        <v>0.19</v>
      </c>
      <c r="E24" s="143">
        <f>E23</f>
        <v>0.2</v>
      </c>
      <c r="F24" s="143">
        <f>F23</f>
        <v>0.22</v>
      </c>
      <c r="G24" s="143">
        <f>G23</f>
        <v>0.24</v>
      </c>
      <c r="H24" s="147"/>
      <c r="I24" s="187"/>
      <c r="J24" s="74"/>
      <c r="K24" s="244"/>
    </row>
    <row r="25" spans="2:15">
      <c r="B25" s="145" t="s">
        <v>103</v>
      </c>
      <c r="C25" s="118" t="s">
        <v>104</v>
      </c>
      <c r="D25" s="144">
        <f>D75</f>
        <v>13.33</v>
      </c>
      <c r="E25" s="143">
        <f>E75</f>
        <v>12.09</v>
      </c>
      <c r="F25" s="143">
        <f>F75</f>
        <v>10.47</v>
      </c>
      <c r="G25" s="143">
        <f>G75</f>
        <v>9.42</v>
      </c>
      <c r="H25" s="142"/>
      <c r="I25" s="99"/>
      <c r="J25" s="74"/>
      <c r="K25" s="244"/>
    </row>
    <row r="26" spans="2:15">
      <c r="B26" s="145" t="s">
        <v>105</v>
      </c>
      <c r="C26" s="118" t="s">
        <v>104</v>
      </c>
      <c r="D26" s="144"/>
      <c r="E26" s="143"/>
      <c r="F26" s="143"/>
      <c r="G26" s="143"/>
      <c r="H26" s="142"/>
      <c r="I26" s="99"/>
      <c r="J26" s="74"/>
      <c r="K26" s="244"/>
    </row>
    <row r="27" spans="2:15">
      <c r="B27" s="133" t="s">
        <v>106</v>
      </c>
      <c r="C27" s="118" t="s">
        <v>107</v>
      </c>
      <c r="D27" s="140">
        <v>6</v>
      </c>
      <c r="E27" s="125">
        <v>6</v>
      </c>
      <c r="F27" s="125">
        <v>6</v>
      </c>
      <c r="G27" s="125">
        <v>6</v>
      </c>
      <c r="H27" s="125"/>
      <c r="I27" s="99" t="s">
        <v>645</v>
      </c>
      <c r="J27" s="74"/>
      <c r="K27" s="244"/>
    </row>
    <row r="28" spans="2:15">
      <c r="B28" s="133" t="s">
        <v>108</v>
      </c>
      <c r="C28" s="118" t="s">
        <v>109</v>
      </c>
      <c r="D28" s="177">
        <f>+D67*D68/1000</f>
        <v>126.63500000000002</v>
      </c>
      <c r="E28" s="139">
        <f>+E67*E68/1000</f>
        <v>120.90000000000002</v>
      </c>
      <c r="F28" s="139">
        <f>+F67*F68/1000</f>
        <v>115.17000000000002</v>
      </c>
      <c r="G28" s="139">
        <f>+G67*G68/1000</f>
        <v>113.03999999999999</v>
      </c>
      <c r="H28" s="138"/>
      <c r="I28" s="99"/>
      <c r="J28" s="74"/>
      <c r="K28" s="244"/>
    </row>
    <row r="29" spans="2:15">
      <c r="B29" s="78"/>
      <c r="C29" s="137"/>
      <c r="D29" s="134"/>
      <c r="E29" s="98"/>
      <c r="F29" s="98"/>
      <c r="G29" s="98"/>
      <c r="H29" s="98"/>
      <c r="I29" s="79"/>
      <c r="J29" s="74"/>
      <c r="K29" s="244"/>
    </row>
    <row r="30" spans="2:15">
      <c r="B30" s="128" t="s">
        <v>110</v>
      </c>
      <c r="C30" s="118"/>
      <c r="D30" s="134"/>
      <c r="E30" s="98"/>
      <c r="F30" s="98"/>
      <c r="G30" s="98"/>
      <c r="H30" s="98"/>
      <c r="I30" s="79"/>
      <c r="J30" s="74"/>
      <c r="K30" s="244"/>
    </row>
    <row r="31" spans="2:15">
      <c r="B31" s="133" t="s">
        <v>111</v>
      </c>
      <c r="C31" s="118" t="s">
        <v>15</v>
      </c>
      <c r="D31" s="136">
        <v>779893.90271614201</v>
      </c>
      <c r="E31" s="136">
        <v>779893.90271614201</v>
      </c>
      <c r="F31" s="136">
        <v>779893.90271614201</v>
      </c>
      <c r="G31" s="136">
        <v>779893.90271614201</v>
      </c>
      <c r="H31" s="135">
        <v>2015</v>
      </c>
      <c r="I31" s="79"/>
      <c r="J31" s="74"/>
    </row>
    <row r="32" spans="2:15">
      <c r="B32" s="78" t="s">
        <v>16</v>
      </c>
      <c r="C32" s="118" t="s">
        <v>17</v>
      </c>
      <c r="D32" s="136">
        <v>2492.6013469287059</v>
      </c>
      <c r="E32" s="136">
        <v>2610.8401287701954</v>
      </c>
      <c r="F32" s="136">
        <v>2740.736055989551</v>
      </c>
      <c r="G32" s="136">
        <v>2792.3794370870196</v>
      </c>
      <c r="H32" s="135">
        <v>2015</v>
      </c>
      <c r="I32" s="79"/>
      <c r="J32" s="74"/>
    </row>
    <row r="33" spans="2:11">
      <c r="B33" s="129" t="s">
        <v>18</v>
      </c>
      <c r="C33" s="118" t="s">
        <v>17</v>
      </c>
      <c r="D33" s="136">
        <v>1213.3511438994574</v>
      </c>
      <c r="E33" s="136">
        <v>1270.9075443152008</v>
      </c>
      <c r="F33" s="136">
        <v>1334.1384223991297</v>
      </c>
      <c r="G33" s="136">
        <v>1359.2774425664172</v>
      </c>
      <c r="H33" s="135">
        <v>2015</v>
      </c>
      <c r="I33" s="79"/>
      <c r="J33" s="74"/>
    </row>
    <row r="34" spans="2:11">
      <c r="B34" s="129" t="s">
        <v>19</v>
      </c>
      <c r="C34" s="118" t="s">
        <v>17</v>
      </c>
      <c r="D34" s="136">
        <v>1279.2502030292483</v>
      </c>
      <c r="E34" s="136">
        <v>1339.9325844549946</v>
      </c>
      <c r="F34" s="136">
        <v>1406.5976335904218</v>
      </c>
      <c r="G34" s="136">
        <v>1433.1019945206024</v>
      </c>
      <c r="H34" s="135">
        <v>2015</v>
      </c>
      <c r="I34" s="79"/>
      <c r="J34" s="74"/>
    </row>
    <row r="35" spans="2:11">
      <c r="B35" s="129"/>
      <c r="C35" s="118"/>
      <c r="D35" s="136"/>
      <c r="E35" s="136"/>
      <c r="F35" s="136"/>
      <c r="G35" s="136"/>
      <c r="H35" s="135"/>
      <c r="I35" s="79"/>
      <c r="J35" s="74"/>
    </row>
    <row r="36" spans="2:11">
      <c r="B36" s="129" t="s">
        <v>112</v>
      </c>
      <c r="C36" s="118" t="s">
        <v>17</v>
      </c>
      <c r="D36" s="136">
        <v>0</v>
      </c>
      <c r="E36" s="136">
        <v>0</v>
      </c>
      <c r="F36" s="136">
        <v>0</v>
      </c>
      <c r="G36" s="136">
        <v>0</v>
      </c>
      <c r="H36" s="135">
        <v>2015</v>
      </c>
      <c r="I36" s="79"/>
      <c r="J36" s="74"/>
    </row>
    <row r="37" spans="2:11">
      <c r="B37" s="128"/>
      <c r="C37" s="118"/>
      <c r="D37" s="134"/>
      <c r="E37" s="98"/>
      <c r="F37" s="98"/>
      <c r="G37" s="98"/>
      <c r="H37" s="98"/>
      <c r="I37" s="79"/>
      <c r="J37" s="74"/>
    </row>
    <row r="38" spans="2:11">
      <c r="B38" s="133" t="s">
        <v>111</v>
      </c>
      <c r="C38" s="118" t="s">
        <v>15</v>
      </c>
      <c r="D38" s="253">
        <v>751018.91308317415</v>
      </c>
      <c r="E38" s="253">
        <v>751018.91308317415</v>
      </c>
      <c r="F38" s="253">
        <v>751018.91308317415</v>
      </c>
      <c r="G38" s="253">
        <v>751018.91308317415</v>
      </c>
      <c r="H38" s="130">
        <v>2013</v>
      </c>
      <c r="I38" s="99" t="s">
        <v>654</v>
      </c>
      <c r="J38" s="74"/>
      <c r="K38" s="244"/>
    </row>
    <row r="39" spans="2:11">
      <c r="B39" s="78" t="s">
        <v>16</v>
      </c>
      <c r="C39" s="118" t="s">
        <v>17</v>
      </c>
      <c r="D39" s="257">
        <f>+SUM(D40:D43)</f>
        <v>2400.3146425436294</v>
      </c>
      <c r="E39" s="258">
        <f>+SUM(E40:E43)</f>
        <v>2514.1757217412114</v>
      </c>
      <c r="F39" s="258">
        <f>+SUM(F40:F43)</f>
        <v>2639.2623492099719</v>
      </c>
      <c r="G39" s="258">
        <f>+SUM(G40:G43)</f>
        <v>2688.9936726690776</v>
      </c>
      <c r="H39" s="130">
        <v>2013</v>
      </c>
      <c r="I39" s="99"/>
      <c r="J39" s="74"/>
      <c r="K39" s="244"/>
    </row>
    <row r="40" spans="2:11">
      <c r="B40" s="129" t="s">
        <v>18</v>
      </c>
      <c r="C40" s="118" t="s">
        <v>17</v>
      </c>
      <c r="D40" s="257">
        <v>1168.4277234454339</v>
      </c>
      <c r="E40" s="258">
        <v>1223.8531410960506</v>
      </c>
      <c r="F40" s="258">
        <v>1284.742943114635</v>
      </c>
      <c r="G40" s="258">
        <v>1308.9512098240671</v>
      </c>
      <c r="H40" s="130">
        <v>2013</v>
      </c>
      <c r="I40" s="99"/>
      <c r="J40" s="74"/>
      <c r="K40" s="244"/>
    </row>
    <row r="41" spans="2:11">
      <c r="B41" s="129" t="s">
        <v>19</v>
      </c>
      <c r="C41" s="118" t="s">
        <v>17</v>
      </c>
      <c r="D41" s="257">
        <f>(D68*D69)/D28</f>
        <v>1231.8869190981954</v>
      </c>
      <c r="E41" s="258">
        <f>(E68*E69)/E28</f>
        <v>1290.322580645161</v>
      </c>
      <c r="F41" s="258">
        <f>(F68*F69)/F28</f>
        <v>1354.5194060953372</v>
      </c>
      <c r="G41" s="258">
        <f>(G68*G69)/G28</f>
        <v>1380.0424628450107</v>
      </c>
      <c r="H41" s="130">
        <v>2013</v>
      </c>
      <c r="I41" s="99"/>
      <c r="J41" s="119" t="s">
        <v>155</v>
      </c>
      <c r="K41" s="244"/>
    </row>
    <row r="42" spans="2:11">
      <c r="B42" s="129"/>
      <c r="C42" s="118"/>
      <c r="D42" s="134"/>
      <c r="E42" s="98"/>
      <c r="F42" s="98"/>
      <c r="G42" s="98"/>
      <c r="H42" s="130"/>
      <c r="I42" s="99"/>
      <c r="J42" s="74"/>
      <c r="K42" s="244"/>
    </row>
    <row r="43" spans="2:11">
      <c r="B43" s="129" t="s">
        <v>112</v>
      </c>
      <c r="C43" s="118" t="s">
        <v>17</v>
      </c>
      <c r="D43" s="257">
        <v>0</v>
      </c>
      <c r="E43" s="256">
        <v>0</v>
      </c>
      <c r="F43" s="256">
        <v>0</v>
      </c>
      <c r="G43" s="256">
        <v>0</v>
      </c>
      <c r="H43" s="130">
        <v>2013</v>
      </c>
      <c r="I43" s="99"/>
      <c r="J43" s="119"/>
      <c r="K43" s="244"/>
    </row>
    <row r="44" spans="2:11">
      <c r="B44" s="129"/>
      <c r="C44" s="118"/>
      <c r="D44" s="134"/>
      <c r="E44" s="98"/>
      <c r="F44" s="98"/>
      <c r="G44" s="98"/>
      <c r="H44" s="98"/>
      <c r="I44" s="99"/>
      <c r="J44" s="74"/>
      <c r="K44" s="244"/>
    </row>
    <row r="45" spans="2:11">
      <c r="B45" s="128" t="s">
        <v>113</v>
      </c>
      <c r="C45" s="118"/>
      <c r="D45" s="134"/>
      <c r="E45" s="98"/>
      <c r="F45" s="98"/>
      <c r="G45" s="98"/>
      <c r="H45" s="127"/>
      <c r="I45" s="99"/>
      <c r="J45" s="74"/>
      <c r="K45" s="244"/>
    </row>
    <row r="46" spans="2:11">
      <c r="B46" s="123" t="s">
        <v>30</v>
      </c>
      <c r="C46" s="118"/>
      <c r="D46" s="134"/>
      <c r="E46" s="98"/>
      <c r="F46" s="98"/>
      <c r="G46" s="98"/>
      <c r="H46" s="126"/>
      <c r="I46" s="99"/>
      <c r="J46" s="74"/>
      <c r="K46" s="244"/>
    </row>
    <row r="47" spans="2:11">
      <c r="B47" s="78" t="s">
        <v>20</v>
      </c>
      <c r="C47" s="118" t="s">
        <v>133</v>
      </c>
      <c r="D47" s="255"/>
      <c r="E47" s="121"/>
      <c r="F47" s="121"/>
      <c r="G47" s="121"/>
      <c r="H47" s="126"/>
      <c r="I47" s="99"/>
      <c r="J47" s="119" t="s">
        <v>114</v>
      </c>
      <c r="K47" s="244"/>
    </row>
    <row r="48" spans="2:11">
      <c r="B48" s="78" t="s">
        <v>21</v>
      </c>
      <c r="C48" s="118" t="s">
        <v>133</v>
      </c>
      <c r="D48" s="124">
        <f t="shared" ref="D48:G52" si="0">D78/D$75</f>
        <v>5.70067229895981E-4</v>
      </c>
      <c r="E48" s="124">
        <f t="shared" si="0"/>
        <v>1.6299243669067753E-4</v>
      </c>
      <c r="F48" s="124">
        <f t="shared" si="0"/>
        <v>1.6299243669067753E-4</v>
      </c>
      <c r="G48" s="124">
        <f t="shared" si="0"/>
        <v>1.6299243669067753E-4</v>
      </c>
      <c r="H48" s="120"/>
      <c r="I48" s="99"/>
      <c r="J48" s="74"/>
      <c r="K48" s="244"/>
    </row>
    <row r="49" spans="2:11">
      <c r="B49" s="78" t="s">
        <v>22</v>
      </c>
      <c r="C49" s="118" t="s">
        <v>133</v>
      </c>
      <c r="D49" s="124">
        <f t="shared" si="0"/>
        <v>3.3862691824031407E-3</v>
      </c>
      <c r="E49" s="124">
        <f t="shared" si="0"/>
        <v>3.3862691824031407E-3</v>
      </c>
      <c r="F49" s="124">
        <f t="shared" si="0"/>
        <v>3.3862691824031407E-3</v>
      </c>
      <c r="G49" s="124">
        <f t="shared" si="0"/>
        <v>3.3862691824031407E-3</v>
      </c>
      <c r="H49" s="98"/>
      <c r="I49" s="99"/>
      <c r="J49" s="74"/>
      <c r="K49" s="244"/>
    </row>
    <row r="50" spans="2:11">
      <c r="B50" s="78" t="s">
        <v>23</v>
      </c>
      <c r="C50" s="118" t="s">
        <v>133</v>
      </c>
      <c r="D50" s="124">
        <f t="shared" si="0"/>
        <v>4.6837408023728819E-4</v>
      </c>
      <c r="E50" s="124">
        <f t="shared" si="0"/>
        <v>4.6837408023728814E-4</v>
      </c>
      <c r="F50" s="124">
        <f t="shared" si="0"/>
        <v>4.6837408023728825E-4</v>
      </c>
      <c r="G50" s="124">
        <f t="shared" si="0"/>
        <v>4.6837408023728819E-4</v>
      </c>
      <c r="H50" s="125"/>
      <c r="I50" s="99"/>
      <c r="J50" s="74"/>
      <c r="K50" s="244"/>
    </row>
    <row r="51" spans="2:11">
      <c r="B51" s="78" t="s">
        <v>115</v>
      </c>
      <c r="C51" s="118" t="s">
        <v>133</v>
      </c>
      <c r="D51" s="124">
        <f t="shared" si="0"/>
        <v>0.3488992416652627</v>
      </c>
      <c r="E51" s="124">
        <f t="shared" si="0"/>
        <v>3.6446302941253436E-2</v>
      </c>
      <c r="F51" s="124">
        <f t="shared" si="0"/>
        <v>3.6446302941253436E-2</v>
      </c>
      <c r="G51" s="124">
        <f t="shared" si="0"/>
        <v>3.6446302941253436E-2</v>
      </c>
      <c r="H51" s="98"/>
      <c r="I51" s="99"/>
      <c r="J51" s="74"/>
      <c r="K51" s="244"/>
    </row>
    <row r="52" spans="2:11">
      <c r="B52" s="78" t="s">
        <v>24</v>
      </c>
      <c r="C52" s="118" t="s">
        <v>133</v>
      </c>
      <c r="D52" s="124">
        <f t="shared" si="0"/>
        <v>3.2979813853448933E-3</v>
      </c>
      <c r="E52" s="124">
        <f t="shared" si="0"/>
        <v>3.6064433411829615E-4</v>
      </c>
      <c r="F52" s="124">
        <f t="shared" si="0"/>
        <v>3.6064433411829615E-4</v>
      </c>
      <c r="G52" s="124">
        <f t="shared" si="0"/>
        <v>3.6064433411829615E-4</v>
      </c>
      <c r="H52" s="98"/>
      <c r="I52" s="99"/>
      <c r="J52" s="74"/>
      <c r="K52" s="244"/>
    </row>
    <row r="53" spans="2:11">
      <c r="B53" s="78"/>
      <c r="C53" s="118"/>
      <c r="D53" s="122"/>
      <c r="E53" s="77"/>
      <c r="F53" s="77"/>
      <c r="G53" s="77"/>
      <c r="H53" s="98"/>
      <c r="I53" s="99"/>
      <c r="J53" s="74"/>
      <c r="K53" s="244"/>
    </row>
    <row r="54" spans="2:11">
      <c r="B54" s="123" t="s">
        <v>31</v>
      </c>
      <c r="C54" s="118"/>
      <c r="D54" s="134"/>
      <c r="E54" s="98"/>
      <c r="F54" s="98"/>
      <c r="G54" s="98"/>
      <c r="H54" s="120"/>
      <c r="I54" s="99"/>
      <c r="J54" s="74"/>
      <c r="K54" s="244"/>
    </row>
    <row r="55" spans="2:11">
      <c r="B55" s="78" t="s">
        <v>20</v>
      </c>
      <c r="C55" s="118" t="s">
        <v>133</v>
      </c>
      <c r="D55" s="255"/>
      <c r="E55" s="121"/>
      <c r="F55" s="121"/>
      <c r="G55" s="121"/>
      <c r="H55" s="197"/>
      <c r="I55" s="99"/>
      <c r="J55" s="119" t="s">
        <v>114</v>
      </c>
      <c r="K55" s="244"/>
    </row>
    <row r="56" spans="2:11">
      <c r="B56" s="78" t="s">
        <v>21</v>
      </c>
      <c r="C56" s="118" t="s">
        <v>133</v>
      </c>
      <c r="D56" s="117">
        <f t="shared" ref="D56:G60" si="1">D48</f>
        <v>5.70067229895981E-4</v>
      </c>
      <c r="E56" s="117">
        <f t="shared" si="1"/>
        <v>1.6299243669067753E-4</v>
      </c>
      <c r="F56" s="117">
        <f t="shared" si="1"/>
        <v>1.6299243669067753E-4</v>
      </c>
      <c r="G56" s="117">
        <f t="shared" si="1"/>
        <v>1.6299243669067753E-4</v>
      </c>
      <c r="H56" s="197"/>
      <c r="I56" s="99"/>
      <c r="J56" s="74"/>
      <c r="K56" s="244"/>
    </row>
    <row r="57" spans="2:11">
      <c r="B57" s="78" t="s">
        <v>22</v>
      </c>
      <c r="C57" s="118" t="s">
        <v>133</v>
      </c>
      <c r="D57" s="117">
        <f t="shared" si="1"/>
        <v>3.3862691824031407E-3</v>
      </c>
      <c r="E57" s="117">
        <f t="shared" si="1"/>
        <v>3.3862691824031407E-3</v>
      </c>
      <c r="F57" s="117">
        <f t="shared" si="1"/>
        <v>3.3862691824031407E-3</v>
      </c>
      <c r="G57" s="117">
        <f t="shared" si="1"/>
        <v>3.3862691824031407E-3</v>
      </c>
      <c r="H57" s="197"/>
      <c r="I57" s="99"/>
      <c r="J57" s="74"/>
      <c r="K57" s="244"/>
    </row>
    <row r="58" spans="2:11">
      <c r="B58" s="78" t="s">
        <v>23</v>
      </c>
      <c r="C58" s="118" t="s">
        <v>133</v>
      </c>
      <c r="D58" s="117">
        <f t="shared" si="1"/>
        <v>4.6837408023728819E-4</v>
      </c>
      <c r="E58" s="117">
        <f t="shared" si="1"/>
        <v>4.6837408023728814E-4</v>
      </c>
      <c r="F58" s="117">
        <f t="shared" si="1"/>
        <v>4.6837408023728825E-4</v>
      </c>
      <c r="G58" s="117">
        <f t="shared" si="1"/>
        <v>4.6837408023728819E-4</v>
      </c>
      <c r="H58" s="197"/>
      <c r="I58" s="99"/>
      <c r="J58" s="74"/>
      <c r="K58" s="244"/>
    </row>
    <row r="59" spans="2:11">
      <c r="B59" s="78" t="s">
        <v>115</v>
      </c>
      <c r="C59" s="118" t="s">
        <v>133</v>
      </c>
      <c r="D59" s="117">
        <f t="shared" si="1"/>
        <v>0.3488992416652627</v>
      </c>
      <c r="E59" s="117">
        <f t="shared" si="1"/>
        <v>3.6446302941253436E-2</v>
      </c>
      <c r="F59" s="117">
        <f t="shared" si="1"/>
        <v>3.6446302941253436E-2</v>
      </c>
      <c r="G59" s="117">
        <f t="shared" si="1"/>
        <v>3.6446302941253436E-2</v>
      </c>
      <c r="H59" s="197"/>
      <c r="I59" s="99"/>
      <c r="J59" s="74"/>
      <c r="K59" s="244"/>
    </row>
    <row r="60" spans="2:11">
      <c r="B60" s="78" t="s">
        <v>24</v>
      </c>
      <c r="C60" s="118" t="s">
        <v>133</v>
      </c>
      <c r="D60" s="117">
        <f t="shared" si="1"/>
        <v>3.2979813853448933E-3</v>
      </c>
      <c r="E60" s="117">
        <f t="shared" si="1"/>
        <v>3.6064433411829615E-4</v>
      </c>
      <c r="F60" s="117">
        <f t="shared" si="1"/>
        <v>3.6064433411829615E-4</v>
      </c>
      <c r="G60" s="117">
        <f t="shared" si="1"/>
        <v>3.6064433411829615E-4</v>
      </c>
      <c r="H60" s="135"/>
      <c r="I60" s="99"/>
      <c r="J60" s="74"/>
      <c r="K60" s="244"/>
    </row>
    <row r="61" spans="2:11" ht="14.4" thickBot="1">
      <c r="B61" s="115"/>
      <c r="C61" s="114"/>
      <c r="D61" s="113"/>
      <c r="E61" s="72"/>
      <c r="F61" s="72"/>
      <c r="G61" s="72"/>
      <c r="H61" s="98"/>
      <c r="I61" s="111"/>
      <c r="J61" s="90"/>
      <c r="K61" s="244"/>
    </row>
    <row r="62" spans="2:11">
      <c r="I62" s="69"/>
      <c r="K62" s="244"/>
    </row>
    <row r="63" spans="2:11">
      <c r="I63" s="69"/>
      <c r="K63" s="244"/>
    </row>
    <row r="64" spans="2:11" ht="16.2" thickBot="1">
      <c r="B64" s="89" t="s">
        <v>116</v>
      </c>
      <c r="I64" s="69"/>
      <c r="K64" s="244"/>
    </row>
    <row r="65" spans="2:11">
      <c r="B65" s="88"/>
      <c r="C65" s="110"/>
      <c r="D65" s="85"/>
      <c r="E65" s="85"/>
      <c r="F65" s="85"/>
      <c r="G65" s="85"/>
      <c r="H65" s="85"/>
      <c r="I65" s="84"/>
      <c r="J65" s="83"/>
      <c r="K65" s="244"/>
    </row>
    <row r="66" spans="2:11">
      <c r="B66" s="109"/>
      <c r="C66" s="108" t="s">
        <v>98</v>
      </c>
      <c r="D66" s="107">
        <v>2015</v>
      </c>
      <c r="E66" s="106">
        <v>2020</v>
      </c>
      <c r="F66" s="106">
        <v>2035</v>
      </c>
      <c r="G66" s="106">
        <v>2050</v>
      </c>
      <c r="H66" s="106"/>
      <c r="I66" s="105"/>
      <c r="J66" s="104"/>
      <c r="K66" s="244"/>
    </row>
    <row r="67" spans="2:11">
      <c r="B67" s="78" t="s">
        <v>25</v>
      </c>
      <c r="C67" s="95" t="s">
        <v>151</v>
      </c>
      <c r="D67" s="254">
        <f>D71*D75</f>
        <v>2.5327000000000002</v>
      </c>
      <c r="E67" s="254">
        <f>E71*E75</f>
        <v>2.4180000000000001</v>
      </c>
      <c r="F67" s="254">
        <f>F71*F75</f>
        <v>2.3034000000000003</v>
      </c>
      <c r="G67" s="254">
        <f>G71*G75</f>
        <v>2.2607999999999997</v>
      </c>
      <c r="H67" s="254"/>
      <c r="I67" s="79"/>
      <c r="J67" s="74"/>
      <c r="K67" s="244"/>
    </row>
    <row r="68" spans="2:11">
      <c r="B68" s="78" t="s">
        <v>120</v>
      </c>
      <c r="C68" s="95" t="s">
        <v>121</v>
      </c>
      <c r="D68" s="253">
        <v>50000</v>
      </c>
      <c r="E68" s="253">
        <v>50000</v>
      </c>
      <c r="F68" s="253">
        <v>50000</v>
      </c>
      <c r="G68" s="253">
        <v>50000</v>
      </c>
      <c r="H68" s="253"/>
      <c r="I68" s="99" t="s">
        <v>645</v>
      </c>
      <c r="J68" s="74"/>
      <c r="K68" s="244"/>
    </row>
    <row r="69" spans="2:11">
      <c r="B69" s="78" t="s">
        <v>123</v>
      </c>
      <c r="C69" s="202" t="s">
        <v>36</v>
      </c>
      <c r="D69" s="252">
        <f>156000/D68</f>
        <v>3.12</v>
      </c>
      <c r="E69" s="252">
        <f>156000/E68</f>
        <v>3.12</v>
      </c>
      <c r="F69" s="252">
        <f>156000/F68</f>
        <v>3.12</v>
      </c>
      <c r="G69" s="252">
        <f>156000/G68</f>
        <v>3.12</v>
      </c>
      <c r="H69" s="252"/>
      <c r="I69" s="99" t="s">
        <v>645</v>
      </c>
      <c r="J69" s="119"/>
      <c r="K69" s="244"/>
    </row>
    <row r="70" spans="2:11">
      <c r="B70" s="165" t="s">
        <v>162</v>
      </c>
      <c r="C70" s="202" t="s">
        <v>163</v>
      </c>
      <c r="D70" s="251">
        <v>2.6907726931732934</v>
      </c>
      <c r="E70" s="251">
        <v>2.9667493796526059</v>
      </c>
      <c r="F70" s="251">
        <v>3.4257879656160459</v>
      </c>
      <c r="G70" s="251">
        <v>3.8076433121019111</v>
      </c>
      <c r="H70" s="250"/>
      <c r="I70" s="99"/>
      <c r="J70" s="74"/>
      <c r="K70" s="244"/>
    </row>
    <row r="71" spans="2:11">
      <c r="B71" s="165" t="s">
        <v>164</v>
      </c>
      <c r="C71" s="202" t="s">
        <v>26</v>
      </c>
      <c r="D71" s="249">
        <v>0.19</v>
      </c>
      <c r="E71" s="249">
        <v>0.2</v>
      </c>
      <c r="F71" s="249">
        <v>0.22</v>
      </c>
      <c r="G71" s="249">
        <v>0.24</v>
      </c>
      <c r="H71" s="249"/>
      <c r="I71" s="79" t="s">
        <v>643</v>
      </c>
      <c r="J71" s="119"/>
      <c r="K71" s="244"/>
    </row>
    <row r="72" spans="2:11" ht="14.4" thickBot="1">
      <c r="B72" s="248"/>
      <c r="C72" s="247"/>
      <c r="D72" s="246"/>
      <c r="E72" s="246"/>
      <c r="F72" s="246"/>
      <c r="G72" s="246"/>
      <c r="H72" s="246"/>
      <c r="I72" s="99"/>
      <c r="J72" s="90"/>
      <c r="K72" s="244"/>
    </row>
    <row r="73" spans="2:11">
      <c r="D73" s="192"/>
      <c r="E73" s="192"/>
      <c r="F73" s="192"/>
      <c r="G73" s="192"/>
      <c r="H73" s="192"/>
      <c r="K73" s="244"/>
    </row>
    <row r="74" spans="2:11" ht="16.2" thickBot="1">
      <c r="B74" s="89" t="s">
        <v>125</v>
      </c>
      <c r="K74" s="244"/>
    </row>
    <row r="75" spans="2:11">
      <c r="B75" s="88" t="s">
        <v>149</v>
      </c>
      <c r="C75" s="85"/>
      <c r="D75" s="182">
        <v>13.33</v>
      </c>
      <c r="E75" s="182">
        <v>12.09</v>
      </c>
      <c r="F75" s="182">
        <v>10.47</v>
      </c>
      <c r="G75" s="182">
        <v>9.42</v>
      </c>
      <c r="H75" s="182"/>
      <c r="I75" s="85" t="s">
        <v>643</v>
      </c>
      <c r="J75" s="83"/>
      <c r="K75" s="244"/>
    </row>
    <row r="76" spans="2:11">
      <c r="B76" s="78"/>
      <c r="C76" s="77"/>
      <c r="D76" s="245"/>
      <c r="E76" s="245"/>
      <c r="F76" s="245"/>
      <c r="G76" s="245"/>
      <c r="H76" s="245"/>
      <c r="I76" s="77"/>
      <c r="J76" s="74"/>
      <c r="K76" s="244"/>
    </row>
    <row r="77" spans="2:11">
      <c r="B77" s="78" t="s">
        <v>20</v>
      </c>
      <c r="C77" s="77" t="s">
        <v>27</v>
      </c>
      <c r="D77" s="243"/>
      <c r="E77" s="243"/>
      <c r="F77" s="243"/>
      <c r="G77" s="243"/>
      <c r="H77" s="243"/>
      <c r="I77" s="77"/>
      <c r="J77" s="74"/>
      <c r="K77" s="244"/>
    </row>
    <row r="78" spans="2:11">
      <c r="B78" s="78" t="s">
        <v>21</v>
      </c>
      <c r="C78" s="77" t="s">
        <v>27</v>
      </c>
      <c r="D78" s="243">
        <f t="shared" ref="D78:G82" si="2">D88/1000*D$75</f>
        <v>7.5989961745134265E-3</v>
      </c>
      <c r="E78" s="243">
        <f t="shared" si="2"/>
        <v>1.9705785595902914E-3</v>
      </c>
      <c r="F78" s="243">
        <f t="shared" si="2"/>
        <v>1.7065308121513938E-3</v>
      </c>
      <c r="G78" s="243">
        <f t="shared" si="2"/>
        <v>1.5353887536261822E-3</v>
      </c>
      <c r="H78" s="243"/>
      <c r="I78" s="77"/>
      <c r="J78" s="74"/>
      <c r="K78" s="244"/>
    </row>
    <row r="79" spans="2:11">
      <c r="B79" s="78" t="s">
        <v>22</v>
      </c>
      <c r="C79" s="77" t="s">
        <v>27</v>
      </c>
      <c r="D79" s="243">
        <f t="shared" si="2"/>
        <v>4.5138968201433864E-2</v>
      </c>
      <c r="E79" s="243">
        <f t="shared" si="2"/>
        <v>4.093999441525397E-2</v>
      </c>
      <c r="F79" s="243">
        <f t="shared" si="2"/>
        <v>3.5454238339760885E-2</v>
      </c>
      <c r="G79" s="243">
        <f t="shared" si="2"/>
        <v>3.1898655698237584E-2</v>
      </c>
      <c r="H79" s="243"/>
      <c r="I79" s="77"/>
      <c r="J79" s="74"/>
      <c r="K79" s="244"/>
    </row>
    <row r="80" spans="2:11">
      <c r="B80" s="78" t="s">
        <v>23</v>
      </c>
      <c r="C80" s="77" t="s">
        <v>27</v>
      </c>
      <c r="D80" s="243">
        <f t="shared" si="2"/>
        <v>6.2434264895630514E-3</v>
      </c>
      <c r="E80" s="243">
        <f t="shared" si="2"/>
        <v>5.6626426300688138E-3</v>
      </c>
      <c r="F80" s="243">
        <f t="shared" si="2"/>
        <v>4.903876620084408E-3</v>
      </c>
      <c r="G80" s="243">
        <f t="shared" si="2"/>
        <v>4.412083835835255E-3</v>
      </c>
      <c r="H80" s="243"/>
      <c r="I80" s="77"/>
      <c r="J80" s="74"/>
      <c r="K80" s="244"/>
    </row>
    <row r="81" spans="2:13">
      <c r="B81" s="165" t="s">
        <v>37</v>
      </c>
      <c r="C81" s="77" t="s">
        <v>27</v>
      </c>
      <c r="D81" s="243">
        <f t="shared" si="2"/>
        <v>4.6508268913979522</v>
      </c>
      <c r="E81" s="243">
        <f t="shared" si="2"/>
        <v>0.44063580255975404</v>
      </c>
      <c r="F81" s="243">
        <f t="shared" si="2"/>
        <v>0.3815927917949235</v>
      </c>
      <c r="G81" s="243">
        <f t="shared" si="2"/>
        <v>0.34332417370660734</v>
      </c>
      <c r="H81" s="243"/>
      <c r="I81" s="77"/>
      <c r="J81" s="119"/>
      <c r="K81" s="244"/>
    </row>
    <row r="82" spans="2:13">
      <c r="B82" s="78" t="s">
        <v>24</v>
      </c>
      <c r="C82" s="77" t="s">
        <v>27</v>
      </c>
      <c r="D82" s="243">
        <f t="shared" si="2"/>
        <v>4.3962091866647429E-2</v>
      </c>
      <c r="E82" s="243">
        <f t="shared" si="2"/>
        <v>4.3601899994902002E-3</v>
      </c>
      <c r="F82" s="243">
        <f t="shared" si="2"/>
        <v>3.7759461782185611E-3</v>
      </c>
      <c r="G82" s="243">
        <f t="shared" si="2"/>
        <v>3.3972696273943497E-3</v>
      </c>
      <c r="H82" s="243"/>
      <c r="I82" s="77"/>
      <c r="J82" s="119"/>
    </row>
    <row r="83" spans="2:13" ht="14.4" thickBot="1">
      <c r="B83" s="73"/>
      <c r="C83" s="72"/>
      <c r="D83" s="242"/>
      <c r="E83" s="242"/>
      <c r="F83" s="242"/>
      <c r="G83" s="242"/>
      <c r="H83" s="242"/>
      <c r="I83" s="72"/>
      <c r="J83" s="90"/>
    </row>
    <row r="85" spans="2:13" ht="14.4" thickBot="1">
      <c r="B85" s="154" t="s">
        <v>171</v>
      </c>
    </row>
    <row r="86" spans="2:13">
      <c r="B86" s="88"/>
      <c r="C86" s="85"/>
      <c r="D86" s="241">
        <v>2015</v>
      </c>
      <c r="E86" s="241">
        <v>2020</v>
      </c>
      <c r="F86" s="241">
        <v>2035</v>
      </c>
      <c r="G86" s="241">
        <v>2050</v>
      </c>
      <c r="H86" s="241"/>
    </row>
    <row r="87" spans="2:13">
      <c r="B87" s="240" t="s">
        <v>20</v>
      </c>
      <c r="C87" s="135" t="s">
        <v>172</v>
      </c>
      <c r="D87" s="238"/>
      <c r="E87" s="238"/>
      <c r="F87" s="238"/>
      <c r="G87" s="238"/>
      <c r="H87" s="238"/>
    </row>
    <row r="88" spans="2:13">
      <c r="B88" s="240" t="s">
        <v>21</v>
      </c>
      <c r="C88" s="77" t="s">
        <v>172</v>
      </c>
      <c r="D88" s="239">
        <f>'EU Lastbil'!D107</f>
        <v>0.57006722989598102</v>
      </c>
      <c r="E88" s="239">
        <f>'EU Lastbil'!E107</f>
        <v>0.16299243669067753</v>
      </c>
      <c r="F88" s="239">
        <f>'EU Lastbil'!F107</f>
        <v>0.16299243669067753</v>
      </c>
      <c r="G88" s="238">
        <f>F88</f>
        <v>0.16299243669067753</v>
      </c>
      <c r="H88" s="239"/>
      <c r="J88" s="188"/>
      <c r="K88" s="188"/>
      <c r="L88" s="188"/>
      <c r="M88" s="188"/>
    </row>
    <row r="89" spans="2:13">
      <c r="B89" s="240" t="s">
        <v>22</v>
      </c>
      <c r="C89" s="77" t="s">
        <v>172</v>
      </c>
      <c r="D89" s="239">
        <f>'EU Lastbil'!D108</f>
        <v>3.3862691824031406</v>
      </c>
      <c r="E89" s="239">
        <f>'EU Lastbil'!E108</f>
        <v>3.3862691824031406</v>
      </c>
      <c r="F89" s="239">
        <f>'EU Lastbil'!F108</f>
        <v>3.3862691824031406</v>
      </c>
      <c r="G89" s="238">
        <f>F89</f>
        <v>3.3862691824031406</v>
      </c>
      <c r="H89" s="239"/>
      <c r="J89" s="188"/>
      <c r="K89" s="188"/>
      <c r="L89" s="188"/>
      <c r="M89" s="188"/>
    </row>
    <row r="90" spans="2:13">
      <c r="B90" s="240" t="s">
        <v>23</v>
      </c>
      <c r="C90" s="77" t="s">
        <v>172</v>
      </c>
      <c r="D90" s="239">
        <f>'EU Lastbil'!D109</f>
        <v>0.46837408023728822</v>
      </c>
      <c r="E90" s="239">
        <f>'EU Lastbil'!E109</f>
        <v>0.46837408023728822</v>
      </c>
      <c r="F90" s="239">
        <f>'EU Lastbil'!F109</f>
        <v>0.46837408023728822</v>
      </c>
      <c r="G90" s="238">
        <f>F90</f>
        <v>0.46837408023728822</v>
      </c>
      <c r="H90" s="239"/>
      <c r="J90" s="188"/>
      <c r="K90" s="188"/>
      <c r="L90" s="188"/>
      <c r="M90" s="188"/>
    </row>
    <row r="91" spans="2:13">
      <c r="B91" s="133" t="s">
        <v>37</v>
      </c>
      <c r="C91" s="77" t="s">
        <v>172</v>
      </c>
      <c r="D91" s="238">
        <f>'EU Lastbil'!D110</f>
        <v>348.89924166526276</v>
      </c>
      <c r="E91" s="238">
        <f>'EU Lastbil'!E110</f>
        <v>36.446302941253435</v>
      </c>
      <c r="F91" s="238">
        <f>'EU Lastbil'!F110</f>
        <v>36.446302941253435</v>
      </c>
      <c r="G91" s="238">
        <f>F91</f>
        <v>36.446302941253435</v>
      </c>
      <c r="H91" s="238"/>
      <c r="J91" s="188"/>
      <c r="K91" s="188"/>
      <c r="L91" s="188"/>
      <c r="M91" s="188"/>
    </row>
    <row r="92" spans="2:13" ht="14.4" thickBot="1">
      <c r="B92" s="237" t="s">
        <v>24</v>
      </c>
      <c r="C92" s="72" t="s">
        <v>172</v>
      </c>
      <c r="D92" s="236">
        <f>'EU Lastbil'!D111</f>
        <v>3.2979813853448934</v>
      </c>
      <c r="E92" s="236">
        <f>'EU Lastbil'!E111</f>
        <v>0.36064433411829616</v>
      </c>
      <c r="F92" s="236">
        <f>'EU Lastbil'!F111</f>
        <v>0.36064433411829616</v>
      </c>
      <c r="G92" s="236">
        <f>F92</f>
        <v>0.36064433411829616</v>
      </c>
      <c r="H92" s="236"/>
      <c r="J92" s="188"/>
      <c r="K92" s="188"/>
      <c r="L92" s="188"/>
      <c r="M92" s="188"/>
    </row>
    <row r="95" spans="2:13">
      <c r="B95" s="235"/>
      <c r="C95" s="221"/>
      <c r="D95" s="221"/>
      <c r="E95" s="221"/>
      <c r="F95" s="221"/>
      <c r="G95" s="221"/>
    </row>
    <row r="96" spans="2:13">
      <c r="B96" s="235" t="s">
        <v>270</v>
      </c>
      <c r="C96" s="221"/>
      <c r="D96" s="221"/>
      <c r="E96" s="221"/>
      <c r="F96" s="221"/>
      <c r="G96" s="221"/>
    </row>
    <row r="97" spans="2:7">
      <c r="B97" s="232"/>
      <c r="C97" s="232"/>
      <c r="D97" s="234">
        <v>2015</v>
      </c>
      <c r="E97" s="234">
        <v>2020</v>
      </c>
      <c r="F97" s="234">
        <v>2035</v>
      </c>
      <c r="G97" s="221"/>
    </row>
    <row r="98" spans="2:7">
      <c r="B98" s="223"/>
      <c r="C98" s="223"/>
      <c r="D98" s="233" t="s">
        <v>269</v>
      </c>
      <c r="E98" s="233" t="s">
        <v>239</v>
      </c>
      <c r="F98" s="233" t="s">
        <v>239</v>
      </c>
      <c r="G98" s="221"/>
    </row>
    <row r="99" spans="2:7">
      <c r="B99" s="232" t="s">
        <v>268</v>
      </c>
      <c r="C99" s="232" t="s">
        <v>151</v>
      </c>
      <c r="D99" s="231">
        <v>8.8593075104294687</v>
      </c>
      <c r="E99" s="231">
        <v>8.8593075104294687</v>
      </c>
      <c r="F99" s="231">
        <v>8.8593075104294687</v>
      </c>
      <c r="G99" s="221"/>
    </row>
    <row r="100" spans="2:7">
      <c r="B100" s="225" t="s">
        <v>20</v>
      </c>
      <c r="C100" s="225" t="s">
        <v>27</v>
      </c>
      <c r="D100" s="230">
        <v>655.58875577178071</v>
      </c>
      <c r="E100" s="230">
        <v>655.58875577178071</v>
      </c>
      <c r="F100" s="230">
        <v>655.58875577178071</v>
      </c>
      <c r="G100" s="221"/>
    </row>
    <row r="101" spans="2:7">
      <c r="B101" s="225" t="s">
        <v>21</v>
      </c>
      <c r="C101" s="225" t="s">
        <v>27</v>
      </c>
      <c r="D101" s="229">
        <v>5.0504008912671868E-3</v>
      </c>
      <c r="E101" s="229">
        <v>1.4440001185169191E-3</v>
      </c>
      <c r="F101" s="229">
        <v>1.4440001185169191E-3</v>
      </c>
      <c r="G101" s="221"/>
    </row>
    <row r="102" spans="2:7">
      <c r="B102" s="225" t="s">
        <v>22</v>
      </c>
      <c r="C102" s="225" t="s">
        <v>27</v>
      </c>
      <c r="D102" s="229">
        <v>0.03</v>
      </c>
      <c r="E102" s="229">
        <v>0.03</v>
      </c>
      <c r="F102" s="229">
        <v>0.03</v>
      </c>
      <c r="G102" s="221"/>
    </row>
    <row r="103" spans="2:7">
      <c r="B103" s="225" t="s">
        <v>23</v>
      </c>
      <c r="C103" s="225" t="s">
        <v>27</v>
      </c>
      <c r="D103" s="229">
        <v>4.1494700067367021E-3</v>
      </c>
      <c r="E103" s="229">
        <v>4.1494700067367021E-3</v>
      </c>
      <c r="F103" s="229">
        <v>4.1494700067367021E-3</v>
      </c>
      <c r="G103" s="221"/>
    </row>
    <row r="104" spans="2:7">
      <c r="B104" s="225" t="s">
        <v>37</v>
      </c>
      <c r="C104" s="225" t="s">
        <v>27</v>
      </c>
      <c r="D104" s="229">
        <v>3.0910056720682086</v>
      </c>
      <c r="E104" s="229">
        <v>0.32288900537483423</v>
      </c>
      <c r="F104" s="229">
        <v>0.32288900537483423</v>
      </c>
      <c r="G104" s="221"/>
    </row>
    <row r="105" spans="2:7">
      <c r="B105" s="223" t="s">
        <v>267</v>
      </c>
      <c r="C105" s="223" t="s">
        <v>27</v>
      </c>
      <c r="D105" s="228">
        <v>2.9217831256442596E-2</v>
      </c>
      <c r="E105" s="228">
        <v>3.1950590578480559E-3</v>
      </c>
      <c r="F105" s="228">
        <v>3.1950590578480559E-3</v>
      </c>
      <c r="G105" s="221"/>
    </row>
    <row r="106" spans="2:7">
      <c r="B106" s="225" t="s">
        <v>20</v>
      </c>
      <c r="C106" s="225" t="s">
        <v>172</v>
      </c>
      <c r="D106" s="227">
        <f t="shared" ref="D106:F111" si="3">1000*D100/D$99</f>
        <v>74000</v>
      </c>
      <c r="E106" s="227">
        <f t="shared" si="3"/>
        <v>74000</v>
      </c>
      <c r="F106" s="227">
        <f t="shared" si="3"/>
        <v>74000</v>
      </c>
      <c r="G106" s="221"/>
    </row>
    <row r="107" spans="2:7">
      <c r="B107" s="225" t="s">
        <v>21</v>
      </c>
      <c r="C107" s="225" t="s">
        <v>172</v>
      </c>
      <c r="D107" s="226">
        <f t="shared" si="3"/>
        <v>0.57006722989598102</v>
      </c>
      <c r="E107" s="226">
        <f t="shared" si="3"/>
        <v>0.16299243669067753</v>
      </c>
      <c r="F107" s="226">
        <f t="shared" si="3"/>
        <v>0.16299243669067753</v>
      </c>
      <c r="G107" s="221"/>
    </row>
    <row r="108" spans="2:7">
      <c r="B108" s="225" t="s">
        <v>22</v>
      </c>
      <c r="C108" s="225" t="s">
        <v>172</v>
      </c>
      <c r="D108" s="226">
        <f t="shared" si="3"/>
        <v>3.3862691824031406</v>
      </c>
      <c r="E108" s="226">
        <f t="shared" si="3"/>
        <v>3.3862691824031406</v>
      </c>
      <c r="F108" s="226">
        <f t="shared" si="3"/>
        <v>3.3862691824031406</v>
      </c>
      <c r="G108" s="221"/>
    </row>
    <row r="109" spans="2:7">
      <c r="B109" s="225" t="s">
        <v>23</v>
      </c>
      <c r="C109" s="225" t="s">
        <v>172</v>
      </c>
      <c r="D109" s="226">
        <f t="shared" si="3"/>
        <v>0.46837408023728822</v>
      </c>
      <c r="E109" s="226">
        <f t="shared" si="3"/>
        <v>0.46837408023728822</v>
      </c>
      <c r="F109" s="226">
        <f t="shared" si="3"/>
        <v>0.46837408023728822</v>
      </c>
      <c r="G109" s="221"/>
    </row>
    <row r="110" spans="2:7">
      <c r="B110" s="225" t="s">
        <v>37</v>
      </c>
      <c r="C110" s="225" t="s">
        <v>172</v>
      </c>
      <c r="D110" s="224">
        <f t="shared" si="3"/>
        <v>348.89924166526276</v>
      </c>
      <c r="E110" s="224">
        <f t="shared" si="3"/>
        <v>36.446302941253435</v>
      </c>
      <c r="F110" s="224">
        <f t="shared" si="3"/>
        <v>36.446302941253435</v>
      </c>
      <c r="G110" s="221"/>
    </row>
    <row r="111" spans="2:7">
      <c r="B111" s="223" t="s">
        <v>267</v>
      </c>
      <c r="C111" s="223" t="s">
        <v>172</v>
      </c>
      <c r="D111" s="222">
        <f t="shared" si="3"/>
        <v>3.2979813853448934</v>
      </c>
      <c r="E111" s="222">
        <f t="shared" si="3"/>
        <v>0.36064433411829616</v>
      </c>
      <c r="F111" s="222">
        <f t="shared" si="3"/>
        <v>0.36064433411829616</v>
      </c>
      <c r="G111" s="221"/>
    </row>
    <row r="112" spans="2:7">
      <c r="B112" s="221" t="s">
        <v>266</v>
      </c>
      <c r="C112" s="221"/>
      <c r="D112" s="221"/>
      <c r="E112" s="221"/>
      <c r="F112" s="221"/>
      <c r="G112" s="221"/>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'C:\Users\B003920\Desktop\[Kopi af alternativ_drivmiddelmodel_3.0_2.xlsm]Sheet1'!#REF!</xm:f>
          </x14:formula1>
          <xm:sqref>C9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B1:U130"/>
  <sheetViews>
    <sheetView topLeftCell="A61" zoomScale="85" zoomScaleNormal="85" workbookViewId="0">
      <selection activeCell="E85" sqref="E85"/>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1" width="9" style="65" customWidth="1"/>
    <col min="12" max="12" width="10.88671875" style="65" customWidth="1"/>
    <col min="13" max="13" width="29.6640625" style="65" customWidth="1"/>
    <col min="14" max="14" width="15.44140625" style="65" customWidth="1"/>
    <col min="15" max="15" width="10.6640625" style="65" customWidth="1"/>
    <col min="16" max="16" width="12.33203125" style="65" customWidth="1"/>
    <col min="17" max="18" width="8.88671875" style="65"/>
    <col min="19" max="19" width="9.109375" style="65" customWidth="1"/>
    <col min="20" max="16384" width="8.88671875" style="65"/>
  </cols>
  <sheetData>
    <row r="1" spans="2:19" s="62" customFormat="1" ht="21">
      <c r="B1" s="62" t="s">
        <v>33</v>
      </c>
      <c r="Q1" s="62">
        <v>0</v>
      </c>
      <c r="R1" s="64">
        <v>0</v>
      </c>
      <c r="S1" s="63"/>
    </row>
    <row r="2" spans="2:19">
      <c r="R2" s="158"/>
      <c r="S2" s="158"/>
    </row>
    <row r="4" spans="2:19" ht="14.4" thickBot="1">
      <c r="B4" s="154" t="s">
        <v>91</v>
      </c>
    </row>
    <row r="5" spans="2:19">
      <c r="B5" s="157" t="s">
        <v>92</v>
      </c>
      <c r="C5" s="85"/>
      <c r="D5" s="85"/>
      <c r="E5" s="85"/>
      <c r="F5" s="85"/>
      <c r="G5" s="85"/>
      <c r="H5" s="85"/>
      <c r="I5" s="85"/>
      <c r="J5" s="85"/>
      <c r="K5" s="85"/>
      <c r="L5" s="85"/>
      <c r="M5" s="85"/>
      <c r="N5" s="85"/>
      <c r="O5" s="83"/>
    </row>
    <row r="6" spans="2:19">
      <c r="B6" s="133" t="s">
        <v>181</v>
      </c>
      <c r="C6" s="77"/>
      <c r="D6" s="77"/>
      <c r="E6" s="77"/>
      <c r="F6" s="77"/>
      <c r="G6" s="77"/>
      <c r="H6" s="77"/>
      <c r="I6" s="77"/>
      <c r="J6" s="77"/>
      <c r="K6" s="77"/>
      <c r="L6" s="77"/>
      <c r="M6" s="77"/>
      <c r="N6" s="77"/>
      <c r="O6" s="74"/>
    </row>
    <row r="7" spans="2:19">
      <c r="B7" s="133"/>
      <c r="C7" s="77"/>
      <c r="D7" s="77"/>
      <c r="E7" s="77"/>
      <c r="F7" s="77"/>
      <c r="G7" s="77"/>
      <c r="H7" s="77"/>
      <c r="I7" s="77"/>
      <c r="J7" s="77"/>
      <c r="K7" s="77"/>
      <c r="L7" s="77"/>
      <c r="M7" s="77"/>
      <c r="N7" s="77"/>
      <c r="O7" s="74"/>
    </row>
    <row r="8" spans="2:19">
      <c r="B8" s="133"/>
      <c r="C8" s="77"/>
      <c r="D8" s="77"/>
      <c r="E8" s="77"/>
      <c r="F8" s="77"/>
      <c r="G8" s="77"/>
      <c r="H8" s="77"/>
      <c r="I8" s="77"/>
      <c r="J8" s="77"/>
      <c r="K8" s="77"/>
      <c r="L8" s="77"/>
      <c r="M8" s="77"/>
      <c r="N8" s="77"/>
      <c r="O8" s="74"/>
    </row>
    <row r="9" spans="2:19">
      <c r="B9" s="156" t="s">
        <v>232</v>
      </c>
      <c r="C9" s="61" t="s">
        <v>231</v>
      </c>
      <c r="D9" s="77"/>
      <c r="E9" s="77"/>
      <c r="F9" s="77"/>
      <c r="G9" s="77"/>
      <c r="H9" s="77"/>
      <c r="I9" s="77"/>
      <c r="J9" s="77"/>
      <c r="K9" s="77"/>
      <c r="L9" s="77"/>
      <c r="M9" s="77"/>
      <c r="N9" s="77"/>
      <c r="O9" s="74"/>
    </row>
    <row r="10" spans="2:19">
      <c r="B10" s="133"/>
      <c r="C10" s="77"/>
      <c r="D10" s="77"/>
      <c r="E10" s="77"/>
      <c r="F10" s="77"/>
      <c r="G10" s="77"/>
      <c r="H10" s="77"/>
      <c r="I10" s="77"/>
      <c r="J10" s="77"/>
      <c r="K10" s="77"/>
      <c r="L10" s="77"/>
      <c r="M10" s="77"/>
      <c r="N10" s="77"/>
      <c r="O10" s="74"/>
    </row>
    <row r="11" spans="2:19">
      <c r="B11" s="155" t="s">
        <v>93</v>
      </c>
      <c r="C11" s="77"/>
      <c r="D11" s="77"/>
      <c r="E11" s="77"/>
      <c r="F11" s="77"/>
      <c r="G11" s="77"/>
      <c r="H11" s="77"/>
      <c r="I11" s="77"/>
      <c r="J11" s="77"/>
      <c r="K11" s="77"/>
      <c r="L11" s="77"/>
      <c r="M11" s="77"/>
      <c r="N11" s="77"/>
      <c r="O11" s="74"/>
    </row>
    <row r="12" spans="2:19">
      <c r="B12" s="133"/>
      <c r="C12" s="77"/>
      <c r="D12" s="77"/>
      <c r="E12" s="77"/>
      <c r="F12" s="77"/>
      <c r="G12" s="77"/>
      <c r="H12" s="77"/>
      <c r="I12" s="77"/>
      <c r="J12" s="77"/>
      <c r="K12" s="77"/>
      <c r="L12" s="77"/>
      <c r="M12" s="77"/>
      <c r="N12" s="77"/>
      <c r="O12" s="74"/>
    </row>
    <row r="13" spans="2:19">
      <c r="B13" s="133"/>
      <c r="C13" s="77"/>
      <c r="D13" s="77"/>
      <c r="E13" s="77"/>
      <c r="F13" s="77"/>
      <c r="G13" s="77"/>
      <c r="H13" s="77"/>
      <c r="I13" s="77"/>
      <c r="J13" s="77"/>
      <c r="K13" s="77"/>
      <c r="L13" s="77"/>
      <c r="M13" s="77"/>
      <c r="N13" s="77"/>
      <c r="O13" s="74"/>
    </row>
    <row r="14" spans="2:19">
      <c r="B14" s="155" t="s">
        <v>94</v>
      </c>
      <c r="C14" s="77"/>
      <c r="D14" s="77"/>
      <c r="E14" s="77"/>
      <c r="F14" s="77"/>
      <c r="G14" s="77"/>
      <c r="H14" s="77"/>
      <c r="I14" s="77"/>
      <c r="J14" s="77"/>
      <c r="K14" s="77"/>
      <c r="L14" s="77"/>
      <c r="M14" s="77"/>
      <c r="N14" s="77"/>
      <c r="O14" s="74"/>
    </row>
    <row r="15" spans="2:19">
      <c r="B15" s="133"/>
      <c r="C15" s="77"/>
      <c r="D15" s="77"/>
      <c r="E15" s="77"/>
      <c r="F15" s="77"/>
      <c r="G15" s="77"/>
      <c r="H15" s="77"/>
      <c r="I15" s="77"/>
      <c r="J15" s="77"/>
      <c r="K15" s="77"/>
      <c r="L15" s="77"/>
      <c r="M15" s="77"/>
      <c r="N15" s="77"/>
      <c r="O15" s="74"/>
    </row>
    <row r="16" spans="2:19">
      <c r="B16" s="128"/>
      <c r="C16" s="77"/>
      <c r="D16" s="77"/>
      <c r="E16" s="77"/>
      <c r="F16" s="77"/>
      <c r="G16" s="77"/>
      <c r="H16" s="77"/>
      <c r="I16" s="77"/>
      <c r="J16" s="77"/>
      <c r="K16" s="77"/>
      <c r="L16" s="77"/>
      <c r="M16" s="77"/>
      <c r="N16" s="77"/>
      <c r="O16" s="74"/>
    </row>
    <row r="17" spans="2:21" ht="14.4" thickBot="1">
      <c r="B17" s="73"/>
      <c r="C17" s="72"/>
      <c r="D17" s="72"/>
      <c r="E17" s="72"/>
      <c r="F17" s="72"/>
      <c r="G17" s="72"/>
      <c r="H17" s="72"/>
      <c r="I17" s="72"/>
      <c r="J17" s="72"/>
      <c r="K17" s="72"/>
      <c r="L17" s="72"/>
      <c r="M17" s="72"/>
      <c r="N17" s="72"/>
      <c r="O17" s="90"/>
    </row>
    <row r="18" spans="2:21" ht="19.8">
      <c r="M18" s="1145" t="s">
        <v>951</v>
      </c>
    </row>
    <row r="19" spans="2:21" ht="14.4" thickBot="1">
      <c r="B19" s="154" t="s">
        <v>95</v>
      </c>
      <c r="E19" s="153"/>
      <c r="F19" s="153"/>
      <c r="G19" s="153"/>
      <c r="M19" s="1075" t="s">
        <v>95</v>
      </c>
      <c r="N19" s="1076"/>
      <c r="O19" s="1076"/>
      <c r="P19" s="1077"/>
      <c r="Q19" s="1077"/>
      <c r="R19" s="1077"/>
      <c r="S19" s="1076"/>
      <c r="T19" s="1076"/>
      <c r="U19" s="1076"/>
    </row>
    <row r="20" spans="2:21">
      <c r="B20" s="88"/>
      <c r="C20" s="110"/>
      <c r="D20" s="168"/>
      <c r="E20" s="85"/>
      <c r="F20" s="85"/>
      <c r="G20" s="85"/>
      <c r="H20" s="85"/>
      <c r="I20" s="85" t="s">
        <v>96</v>
      </c>
      <c r="J20" s="83" t="s">
        <v>97</v>
      </c>
      <c r="M20" s="1078"/>
      <c r="N20" s="1079"/>
      <c r="O20" s="1080"/>
      <c r="P20" s="1081"/>
      <c r="Q20" s="1081"/>
      <c r="R20" s="1081"/>
      <c r="S20" s="1081"/>
      <c r="T20" s="1081" t="s">
        <v>96</v>
      </c>
      <c r="U20" s="1082" t="s">
        <v>97</v>
      </c>
    </row>
    <row r="21" spans="2:21">
      <c r="B21" s="109"/>
      <c r="C21" s="108" t="s">
        <v>98</v>
      </c>
      <c r="D21" s="107">
        <v>2015</v>
      </c>
      <c r="E21" s="106">
        <v>2020</v>
      </c>
      <c r="F21" s="106">
        <v>2035</v>
      </c>
      <c r="G21" s="106">
        <v>2050</v>
      </c>
      <c r="H21" s="106" t="s">
        <v>99</v>
      </c>
      <c r="I21" s="152"/>
      <c r="J21" s="104"/>
      <c r="M21" s="1083"/>
      <c r="N21" s="1084" t="s">
        <v>98</v>
      </c>
      <c r="O21" s="1085">
        <v>2015</v>
      </c>
      <c r="P21" s="1086">
        <v>2020</v>
      </c>
      <c r="Q21" s="1086">
        <v>2035</v>
      </c>
      <c r="R21" s="1086">
        <v>2050</v>
      </c>
      <c r="S21" s="1086" t="s">
        <v>99</v>
      </c>
      <c r="T21" s="1087"/>
      <c r="U21" s="1088"/>
    </row>
    <row r="22" spans="2:21">
      <c r="B22" s="128" t="s">
        <v>100</v>
      </c>
      <c r="C22" s="118"/>
      <c r="D22" s="180"/>
      <c r="E22" s="151"/>
      <c r="F22" s="151"/>
      <c r="G22" s="151"/>
      <c r="H22" s="151"/>
      <c r="I22" s="77"/>
      <c r="J22" s="74"/>
      <c r="M22" s="1089" t="s">
        <v>100</v>
      </c>
      <c r="N22" s="1090"/>
      <c r="O22" s="1091"/>
      <c r="P22" s="1092"/>
      <c r="Q22" s="1092"/>
      <c r="R22" s="1092"/>
      <c r="S22" s="1092"/>
      <c r="T22" s="1093"/>
      <c r="U22" s="1094"/>
    </row>
    <row r="23" spans="2:21">
      <c r="B23" s="145" t="s">
        <v>101</v>
      </c>
      <c r="C23" s="118" t="s">
        <v>132</v>
      </c>
      <c r="D23" s="260">
        <f>D79</f>
        <v>0.19</v>
      </c>
      <c r="E23" s="259">
        <f>E79</f>
        <v>0.2</v>
      </c>
      <c r="F23" s="259">
        <f>F79</f>
        <v>0.22</v>
      </c>
      <c r="G23" s="259">
        <f>G79</f>
        <v>0.24</v>
      </c>
      <c r="H23" s="147"/>
      <c r="I23" s="187"/>
      <c r="J23" s="74"/>
      <c r="K23" s="244"/>
      <c r="M23" s="1095" t="s">
        <v>101</v>
      </c>
      <c r="N23" s="1090" t="s">
        <v>132</v>
      </c>
      <c r="O23" s="1096">
        <v>0.19</v>
      </c>
      <c r="P23" s="1097">
        <v>0.2</v>
      </c>
      <c r="Q23" s="1097">
        <v>0.22</v>
      </c>
      <c r="R23" s="1097">
        <v>0.24</v>
      </c>
      <c r="S23" s="1098"/>
      <c r="T23" s="1099"/>
      <c r="U23" s="1094"/>
    </row>
    <row r="24" spans="2:21">
      <c r="B24" s="145" t="s">
        <v>102</v>
      </c>
      <c r="C24" s="118" t="s">
        <v>132</v>
      </c>
      <c r="D24" s="144">
        <f>D23</f>
        <v>0.19</v>
      </c>
      <c r="E24" s="143">
        <f>E23</f>
        <v>0.2</v>
      </c>
      <c r="F24" s="143">
        <f>F23</f>
        <v>0.22</v>
      </c>
      <c r="G24" s="143">
        <f>G23</f>
        <v>0.24</v>
      </c>
      <c r="H24" s="147"/>
      <c r="I24" s="187"/>
      <c r="J24" s="74"/>
      <c r="K24" s="244"/>
      <c r="M24" s="1095" t="s">
        <v>102</v>
      </c>
      <c r="N24" s="1090" t="s">
        <v>132</v>
      </c>
      <c r="O24" s="1100">
        <v>0.19</v>
      </c>
      <c r="P24" s="1101">
        <v>0.2</v>
      </c>
      <c r="Q24" s="1101">
        <v>0.22</v>
      </c>
      <c r="R24" s="1101">
        <v>0.24</v>
      </c>
      <c r="S24" s="1098"/>
      <c r="T24" s="1099"/>
      <c r="U24" s="1094"/>
    </row>
    <row r="25" spans="2:21">
      <c r="B25" s="145" t="s">
        <v>103</v>
      </c>
      <c r="C25" s="118" t="s">
        <v>104</v>
      </c>
      <c r="D25" s="1303">
        <f>D93*'EU varebil el'!D25/'EU varebil diesel'!D25</f>
        <v>5.109977650337199</v>
      </c>
      <c r="E25" s="1303">
        <f>E93*'EU varebil el'!E25/'EU varebil diesel'!E25</f>
        <v>4.6056069783784297</v>
      </c>
      <c r="F25" s="1303">
        <f>F93*'EU varebil el'!F25/'EU varebil diesel'!F25</f>
        <v>4.1283931605379749</v>
      </c>
      <c r="G25" s="1303">
        <f>G93*'EU varebil el'!G25/'EU varebil diesel'!G25</f>
        <v>3.7147104254770293</v>
      </c>
      <c r="H25" s="142"/>
      <c r="I25" s="99" t="s">
        <v>934</v>
      </c>
      <c r="J25" s="74"/>
      <c r="K25" s="244"/>
      <c r="M25" s="1095" t="s">
        <v>103</v>
      </c>
      <c r="N25" s="1090" t="s">
        <v>104</v>
      </c>
      <c r="O25" s="1102">
        <v>6.4285714285714297</v>
      </c>
      <c r="P25" s="1103">
        <v>6.4285714285714288</v>
      </c>
      <c r="Q25" s="1103">
        <v>5.8974321626564397</v>
      </c>
      <c r="R25" s="1103">
        <v>5.4083283087707121</v>
      </c>
      <c r="S25" s="1104"/>
      <c r="T25" s="1105" t="s">
        <v>949</v>
      </c>
      <c r="U25" s="1094"/>
    </row>
    <row r="26" spans="2:21">
      <c r="B26" s="145" t="s">
        <v>105</v>
      </c>
      <c r="C26" s="118" t="s">
        <v>104</v>
      </c>
      <c r="D26" s="144"/>
      <c r="E26" s="143"/>
      <c r="F26" s="143"/>
      <c r="G26" s="143"/>
      <c r="H26" s="142"/>
      <c r="I26" s="99"/>
      <c r="J26" s="74"/>
      <c r="K26" s="244"/>
      <c r="M26" s="1095" t="s">
        <v>105</v>
      </c>
      <c r="N26" s="1090" t="s">
        <v>104</v>
      </c>
      <c r="O26" s="1100"/>
      <c r="P26" s="1101"/>
      <c r="Q26" s="1101"/>
      <c r="R26" s="1101"/>
      <c r="S26" s="1104"/>
      <c r="T26" s="1105"/>
      <c r="U26" s="1094"/>
    </row>
    <row r="27" spans="2:21">
      <c r="B27" s="133" t="s">
        <v>106</v>
      </c>
      <c r="C27" s="118" t="s">
        <v>107</v>
      </c>
      <c r="D27" s="140">
        <f>D87</f>
        <v>3.9749999999999996</v>
      </c>
      <c r="E27" s="140">
        <f t="shared" ref="E27:G27" si="0">E87</f>
        <v>6</v>
      </c>
      <c r="F27" s="140">
        <f t="shared" si="0"/>
        <v>6</v>
      </c>
      <c r="G27" s="140">
        <f t="shared" si="0"/>
        <v>6</v>
      </c>
      <c r="H27" s="125"/>
      <c r="I27" s="99" t="s">
        <v>645</v>
      </c>
      <c r="J27" s="74"/>
      <c r="K27" s="244"/>
      <c r="M27" s="1106" t="s">
        <v>106</v>
      </c>
      <c r="N27" s="1090" t="s">
        <v>107</v>
      </c>
      <c r="O27" s="1107">
        <v>3.9749999999999996</v>
      </c>
      <c r="P27" s="1107">
        <v>6</v>
      </c>
      <c r="Q27" s="1107">
        <v>6</v>
      </c>
      <c r="R27" s="1107">
        <v>6</v>
      </c>
      <c r="S27" s="1108"/>
      <c r="T27" s="1105" t="s">
        <v>645</v>
      </c>
      <c r="U27" s="1094"/>
    </row>
    <row r="28" spans="2:21">
      <c r="B28" s="133" t="s">
        <v>108</v>
      </c>
      <c r="C28" s="118" t="s">
        <v>109</v>
      </c>
      <c r="D28" s="177">
        <f>+D75*D76/1000</f>
        <v>126.63500000000002</v>
      </c>
      <c r="E28" s="139">
        <f>+E75*E76/1000</f>
        <v>120.90000000000002</v>
      </c>
      <c r="F28" s="139">
        <f>+F75*F76/1000</f>
        <v>115.17000000000002</v>
      </c>
      <c r="G28" s="139">
        <f>+G75*G76/1000</f>
        <v>113.03999999999999</v>
      </c>
      <c r="H28" s="138"/>
      <c r="I28" s="99"/>
      <c r="J28" s="74"/>
      <c r="K28" s="244"/>
      <c r="M28" s="1106" t="s">
        <v>108</v>
      </c>
      <c r="N28" s="1090" t="s">
        <v>109</v>
      </c>
      <c r="O28" s="1109">
        <v>126.63500000000002</v>
      </c>
      <c r="P28" s="1110">
        <v>120.90000000000002</v>
      </c>
      <c r="Q28" s="1110">
        <v>115.17000000000002</v>
      </c>
      <c r="R28" s="1110">
        <v>113.03999999999999</v>
      </c>
      <c r="S28" s="1110"/>
      <c r="T28" s="1105"/>
      <c r="U28" s="1094"/>
    </row>
    <row r="29" spans="2:21">
      <c r="B29" s="78"/>
      <c r="C29" s="137"/>
      <c r="D29" s="134"/>
      <c r="E29" s="98"/>
      <c r="F29" s="98"/>
      <c r="G29" s="98"/>
      <c r="H29" s="98"/>
      <c r="I29" s="79"/>
      <c r="J29" s="74"/>
      <c r="K29" s="244"/>
      <c r="M29" s="1111"/>
      <c r="N29" s="1112"/>
      <c r="O29" s="1113"/>
      <c r="P29" s="1114"/>
      <c r="Q29" s="1114"/>
      <c r="R29" s="1114"/>
      <c r="S29" s="1114"/>
      <c r="T29" s="1093"/>
      <c r="U29" s="1094"/>
    </row>
    <row r="30" spans="2:21">
      <c r="B30" s="128" t="s">
        <v>110</v>
      </c>
      <c r="C30" s="118"/>
      <c r="D30" s="134"/>
      <c r="E30" s="98"/>
      <c r="F30" s="98"/>
      <c r="G30" s="98"/>
      <c r="H30" s="98"/>
      <c r="I30" s="79"/>
      <c r="J30" s="74"/>
      <c r="K30" s="244"/>
      <c r="M30" s="1089" t="s">
        <v>110</v>
      </c>
      <c r="N30" s="1090"/>
      <c r="O30" s="1113"/>
      <c r="P30" s="1114"/>
      <c r="Q30" s="1114"/>
      <c r="R30" s="1114"/>
      <c r="S30" s="1114"/>
      <c r="T30" s="1093"/>
      <c r="U30" s="1094"/>
    </row>
    <row r="31" spans="2:21">
      <c r="B31" s="133" t="s">
        <v>111</v>
      </c>
      <c r="C31" s="118" t="s">
        <v>15</v>
      </c>
      <c r="D31" s="136">
        <f>D39+D84</f>
        <v>1947026.9924355205</v>
      </c>
      <c r="E31" s="136">
        <f>E39+E84</f>
        <v>1278834.6587071386</v>
      </c>
      <c r="F31" s="136">
        <f>F39+F84</f>
        <v>1055693.5013576373</v>
      </c>
      <c r="G31" s="136">
        <f>G39+G84</f>
        <v>1028057.196418149</v>
      </c>
      <c r="H31" s="135">
        <v>2015</v>
      </c>
      <c r="I31" s="79"/>
      <c r="J31" s="74" t="s">
        <v>933</v>
      </c>
      <c r="M31" s="1106" t="s">
        <v>111</v>
      </c>
      <c r="N31" s="1090" t="s">
        <v>15</v>
      </c>
      <c r="O31" s="1115">
        <v>2248197.4741447135</v>
      </c>
      <c r="P31" s="1116">
        <v>1170000</v>
      </c>
      <c r="Q31" s="1116">
        <v>867552.6605488935</v>
      </c>
      <c r="R31" s="1116">
        <v>834877.80586569419</v>
      </c>
      <c r="S31" s="1105">
        <v>2015</v>
      </c>
      <c r="T31" s="1093"/>
      <c r="U31" s="1094" t="s">
        <v>950</v>
      </c>
    </row>
    <row r="32" spans="2:21">
      <c r="B32" s="78" t="s">
        <v>16</v>
      </c>
      <c r="C32" s="118" t="s">
        <v>17</v>
      </c>
      <c r="D32" s="136">
        <v>2492.6013469287059</v>
      </c>
      <c r="E32" s="136">
        <v>2610.8401287701954</v>
      </c>
      <c r="F32" s="136">
        <v>2740.736055989551</v>
      </c>
      <c r="G32" s="136">
        <v>2792.3794370870196</v>
      </c>
      <c r="H32" s="135">
        <v>2015</v>
      </c>
      <c r="I32" s="79"/>
      <c r="J32" s="74"/>
      <c r="M32" s="1106" t="s">
        <v>960</v>
      </c>
      <c r="N32" s="1090" t="s">
        <v>15</v>
      </c>
      <c r="O32" s="1116"/>
      <c r="P32" s="1116">
        <f>P42+P72</f>
        <v>1940608.1884304276</v>
      </c>
      <c r="Q32" s="1116">
        <f>Q42+Q72</f>
        <v>1205819.5589079959</v>
      </c>
      <c r="R32" s="1116"/>
      <c r="S32" s="1116"/>
      <c r="T32" s="1093"/>
      <c r="U32" s="1094"/>
    </row>
    <row r="33" spans="2:21">
      <c r="B33" s="129" t="s">
        <v>18</v>
      </c>
      <c r="C33" s="118" t="s">
        <v>17</v>
      </c>
      <c r="D33" s="136">
        <v>1213.3511438994574</v>
      </c>
      <c r="E33" s="136">
        <v>1270.9075443152008</v>
      </c>
      <c r="F33" s="136">
        <v>1334.1384223991297</v>
      </c>
      <c r="G33" s="136">
        <v>1359.2774425664172</v>
      </c>
      <c r="H33" s="135">
        <v>2015</v>
      </c>
      <c r="I33" s="79"/>
      <c r="J33" s="74"/>
      <c r="M33" s="1106" t="s">
        <v>961</v>
      </c>
      <c r="N33" s="1090" t="s">
        <v>15</v>
      </c>
      <c r="O33" s="1116"/>
      <c r="P33" s="1116">
        <f>P42+P73</f>
        <v>1940608.1884304276</v>
      </c>
      <c r="Q33" s="1116">
        <f>Q42+Q73</f>
        <v>1579225.3053401927</v>
      </c>
      <c r="R33" s="1093"/>
      <c r="S33" s="1093"/>
      <c r="T33" s="1093"/>
      <c r="U33" s="1094"/>
    </row>
    <row r="34" spans="2:21">
      <c r="B34" s="129" t="s">
        <v>19</v>
      </c>
      <c r="C34" s="118" t="s">
        <v>17</v>
      </c>
      <c r="D34" s="136">
        <v>1279.2502030292483</v>
      </c>
      <c r="E34" s="136">
        <v>1339.9325844549946</v>
      </c>
      <c r="F34" s="136">
        <v>1406.5976335904218</v>
      </c>
      <c r="G34" s="136">
        <v>1433.1019945206024</v>
      </c>
      <c r="H34" s="135">
        <v>2015</v>
      </c>
      <c r="I34" s="79"/>
      <c r="J34" s="74"/>
      <c r="M34" s="1106" t="s">
        <v>962</v>
      </c>
      <c r="N34" s="1090" t="s">
        <v>15</v>
      </c>
      <c r="O34" s="1093"/>
      <c r="P34" s="1116">
        <f>P42+P74</f>
        <v>1940608.1884304276</v>
      </c>
      <c r="Q34" s="1116">
        <f>Q42+Q74</f>
        <v>1392522.4321240946</v>
      </c>
      <c r="R34" s="1116"/>
      <c r="S34" s="1116"/>
      <c r="T34" s="1116"/>
      <c r="U34" s="1094"/>
    </row>
    <row r="35" spans="2:21">
      <c r="B35" s="129"/>
      <c r="C35" s="118"/>
      <c r="D35" s="136"/>
      <c r="E35" s="136"/>
      <c r="F35" s="136"/>
      <c r="G35" s="136"/>
      <c r="H35" s="135"/>
      <c r="I35" s="79"/>
      <c r="J35" s="74"/>
      <c r="M35" s="1111" t="s">
        <v>16</v>
      </c>
      <c r="N35" s="1090" t="s">
        <v>17</v>
      </c>
      <c r="O35" s="1115">
        <v>2492.6013469287059</v>
      </c>
      <c r="P35" s="1116">
        <v>2610.8401287701954</v>
      </c>
      <c r="Q35" s="1116">
        <v>2740.736055989551</v>
      </c>
      <c r="R35" s="1116">
        <v>2792.3794370870196</v>
      </c>
      <c r="S35" s="1105">
        <v>2015</v>
      </c>
      <c r="T35" s="1093"/>
      <c r="U35" s="1094"/>
    </row>
    <row r="36" spans="2:21">
      <c r="B36" s="129" t="s">
        <v>112</v>
      </c>
      <c r="C36" s="118" t="s">
        <v>17</v>
      </c>
      <c r="D36" s="136">
        <v>0</v>
      </c>
      <c r="E36" s="136">
        <v>0</v>
      </c>
      <c r="F36" s="136">
        <v>0</v>
      </c>
      <c r="G36" s="136">
        <v>0</v>
      </c>
      <c r="H36" s="135">
        <v>2015</v>
      </c>
      <c r="I36" s="79"/>
      <c r="J36" s="74"/>
      <c r="M36" s="1117" t="s">
        <v>18</v>
      </c>
      <c r="N36" s="1090" t="s">
        <v>17</v>
      </c>
      <c r="O36" s="1115">
        <v>1213.3511438994574</v>
      </c>
      <c r="P36" s="1116">
        <v>1270.9075443152008</v>
      </c>
      <c r="Q36" s="1116">
        <v>1334.1384223991297</v>
      </c>
      <c r="R36" s="1116">
        <v>1359.2774425664172</v>
      </c>
      <c r="S36" s="1105">
        <v>2015</v>
      </c>
      <c r="T36" s="1093"/>
      <c r="U36" s="1094"/>
    </row>
    <row r="37" spans="2:21">
      <c r="B37" s="129"/>
      <c r="C37" s="118"/>
      <c r="D37" s="136"/>
      <c r="E37" s="136"/>
      <c r="F37" s="136"/>
      <c r="G37" s="136"/>
      <c r="H37" s="135"/>
      <c r="I37" s="79"/>
      <c r="J37" s="74"/>
      <c r="M37" s="1117" t="s">
        <v>19</v>
      </c>
      <c r="N37" s="1090" t="s">
        <v>17</v>
      </c>
      <c r="O37" s="1115">
        <v>1279.2502030292483</v>
      </c>
      <c r="P37" s="1116">
        <v>1339.9325844549946</v>
      </c>
      <c r="Q37" s="1116">
        <v>1406.5976335904218</v>
      </c>
      <c r="R37" s="1116">
        <v>1433.1019945206024</v>
      </c>
      <c r="S37" s="1105">
        <v>2015</v>
      </c>
      <c r="T37" s="1093"/>
      <c r="U37" s="1094"/>
    </row>
    <row r="38" spans="2:21">
      <c r="B38" s="128" t="s">
        <v>110</v>
      </c>
      <c r="C38" s="118"/>
      <c r="D38" s="134"/>
      <c r="E38" s="98"/>
      <c r="F38" s="98"/>
      <c r="G38" s="98"/>
      <c r="H38" s="98"/>
      <c r="I38" s="79"/>
      <c r="J38" s="74"/>
      <c r="K38" s="244"/>
      <c r="M38" s="1117"/>
      <c r="N38" s="1090"/>
      <c r="O38" s="1116"/>
      <c r="P38" s="1116"/>
      <c r="Q38" s="1116"/>
      <c r="R38" s="1116"/>
      <c r="S38" s="1105"/>
      <c r="T38" s="1093"/>
      <c r="U38" s="1094"/>
    </row>
    <row r="39" spans="2:21">
      <c r="B39" s="133" t="s">
        <v>111</v>
      </c>
      <c r="C39" s="118" t="s">
        <v>15</v>
      </c>
      <c r="D39" s="136">
        <v>779893.90271614201</v>
      </c>
      <c r="E39" s="136">
        <v>779893.90271614201</v>
      </c>
      <c r="F39" s="136">
        <v>779893.90271614201</v>
      </c>
      <c r="G39" s="136">
        <v>779893.90271614201</v>
      </c>
      <c r="H39" s="135">
        <v>2015</v>
      </c>
      <c r="I39" s="79"/>
      <c r="J39" s="74"/>
      <c r="M39" s="1117" t="s">
        <v>112</v>
      </c>
      <c r="N39" s="1090" t="s">
        <v>17</v>
      </c>
      <c r="O39" s="1116">
        <v>0</v>
      </c>
      <c r="P39" s="1116">
        <v>0</v>
      </c>
      <c r="Q39" s="1116">
        <v>0</v>
      </c>
      <c r="R39" s="1116">
        <v>0</v>
      </c>
      <c r="S39" s="1105">
        <v>2015</v>
      </c>
      <c r="T39" s="1093"/>
      <c r="U39" s="1094"/>
    </row>
    <row r="40" spans="2:21">
      <c r="B40" s="78" t="s">
        <v>16</v>
      </c>
      <c r="C40" s="118" t="s">
        <v>17</v>
      </c>
      <c r="D40" s="136">
        <v>2492.6013469287059</v>
      </c>
      <c r="E40" s="136">
        <v>2610.8401287701954</v>
      </c>
      <c r="F40" s="136">
        <v>2740.736055989551</v>
      </c>
      <c r="G40" s="136">
        <v>2792.3794370870196</v>
      </c>
      <c r="H40" s="135">
        <v>2015</v>
      </c>
      <c r="I40" s="79"/>
      <c r="J40" s="74"/>
      <c r="M40" s="1117"/>
      <c r="N40" s="1090"/>
      <c r="O40" s="1116"/>
      <c r="P40" s="1116"/>
      <c r="Q40" s="1116"/>
      <c r="R40" s="1116"/>
      <c r="S40" s="1105"/>
      <c r="T40" s="1093"/>
      <c r="U40" s="1094"/>
    </row>
    <row r="41" spans="2:21">
      <c r="B41" s="129" t="s">
        <v>18</v>
      </c>
      <c r="C41" s="118" t="s">
        <v>17</v>
      </c>
      <c r="D41" s="136">
        <v>1213.3511438994574</v>
      </c>
      <c r="E41" s="136">
        <v>1270.9075443152008</v>
      </c>
      <c r="F41" s="136">
        <v>1334.1384223991297</v>
      </c>
      <c r="G41" s="136">
        <v>1359.2774425664172</v>
      </c>
      <c r="H41" s="135">
        <v>2015</v>
      </c>
      <c r="I41" s="79"/>
      <c r="J41" s="74"/>
      <c r="M41" s="1089" t="s">
        <v>954</v>
      </c>
      <c r="N41" s="1090"/>
      <c r="O41" s="1113"/>
      <c r="P41" s="1114"/>
      <c r="Q41" s="1114"/>
      <c r="R41" s="1114"/>
      <c r="S41" s="1114"/>
      <c r="T41" s="1093"/>
      <c r="U41" s="1094"/>
    </row>
    <row r="42" spans="2:21">
      <c r="B42" s="129" t="s">
        <v>19</v>
      </c>
      <c r="C42" s="118" t="s">
        <v>17</v>
      </c>
      <c r="D42" s="136">
        <v>1279.2502030292483</v>
      </c>
      <c r="E42" s="136">
        <v>1339.9325844549946</v>
      </c>
      <c r="F42" s="136">
        <v>1406.5976335904218</v>
      </c>
      <c r="G42" s="136">
        <v>1433.1019945206024</v>
      </c>
      <c r="H42" s="135">
        <v>2015</v>
      </c>
      <c r="I42" s="79"/>
      <c r="J42" s="74"/>
      <c r="M42" s="1106" t="s">
        <v>111</v>
      </c>
      <c r="N42" s="1090" t="s">
        <v>15</v>
      </c>
      <c r="O42" s="1116">
        <v>779893.90271614201</v>
      </c>
      <c r="P42" s="1116">
        <v>779893.90271614201</v>
      </c>
      <c r="Q42" s="1116">
        <v>779893.90271614201</v>
      </c>
      <c r="R42" s="1116">
        <v>779893.90271614201</v>
      </c>
      <c r="S42" s="1105">
        <v>2015</v>
      </c>
      <c r="T42" s="1093"/>
      <c r="U42" s="1094"/>
    </row>
    <row r="43" spans="2:21">
      <c r="B43" s="129"/>
      <c r="C43" s="118"/>
      <c r="D43" s="136"/>
      <c r="E43" s="136"/>
      <c r="F43" s="136"/>
      <c r="G43" s="136"/>
      <c r="H43" s="135"/>
      <c r="I43" s="79"/>
      <c r="J43" s="74"/>
      <c r="M43" s="1111" t="s">
        <v>16</v>
      </c>
      <c r="N43" s="1090" t="s">
        <v>17</v>
      </c>
      <c r="O43" s="1116">
        <v>2492.6013469287059</v>
      </c>
      <c r="P43" s="1116">
        <v>2610.8401287701954</v>
      </c>
      <c r="Q43" s="1116">
        <v>2740.736055989551</v>
      </c>
      <c r="R43" s="1116">
        <v>2792.3794370870196</v>
      </c>
      <c r="S43" s="1105">
        <v>2015</v>
      </c>
      <c r="T43" s="1093"/>
      <c r="U43" s="1094"/>
    </row>
    <row r="44" spans="2:21">
      <c r="B44" s="129" t="s">
        <v>112</v>
      </c>
      <c r="C44" s="118" t="s">
        <v>17</v>
      </c>
      <c r="D44" s="136">
        <v>0</v>
      </c>
      <c r="E44" s="136">
        <v>0</v>
      </c>
      <c r="F44" s="136">
        <v>0</v>
      </c>
      <c r="G44" s="136">
        <v>0</v>
      </c>
      <c r="H44" s="135">
        <v>2015</v>
      </c>
      <c r="I44" s="79"/>
      <c r="J44" s="74"/>
      <c r="M44" s="1117" t="s">
        <v>18</v>
      </c>
      <c r="N44" s="1090" t="s">
        <v>17</v>
      </c>
      <c r="O44" s="1116">
        <v>1213.3511438994574</v>
      </c>
      <c r="P44" s="1116">
        <v>1270.9075443152008</v>
      </c>
      <c r="Q44" s="1116">
        <v>1334.1384223991297</v>
      </c>
      <c r="R44" s="1116">
        <v>1359.2774425664172</v>
      </c>
      <c r="S44" s="1105">
        <v>2015</v>
      </c>
      <c r="T44" s="1093"/>
      <c r="U44" s="1094"/>
    </row>
    <row r="45" spans="2:21">
      <c r="B45" s="128"/>
      <c r="C45" s="118"/>
      <c r="D45" s="134"/>
      <c r="E45" s="98"/>
      <c r="F45" s="98"/>
      <c r="G45" s="98"/>
      <c r="H45" s="98"/>
      <c r="I45" s="79"/>
      <c r="J45" s="74"/>
      <c r="M45" s="1117" t="s">
        <v>19</v>
      </c>
      <c r="N45" s="1090" t="s">
        <v>17</v>
      </c>
      <c r="O45" s="1116">
        <v>1279.2502030292483</v>
      </c>
      <c r="P45" s="1116">
        <v>1339.9325844549946</v>
      </c>
      <c r="Q45" s="1116">
        <v>1406.5976335904218</v>
      </c>
      <c r="R45" s="1116">
        <v>1433.1019945206024</v>
      </c>
      <c r="S45" s="1105">
        <v>2015</v>
      </c>
      <c r="T45" s="1093"/>
      <c r="U45" s="1094"/>
    </row>
    <row r="46" spans="2:21">
      <c r="B46" s="133" t="s">
        <v>111</v>
      </c>
      <c r="C46" s="118" t="s">
        <v>15</v>
      </c>
      <c r="D46" s="253">
        <v>751018.91308317415</v>
      </c>
      <c r="E46" s="253">
        <v>751018.91308317415</v>
      </c>
      <c r="F46" s="253">
        <v>751018.91308317415</v>
      </c>
      <c r="G46" s="253">
        <v>751018.91308317415</v>
      </c>
      <c r="H46" s="130">
        <v>2013</v>
      </c>
      <c r="I46" s="99" t="s">
        <v>654</v>
      </c>
      <c r="J46" s="74"/>
      <c r="K46" s="244"/>
      <c r="M46" s="1117"/>
      <c r="N46" s="1090"/>
      <c r="O46" s="1116"/>
      <c r="P46" s="1116"/>
      <c r="Q46" s="1116"/>
      <c r="R46" s="1116"/>
      <c r="S46" s="1105"/>
      <c r="T46" s="1093"/>
      <c r="U46" s="1094"/>
    </row>
    <row r="47" spans="2:21">
      <c r="B47" s="78" t="s">
        <v>16</v>
      </c>
      <c r="C47" s="118" t="s">
        <v>17</v>
      </c>
      <c r="D47" s="257">
        <f>+SUM(D48:D51)</f>
        <v>2400.3146425436294</v>
      </c>
      <c r="E47" s="258">
        <f>+SUM(E48:E51)</f>
        <v>2514.1757217412114</v>
      </c>
      <c r="F47" s="258">
        <f>+SUM(F48:F51)</f>
        <v>2639.2623492099719</v>
      </c>
      <c r="G47" s="258">
        <f>+SUM(G48:G51)</f>
        <v>2688.9936726690776</v>
      </c>
      <c r="H47" s="130">
        <v>2013</v>
      </c>
      <c r="I47" s="99"/>
      <c r="J47" s="74"/>
      <c r="K47" s="244"/>
      <c r="M47" s="1117" t="s">
        <v>112</v>
      </c>
      <c r="N47" s="1090" t="s">
        <v>17</v>
      </c>
      <c r="O47" s="1116">
        <v>0</v>
      </c>
      <c r="P47" s="1116">
        <v>0</v>
      </c>
      <c r="Q47" s="1116">
        <v>0</v>
      </c>
      <c r="R47" s="1116">
        <v>0</v>
      </c>
      <c r="S47" s="1105">
        <v>2015</v>
      </c>
      <c r="T47" s="1093"/>
      <c r="U47" s="1094"/>
    </row>
    <row r="48" spans="2:21">
      <c r="B48" s="129" t="s">
        <v>18</v>
      </c>
      <c r="C48" s="118" t="s">
        <v>17</v>
      </c>
      <c r="D48" s="257">
        <v>1168.4277234454339</v>
      </c>
      <c r="E48" s="258">
        <v>1223.8531410960506</v>
      </c>
      <c r="F48" s="258">
        <v>1284.742943114635</v>
      </c>
      <c r="G48" s="258">
        <v>1308.9512098240671</v>
      </c>
      <c r="H48" s="130">
        <v>2013</v>
      </c>
      <c r="I48" s="99"/>
      <c r="J48" s="74"/>
      <c r="K48" s="244"/>
      <c r="M48" s="1089"/>
      <c r="N48" s="1090"/>
      <c r="O48" s="1113"/>
      <c r="P48" s="1114"/>
      <c r="Q48" s="1114"/>
      <c r="R48" s="1114"/>
      <c r="S48" s="1114"/>
      <c r="T48" s="1093"/>
      <c r="U48" s="1094"/>
    </row>
    <row r="49" spans="2:21">
      <c r="B49" s="129" t="s">
        <v>19</v>
      </c>
      <c r="C49" s="118" t="s">
        <v>17</v>
      </c>
      <c r="D49" s="257">
        <f>(D76*D77)/D28</f>
        <v>1231.8869190981954</v>
      </c>
      <c r="E49" s="258">
        <f>(E76*E77)/E28</f>
        <v>1290.322580645161</v>
      </c>
      <c r="F49" s="258">
        <f>(F76*F77)/F28</f>
        <v>1354.5194060953372</v>
      </c>
      <c r="G49" s="258">
        <f>(G76*G77)/G28</f>
        <v>1380.0424628450107</v>
      </c>
      <c r="H49" s="130">
        <v>2013</v>
      </c>
      <c r="I49" s="99"/>
      <c r="J49" s="119" t="s">
        <v>155</v>
      </c>
      <c r="K49" s="244"/>
      <c r="M49" s="1106" t="s">
        <v>111</v>
      </c>
      <c r="N49" s="1090" t="s">
        <v>15</v>
      </c>
      <c r="O49" s="1118">
        <v>751018.91308317415</v>
      </c>
      <c r="P49" s="1118">
        <v>751018.91308317415</v>
      </c>
      <c r="Q49" s="1118">
        <v>751018.91308317415</v>
      </c>
      <c r="R49" s="1118">
        <v>751018.91308317415</v>
      </c>
      <c r="S49" s="1119">
        <v>2013</v>
      </c>
      <c r="T49" s="1105" t="s">
        <v>654</v>
      </c>
      <c r="U49" s="1094"/>
    </row>
    <row r="50" spans="2:21">
      <c r="B50" s="129"/>
      <c r="C50" s="118"/>
      <c r="D50" s="134"/>
      <c r="E50" s="98"/>
      <c r="F50" s="98"/>
      <c r="G50" s="98"/>
      <c r="H50" s="130"/>
      <c r="I50" s="99"/>
      <c r="J50" s="74"/>
      <c r="K50" s="244"/>
      <c r="M50" s="1111" t="s">
        <v>16</v>
      </c>
      <c r="N50" s="1090" t="s">
        <v>17</v>
      </c>
      <c r="O50" s="1120">
        <v>2400.3146425436294</v>
      </c>
      <c r="P50" s="1121">
        <v>2514.1757217412114</v>
      </c>
      <c r="Q50" s="1121">
        <v>2639.2623492099719</v>
      </c>
      <c r="R50" s="1121">
        <v>2688.9936726690776</v>
      </c>
      <c r="S50" s="1119">
        <v>2013</v>
      </c>
      <c r="T50" s="1105"/>
      <c r="U50" s="1094"/>
    </row>
    <row r="51" spans="2:21">
      <c r="B51" s="129" t="s">
        <v>112</v>
      </c>
      <c r="C51" s="118" t="s">
        <v>17</v>
      </c>
      <c r="D51" s="257">
        <v>0</v>
      </c>
      <c r="E51" s="256">
        <v>0</v>
      </c>
      <c r="F51" s="256">
        <v>0</v>
      </c>
      <c r="G51" s="256">
        <v>0</v>
      </c>
      <c r="H51" s="130">
        <v>2013</v>
      </c>
      <c r="I51" s="99"/>
      <c r="J51" s="119"/>
      <c r="K51" s="244"/>
      <c r="M51" s="1117" t="s">
        <v>18</v>
      </c>
      <c r="N51" s="1090" t="s">
        <v>17</v>
      </c>
      <c r="O51" s="1120">
        <v>1168.4277234454339</v>
      </c>
      <c r="P51" s="1121">
        <v>1223.8531410960506</v>
      </c>
      <c r="Q51" s="1121">
        <v>1284.742943114635</v>
      </c>
      <c r="R51" s="1121">
        <v>1308.9512098240671</v>
      </c>
      <c r="S51" s="1119">
        <v>2013</v>
      </c>
      <c r="T51" s="1105"/>
      <c r="U51" s="1094"/>
    </row>
    <row r="52" spans="2:21">
      <c r="B52" s="129"/>
      <c r="C52" s="118"/>
      <c r="D52" s="134"/>
      <c r="E52" s="98"/>
      <c r="F52" s="98"/>
      <c r="G52" s="98"/>
      <c r="H52" s="98"/>
      <c r="I52" s="99"/>
      <c r="J52" s="74"/>
      <c r="K52" s="244"/>
      <c r="M52" s="1117" t="s">
        <v>19</v>
      </c>
      <c r="N52" s="1090" t="s">
        <v>17</v>
      </c>
      <c r="O52" s="1120">
        <v>1231.8869190981954</v>
      </c>
      <c r="P52" s="1121">
        <v>1290.322580645161</v>
      </c>
      <c r="Q52" s="1121">
        <v>1354.5194060953372</v>
      </c>
      <c r="R52" s="1121">
        <v>1380.0424628450107</v>
      </c>
      <c r="S52" s="1119">
        <v>2013</v>
      </c>
      <c r="T52" s="1105"/>
      <c r="U52" s="1122" t="s">
        <v>155</v>
      </c>
    </row>
    <row r="53" spans="2:21">
      <c r="B53" s="128" t="s">
        <v>113</v>
      </c>
      <c r="C53" s="118"/>
      <c r="D53" s="134"/>
      <c r="E53" s="98"/>
      <c r="F53" s="98"/>
      <c r="G53" s="98"/>
      <c r="H53" s="127"/>
      <c r="I53" s="99"/>
      <c r="J53" s="74"/>
      <c r="K53" s="244"/>
      <c r="M53" s="1117"/>
      <c r="N53" s="1090"/>
      <c r="O53" s="1113"/>
      <c r="P53" s="1114"/>
      <c r="Q53" s="1114"/>
      <c r="R53" s="1114"/>
      <c r="S53" s="1119"/>
      <c r="T53" s="1105"/>
      <c r="U53" s="1094"/>
    </row>
    <row r="54" spans="2:21">
      <c r="B54" s="123" t="s">
        <v>30</v>
      </c>
      <c r="C54" s="118"/>
      <c r="D54" s="134"/>
      <c r="E54" s="98"/>
      <c r="F54" s="98"/>
      <c r="G54" s="98"/>
      <c r="H54" s="126"/>
      <c r="I54" s="99"/>
      <c r="J54" s="74"/>
      <c r="K54" s="244"/>
      <c r="M54" s="1117" t="s">
        <v>112</v>
      </c>
      <c r="N54" s="1090" t="s">
        <v>17</v>
      </c>
      <c r="O54" s="1120">
        <v>0</v>
      </c>
      <c r="P54" s="1123">
        <v>0</v>
      </c>
      <c r="Q54" s="1123">
        <v>0</v>
      </c>
      <c r="R54" s="1123">
        <v>0</v>
      </c>
      <c r="S54" s="1119">
        <v>2013</v>
      </c>
      <c r="T54" s="1105"/>
      <c r="U54" s="1122"/>
    </row>
    <row r="55" spans="2:21">
      <c r="B55" s="78" t="s">
        <v>20</v>
      </c>
      <c r="C55" s="118" t="s">
        <v>133</v>
      </c>
      <c r="D55" s="255"/>
      <c r="E55" s="121"/>
      <c r="F55" s="121"/>
      <c r="G55" s="121"/>
      <c r="H55" s="126"/>
      <c r="I55" s="99"/>
      <c r="J55" s="119" t="s">
        <v>114</v>
      </c>
      <c r="K55" s="244"/>
    </row>
    <row r="56" spans="2:21">
      <c r="B56" s="78" t="s">
        <v>21</v>
      </c>
      <c r="C56" s="118" t="s">
        <v>133</v>
      </c>
      <c r="D56" s="124">
        <f t="shared" ref="D56:G60" si="1">D96/D$93</f>
        <v>5.70067229895981E-4</v>
      </c>
      <c r="E56" s="124">
        <f t="shared" si="1"/>
        <v>1.6299243669067753E-4</v>
      </c>
      <c r="F56" s="124">
        <f t="shared" si="1"/>
        <v>1.6299243669067753E-4</v>
      </c>
      <c r="G56" s="124">
        <f t="shared" si="1"/>
        <v>1.6299243669067753E-4</v>
      </c>
      <c r="H56" s="120"/>
      <c r="I56" s="99"/>
      <c r="J56" s="74"/>
      <c r="K56" s="244"/>
    </row>
    <row r="57" spans="2:21">
      <c r="B57" s="78" t="s">
        <v>22</v>
      </c>
      <c r="C57" s="118" t="s">
        <v>133</v>
      </c>
      <c r="D57" s="124">
        <f t="shared" si="1"/>
        <v>3.3862691824031407E-3</v>
      </c>
      <c r="E57" s="124">
        <f t="shared" si="1"/>
        <v>3.3862691824031407E-3</v>
      </c>
      <c r="F57" s="124">
        <f t="shared" si="1"/>
        <v>3.3862691824031407E-3</v>
      </c>
      <c r="G57" s="124">
        <f t="shared" si="1"/>
        <v>3.3862691824031407E-3</v>
      </c>
      <c r="H57" s="98"/>
      <c r="I57" s="99"/>
      <c r="J57" s="74"/>
      <c r="K57" s="244"/>
    </row>
    <row r="58" spans="2:21">
      <c r="B58" s="78" t="s">
        <v>23</v>
      </c>
      <c r="C58" s="118" t="s">
        <v>133</v>
      </c>
      <c r="D58" s="124">
        <f t="shared" si="1"/>
        <v>4.6837408023728819E-4</v>
      </c>
      <c r="E58" s="124">
        <f t="shared" si="1"/>
        <v>4.6837408023728814E-4</v>
      </c>
      <c r="F58" s="124">
        <f t="shared" si="1"/>
        <v>4.6837408023728825E-4</v>
      </c>
      <c r="G58" s="124">
        <f t="shared" si="1"/>
        <v>4.6837408023728819E-4</v>
      </c>
      <c r="H58" s="125"/>
      <c r="I58" s="99"/>
      <c r="J58" s="74"/>
      <c r="K58" s="244"/>
    </row>
    <row r="59" spans="2:21" ht="16.2" thickBot="1">
      <c r="B59" s="78" t="s">
        <v>115</v>
      </c>
      <c r="C59" s="118" t="s">
        <v>133</v>
      </c>
      <c r="D59" s="124">
        <f t="shared" si="1"/>
        <v>0.3488992416652627</v>
      </c>
      <c r="E59" s="124">
        <f t="shared" si="1"/>
        <v>3.6446302941253436E-2</v>
      </c>
      <c r="F59" s="124">
        <f t="shared" si="1"/>
        <v>3.6446302941253436E-2</v>
      </c>
      <c r="G59" s="124">
        <f t="shared" si="1"/>
        <v>3.6446302941253436E-2</v>
      </c>
      <c r="H59" s="98"/>
      <c r="I59" s="99"/>
      <c r="J59" s="74"/>
      <c r="K59" s="244"/>
      <c r="M59" s="1125" t="s">
        <v>116</v>
      </c>
      <c r="N59" s="1076"/>
      <c r="O59" s="1076"/>
      <c r="P59" s="1076"/>
      <c r="Q59" s="1076"/>
      <c r="R59" s="1076"/>
      <c r="S59" s="1076"/>
      <c r="T59" s="1076"/>
      <c r="U59" s="1076"/>
    </row>
    <row r="60" spans="2:21">
      <c r="B60" s="78" t="s">
        <v>24</v>
      </c>
      <c r="C60" s="118" t="s">
        <v>133</v>
      </c>
      <c r="D60" s="124">
        <f t="shared" si="1"/>
        <v>3.2979813853448933E-3</v>
      </c>
      <c r="E60" s="124">
        <f t="shared" si="1"/>
        <v>3.6064433411829615E-4</v>
      </c>
      <c r="F60" s="124">
        <f t="shared" si="1"/>
        <v>3.6064433411829615E-4</v>
      </c>
      <c r="G60" s="124">
        <f t="shared" si="1"/>
        <v>3.6064433411829615E-4</v>
      </c>
      <c r="H60" s="98"/>
      <c r="I60" s="99"/>
      <c r="J60" s="74"/>
      <c r="K60" s="244"/>
      <c r="M60" s="1078"/>
      <c r="N60" s="1079"/>
      <c r="O60" s="1081"/>
      <c r="P60" s="1081"/>
      <c r="Q60" s="1081"/>
      <c r="R60" s="1081"/>
      <c r="S60" s="1081"/>
      <c r="T60" s="1081"/>
      <c r="U60" s="1082"/>
    </row>
    <row r="61" spans="2:21">
      <c r="B61" s="78"/>
      <c r="C61" s="118"/>
      <c r="D61" s="122"/>
      <c r="E61" s="77"/>
      <c r="F61" s="77"/>
      <c r="G61" s="77"/>
      <c r="H61" s="98"/>
      <c r="I61" s="99"/>
      <c r="J61" s="74"/>
      <c r="K61" s="244"/>
      <c r="M61" s="1083"/>
      <c r="N61" s="1084" t="s">
        <v>98</v>
      </c>
      <c r="O61" s="1085">
        <v>2015</v>
      </c>
      <c r="P61" s="1086">
        <v>2020</v>
      </c>
      <c r="Q61" s="1086">
        <v>2035</v>
      </c>
      <c r="R61" s="1086">
        <v>2050</v>
      </c>
      <c r="S61" s="1086"/>
      <c r="T61" s="1087"/>
      <c r="U61" s="1088"/>
    </row>
    <row r="62" spans="2:21">
      <c r="B62" s="123" t="s">
        <v>31</v>
      </c>
      <c r="C62" s="118"/>
      <c r="D62" s="134"/>
      <c r="E62" s="98"/>
      <c r="F62" s="98"/>
      <c r="G62" s="98"/>
      <c r="H62" s="120"/>
      <c r="I62" s="99"/>
      <c r="J62" s="74"/>
      <c r="K62" s="244"/>
      <c r="M62" s="1111" t="s">
        <v>25</v>
      </c>
      <c r="N62" s="1126" t="s">
        <v>151</v>
      </c>
      <c r="O62" s="1127">
        <v>2.5327000000000002</v>
      </c>
      <c r="P62" s="1127">
        <v>2.4180000000000001</v>
      </c>
      <c r="Q62" s="1127">
        <v>2.3034000000000003</v>
      </c>
      <c r="R62" s="1127">
        <v>2.2607999999999997</v>
      </c>
      <c r="S62" s="1127"/>
      <c r="T62" s="1093"/>
      <c r="U62" s="1094"/>
    </row>
    <row r="63" spans="2:21">
      <c r="B63" s="78" t="s">
        <v>20</v>
      </c>
      <c r="C63" s="118" t="s">
        <v>133</v>
      </c>
      <c r="D63" s="255"/>
      <c r="E63" s="121"/>
      <c r="F63" s="121"/>
      <c r="G63" s="121"/>
      <c r="H63" s="197"/>
      <c r="I63" s="99"/>
      <c r="J63" s="119" t="s">
        <v>114</v>
      </c>
      <c r="K63" s="244"/>
      <c r="M63" s="1111" t="s">
        <v>120</v>
      </c>
      <c r="N63" s="1126" t="s">
        <v>121</v>
      </c>
      <c r="O63" s="1118">
        <v>50000</v>
      </c>
      <c r="P63" s="1118">
        <v>50000</v>
      </c>
      <c r="Q63" s="1118">
        <v>50000</v>
      </c>
      <c r="R63" s="1118">
        <v>50000</v>
      </c>
      <c r="S63" s="1118"/>
      <c r="T63" s="1105" t="s">
        <v>645</v>
      </c>
      <c r="U63" s="1094"/>
    </row>
    <row r="64" spans="2:21">
      <c r="B64" s="78" t="s">
        <v>21</v>
      </c>
      <c r="C64" s="118" t="s">
        <v>133</v>
      </c>
      <c r="D64" s="117">
        <f t="shared" ref="D64:G68" si="2">D56</f>
        <v>5.70067229895981E-4</v>
      </c>
      <c r="E64" s="117">
        <f t="shared" si="2"/>
        <v>1.6299243669067753E-4</v>
      </c>
      <c r="F64" s="117">
        <f t="shared" si="2"/>
        <v>1.6299243669067753E-4</v>
      </c>
      <c r="G64" s="117">
        <f t="shared" si="2"/>
        <v>1.6299243669067753E-4</v>
      </c>
      <c r="H64" s="197"/>
      <c r="I64" s="99"/>
      <c r="J64" s="74"/>
      <c r="K64" s="244"/>
      <c r="M64" s="1111" t="s">
        <v>123</v>
      </c>
      <c r="N64" s="1128" t="s">
        <v>36</v>
      </c>
      <c r="O64" s="1129">
        <v>3.12</v>
      </c>
      <c r="P64" s="1129">
        <v>3.12</v>
      </c>
      <c r="Q64" s="1129">
        <v>3.12</v>
      </c>
      <c r="R64" s="1129">
        <v>3.12</v>
      </c>
      <c r="S64" s="1129"/>
      <c r="T64" s="1105" t="s">
        <v>645</v>
      </c>
      <c r="U64" s="1122"/>
    </row>
    <row r="65" spans="2:21">
      <c r="B65" s="78" t="s">
        <v>22</v>
      </c>
      <c r="C65" s="118" t="s">
        <v>133</v>
      </c>
      <c r="D65" s="117">
        <f t="shared" si="2"/>
        <v>3.3862691824031407E-3</v>
      </c>
      <c r="E65" s="117">
        <f t="shared" si="2"/>
        <v>3.3862691824031407E-3</v>
      </c>
      <c r="F65" s="117">
        <f t="shared" si="2"/>
        <v>3.3862691824031407E-3</v>
      </c>
      <c r="G65" s="117">
        <f t="shared" si="2"/>
        <v>3.3862691824031407E-3</v>
      </c>
      <c r="H65" s="197"/>
      <c r="I65" s="99"/>
      <c r="J65" s="74"/>
      <c r="K65" s="244"/>
      <c r="M65" s="1106" t="s">
        <v>162</v>
      </c>
      <c r="N65" s="1128" t="s">
        <v>163</v>
      </c>
      <c r="O65" s="1130">
        <v>2.6907726931732934</v>
      </c>
      <c r="P65" s="1130">
        <v>2.9667493796526059</v>
      </c>
      <c r="Q65" s="1130">
        <v>3.4257879656160459</v>
      </c>
      <c r="R65" s="1130">
        <v>3.8076433121019111</v>
      </c>
      <c r="S65" s="1131"/>
      <c r="T65" s="1105"/>
      <c r="U65" s="1094"/>
    </row>
    <row r="66" spans="2:21">
      <c r="B66" s="78" t="s">
        <v>23</v>
      </c>
      <c r="C66" s="118" t="s">
        <v>133</v>
      </c>
      <c r="D66" s="117">
        <f t="shared" si="2"/>
        <v>4.6837408023728819E-4</v>
      </c>
      <c r="E66" s="117">
        <f t="shared" si="2"/>
        <v>4.6837408023728814E-4</v>
      </c>
      <c r="F66" s="117">
        <f t="shared" si="2"/>
        <v>4.6837408023728825E-4</v>
      </c>
      <c r="G66" s="117">
        <f t="shared" si="2"/>
        <v>4.6837408023728819E-4</v>
      </c>
      <c r="H66" s="197"/>
      <c r="I66" s="99"/>
      <c r="J66" s="74"/>
      <c r="K66" s="244"/>
      <c r="M66" s="1106" t="s">
        <v>164</v>
      </c>
      <c r="N66" s="1128" t="s">
        <v>26</v>
      </c>
      <c r="O66" s="1132">
        <v>0.19</v>
      </c>
      <c r="P66" s="1132">
        <v>0.2</v>
      </c>
      <c r="Q66" s="1132">
        <v>0.22</v>
      </c>
      <c r="R66" s="1132">
        <v>0.24</v>
      </c>
      <c r="S66" s="1132"/>
      <c r="T66" s="1093" t="s">
        <v>643</v>
      </c>
      <c r="U66" s="1122"/>
    </row>
    <row r="67" spans="2:21" ht="14.4" thickBot="1">
      <c r="B67" s="78" t="s">
        <v>115</v>
      </c>
      <c r="C67" s="118" t="s">
        <v>133</v>
      </c>
      <c r="D67" s="117">
        <f t="shared" si="2"/>
        <v>0.3488992416652627</v>
      </c>
      <c r="E67" s="117">
        <f t="shared" si="2"/>
        <v>3.6446302941253436E-2</v>
      </c>
      <c r="F67" s="117">
        <f t="shared" si="2"/>
        <v>3.6446302941253436E-2</v>
      </c>
      <c r="G67" s="117">
        <f t="shared" si="2"/>
        <v>3.6446302941253436E-2</v>
      </c>
      <c r="H67" s="197"/>
      <c r="I67" s="99"/>
      <c r="J67" s="74"/>
      <c r="K67" s="244"/>
      <c r="M67" s="1133"/>
      <c r="N67" s="1134"/>
      <c r="O67" s="1135"/>
      <c r="P67" s="1135"/>
      <c r="Q67" s="1135"/>
      <c r="R67" s="1135"/>
      <c r="S67" s="1135"/>
      <c r="T67" s="1105"/>
      <c r="U67" s="1124"/>
    </row>
    <row r="68" spans="2:21" ht="16.2" thickBot="1">
      <c r="B68" s="78" t="s">
        <v>24</v>
      </c>
      <c r="C68" s="118" t="s">
        <v>133</v>
      </c>
      <c r="D68" s="117">
        <f t="shared" si="2"/>
        <v>3.2979813853448933E-3</v>
      </c>
      <c r="E68" s="117">
        <f t="shared" si="2"/>
        <v>3.6064433411829615E-4</v>
      </c>
      <c r="F68" s="117">
        <f t="shared" si="2"/>
        <v>3.6064433411829615E-4</v>
      </c>
      <c r="G68" s="117">
        <f t="shared" si="2"/>
        <v>3.6064433411829615E-4</v>
      </c>
      <c r="H68" s="135"/>
      <c r="I68" s="99"/>
      <c r="J68" s="74"/>
      <c r="K68" s="244"/>
      <c r="M68" s="1125" t="s">
        <v>116</v>
      </c>
      <c r="N68" s="1076"/>
      <c r="O68" s="1076"/>
      <c r="P68" s="1076"/>
      <c r="Q68" s="1076"/>
      <c r="R68" s="1076"/>
      <c r="S68" s="1076"/>
      <c r="T68" s="1076"/>
      <c r="U68" s="1076"/>
    </row>
    <row r="69" spans="2:21" ht="14.4" thickBot="1">
      <c r="B69" s="115"/>
      <c r="C69" s="114"/>
      <c r="D69" s="113"/>
      <c r="E69" s="72"/>
      <c r="F69" s="72"/>
      <c r="G69" s="72"/>
      <c r="H69" s="98"/>
      <c r="I69" s="111"/>
      <c r="J69" s="90"/>
      <c r="K69" s="244"/>
      <c r="M69" s="1078"/>
      <c r="N69" s="1079"/>
      <c r="O69" s="1081"/>
      <c r="P69" s="1081"/>
      <c r="Q69" s="1081"/>
      <c r="R69" s="1081"/>
      <c r="S69" s="1081"/>
      <c r="T69" s="1081" t="s">
        <v>96</v>
      </c>
      <c r="U69" s="1082" t="s">
        <v>97</v>
      </c>
    </row>
    <row r="70" spans="2:21">
      <c r="I70" s="69"/>
      <c r="K70" s="244"/>
      <c r="M70" s="1106"/>
      <c r="N70" s="1128"/>
      <c r="O70" s="1114"/>
      <c r="P70" s="1114"/>
      <c r="Q70" s="1114"/>
      <c r="R70" s="1114"/>
      <c r="S70" s="1093"/>
      <c r="T70" s="1093"/>
      <c r="U70" s="1122"/>
    </row>
    <row r="71" spans="2:21">
      <c r="I71" s="69"/>
      <c r="K71" s="244"/>
      <c r="M71" s="1111" t="s">
        <v>141</v>
      </c>
      <c r="N71" s="1126" t="s">
        <v>15</v>
      </c>
      <c r="O71" s="1136">
        <v>1468303.5714285714</v>
      </c>
      <c r="P71" s="1136">
        <f>P75*P79</f>
        <v>696428.57142857136</v>
      </c>
      <c r="Q71" s="1136">
        <f>Q75*Q79</f>
        <v>393981.23197746492</v>
      </c>
      <c r="R71" s="1136">
        <f>R75*R79</f>
        <v>361306.37729426561</v>
      </c>
      <c r="S71" s="1093"/>
      <c r="T71" s="1093"/>
      <c r="U71" s="1094"/>
    </row>
    <row r="72" spans="2:21" ht="16.2" thickBot="1">
      <c r="B72" s="89" t="s">
        <v>116</v>
      </c>
      <c r="I72" s="69"/>
      <c r="K72" s="244"/>
      <c r="M72" s="1111" t="s">
        <v>958</v>
      </c>
      <c r="N72" s="1126" t="s">
        <v>15</v>
      </c>
      <c r="O72" s="1136">
        <f>O76*O79</f>
        <v>2033098.2142857146</v>
      </c>
      <c r="P72" s="1136">
        <f>P76*P79</f>
        <v>1160714.2857142857</v>
      </c>
      <c r="Q72" s="1136">
        <f>Q76*Q79</f>
        <v>425925.65619185398</v>
      </c>
      <c r="R72" s="1136">
        <f>R76*R79</f>
        <v>390601.48896677367</v>
      </c>
      <c r="S72" s="1093"/>
      <c r="T72" s="1093"/>
      <c r="U72" s="1093" t="s">
        <v>957</v>
      </c>
    </row>
    <row r="73" spans="2:21">
      <c r="B73" s="88"/>
      <c r="C73" s="110"/>
      <c r="D73" s="85"/>
      <c r="E73" s="85"/>
      <c r="F73" s="85"/>
      <c r="G73" s="85"/>
      <c r="H73" s="85"/>
      <c r="I73" s="84"/>
      <c r="J73" s="83"/>
      <c r="K73" s="244"/>
      <c r="M73" s="1111" t="s">
        <v>958</v>
      </c>
      <c r="N73" s="1126" t="s">
        <v>15</v>
      </c>
      <c r="O73" s="1136">
        <f>O77*O79</f>
        <v>2033098.2142857146</v>
      </c>
      <c r="P73" s="1136">
        <f>P77*P79</f>
        <v>1160714.2857142857</v>
      </c>
      <c r="Q73" s="1136">
        <f>Q77*Q79</f>
        <v>799331.40262405085</v>
      </c>
      <c r="R73" s="1136">
        <f>R77*R79</f>
        <v>733038.80971710593</v>
      </c>
      <c r="S73" s="1093"/>
      <c r="T73" s="1093"/>
      <c r="U73" s="1093" t="s">
        <v>956</v>
      </c>
    </row>
    <row r="74" spans="2:21">
      <c r="B74" s="109"/>
      <c r="C74" s="108" t="s">
        <v>98</v>
      </c>
      <c r="D74" s="107">
        <v>2015</v>
      </c>
      <c r="E74" s="106">
        <v>2020</v>
      </c>
      <c r="F74" s="106">
        <v>2035</v>
      </c>
      <c r="G74" s="106">
        <v>2050</v>
      </c>
      <c r="H74" s="106"/>
      <c r="I74" s="105"/>
      <c r="J74" s="104"/>
      <c r="K74" s="244"/>
      <c r="M74" s="1111" t="s">
        <v>958</v>
      </c>
      <c r="N74" s="1126" t="s">
        <v>15</v>
      </c>
      <c r="O74" s="1136">
        <f>O78*O79</f>
        <v>2033098.2142857146</v>
      </c>
      <c r="P74" s="1136">
        <f t="shared" ref="P74:R74" si="3">P78*P79</f>
        <v>1160714.2857142857</v>
      </c>
      <c r="Q74" s="1136">
        <f t="shared" si="3"/>
        <v>612628.52940795245</v>
      </c>
      <c r="R74" s="1136">
        <f t="shared" si="3"/>
        <v>561820.14934193983</v>
      </c>
      <c r="S74" s="1093"/>
      <c r="T74" s="1093"/>
      <c r="U74" s="1093" t="s">
        <v>963</v>
      </c>
    </row>
    <row r="75" spans="2:21">
      <c r="B75" s="78" t="s">
        <v>25</v>
      </c>
      <c r="C75" s="95" t="s">
        <v>151</v>
      </c>
      <c r="D75" s="254">
        <f>D79*D93</f>
        <v>2.5327000000000002</v>
      </c>
      <c r="E75" s="254">
        <f>E79*E93</f>
        <v>2.4180000000000001</v>
      </c>
      <c r="F75" s="254">
        <f>F79*F93</f>
        <v>2.3034000000000003</v>
      </c>
      <c r="G75" s="254">
        <f>G79*G93</f>
        <v>2.2607999999999997</v>
      </c>
      <c r="H75" s="254"/>
      <c r="I75" s="79"/>
      <c r="J75" s="74"/>
      <c r="K75" s="244"/>
      <c r="M75" s="1111" t="s">
        <v>143</v>
      </c>
      <c r="N75" s="1126" t="s">
        <v>144</v>
      </c>
      <c r="O75" s="1137">
        <v>2275</v>
      </c>
      <c r="P75" s="1137">
        <f>120*6.5</f>
        <v>780</v>
      </c>
      <c r="Q75" s="1137">
        <v>481</v>
      </c>
      <c r="R75" s="1137">
        <v>481</v>
      </c>
      <c r="S75" s="1105"/>
      <c r="T75" s="1105" t="s">
        <v>959</v>
      </c>
      <c r="U75" s="1094"/>
    </row>
    <row r="76" spans="2:21">
      <c r="B76" s="78" t="s">
        <v>120</v>
      </c>
      <c r="C76" s="95" t="s">
        <v>121</v>
      </c>
      <c r="D76" s="253">
        <v>50000</v>
      </c>
      <c r="E76" s="253">
        <v>50000</v>
      </c>
      <c r="F76" s="253">
        <v>50000</v>
      </c>
      <c r="G76" s="253">
        <v>50000</v>
      </c>
      <c r="H76" s="253"/>
      <c r="I76" s="99" t="s">
        <v>645</v>
      </c>
      <c r="J76" s="74"/>
      <c r="K76" s="244"/>
      <c r="M76" s="1111" t="s">
        <v>143</v>
      </c>
      <c r="N76" s="1126" t="s">
        <v>144</v>
      </c>
      <c r="O76" s="1137">
        <v>2277.0700000000002</v>
      </c>
      <c r="P76" s="1137">
        <v>1300</v>
      </c>
      <c r="Q76" s="1137">
        <v>520</v>
      </c>
      <c r="R76" s="1137">
        <v>520</v>
      </c>
      <c r="S76" s="1105"/>
      <c r="T76" s="1105" t="s">
        <v>955</v>
      </c>
      <c r="U76" s="1094" t="s">
        <v>957</v>
      </c>
    </row>
    <row r="77" spans="2:21">
      <c r="B77" s="78" t="s">
        <v>123</v>
      </c>
      <c r="C77" s="202" t="s">
        <v>36</v>
      </c>
      <c r="D77" s="252">
        <f>156000/D76</f>
        <v>3.12</v>
      </c>
      <c r="E77" s="252">
        <f>156000/E76</f>
        <v>3.12</v>
      </c>
      <c r="F77" s="252">
        <f>156000/F76</f>
        <v>3.12</v>
      </c>
      <c r="G77" s="252">
        <f>156000/G76</f>
        <v>3.12</v>
      </c>
      <c r="H77" s="252"/>
      <c r="I77" s="99" t="s">
        <v>645</v>
      </c>
      <c r="J77" s="119"/>
      <c r="K77" s="244"/>
      <c r="M77" s="1111" t="s">
        <v>143</v>
      </c>
      <c r="N77" s="1126" t="s">
        <v>144</v>
      </c>
      <c r="O77" s="1137">
        <v>2277.0700000000002</v>
      </c>
      <c r="P77" s="1137">
        <v>1300</v>
      </c>
      <c r="Q77" s="1137">
        <v>975.88</v>
      </c>
      <c r="R77" s="1137">
        <v>975.88</v>
      </c>
      <c r="S77" s="1137"/>
      <c r="T77" s="1105" t="s">
        <v>955</v>
      </c>
      <c r="U77" s="1094" t="s">
        <v>956</v>
      </c>
    </row>
    <row r="78" spans="2:21">
      <c r="B78" s="165" t="s">
        <v>162</v>
      </c>
      <c r="C78" s="202" t="s">
        <v>163</v>
      </c>
      <c r="D78" s="251">
        <v>2.6907726931732934</v>
      </c>
      <c r="E78" s="251">
        <v>2.9667493796526059</v>
      </c>
      <c r="F78" s="251">
        <v>3.4257879656160459</v>
      </c>
      <c r="G78" s="251">
        <v>3.8076433121019111</v>
      </c>
      <c r="H78" s="250"/>
      <c r="I78" s="99"/>
      <c r="J78" s="74"/>
      <c r="K78" s="244"/>
      <c r="M78" s="1111" t="s">
        <v>143</v>
      </c>
      <c r="N78" s="1126" t="s">
        <v>144</v>
      </c>
      <c r="O78" s="1137">
        <v>2277.0700000000002</v>
      </c>
      <c r="P78" s="1137">
        <v>1300</v>
      </c>
      <c r="Q78" s="1137">
        <f>AVERAGE(Q76:Q77)</f>
        <v>747.94</v>
      </c>
      <c r="R78" s="1137">
        <f>AVERAGE(R76:R77)</f>
        <v>747.94</v>
      </c>
      <c r="S78" s="1137"/>
      <c r="T78" s="1105" t="s">
        <v>955</v>
      </c>
      <c r="U78" s="1094" t="s">
        <v>963</v>
      </c>
    </row>
    <row r="79" spans="2:21">
      <c r="B79" s="165" t="s">
        <v>164</v>
      </c>
      <c r="C79" s="202" t="s">
        <v>26</v>
      </c>
      <c r="D79" s="249">
        <v>0.19</v>
      </c>
      <c r="E79" s="249">
        <v>0.2</v>
      </c>
      <c r="F79" s="249">
        <v>0.22</v>
      </c>
      <c r="G79" s="249">
        <v>0.24</v>
      </c>
      <c r="H79" s="249"/>
      <c r="I79" s="79" t="s">
        <v>643</v>
      </c>
      <c r="J79" s="119"/>
      <c r="K79" s="244"/>
      <c r="M79" s="1111" t="s">
        <v>145</v>
      </c>
      <c r="N79" s="1126" t="s">
        <v>146</v>
      </c>
      <c r="O79" s="1137">
        <f>500*O25/3.6</f>
        <v>892.85714285714289</v>
      </c>
      <c r="P79" s="1137">
        <f>500*P25/3.6</f>
        <v>892.85714285714278</v>
      </c>
      <c r="Q79" s="1137">
        <f>500*Q25/3.6</f>
        <v>819.08780036894996</v>
      </c>
      <c r="R79" s="1137">
        <f>500*R25/3.6</f>
        <v>751.15670955148778</v>
      </c>
      <c r="S79" s="1105"/>
      <c r="T79" s="1105"/>
      <c r="U79" s="1094"/>
    </row>
    <row r="80" spans="2:21" ht="14.4" thickBot="1">
      <c r="B80" s="248"/>
      <c r="C80" s="247"/>
      <c r="D80" s="246"/>
      <c r="E80" s="246"/>
      <c r="F80" s="246"/>
      <c r="G80" s="246"/>
      <c r="H80" s="246"/>
      <c r="I80" s="99"/>
      <c r="J80" s="90"/>
      <c r="K80" s="244"/>
      <c r="M80" s="1111" t="s">
        <v>237</v>
      </c>
      <c r="N80" s="1126" t="s">
        <v>236</v>
      </c>
      <c r="O80" s="1137">
        <v>3.9749999999999996</v>
      </c>
      <c r="P80" s="1137">
        <v>6</v>
      </c>
      <c r="Q80" s="1137">
        <v>6</v>
      </c>
      <c r="R80" s="1137">
        <v>6</v>
      </c>
      <c r="S80" s="1105"/>
      <c r="T80" s="1105"/>
      <c r="U80" s="1094"/>
    </row>
    <row r="81" spans="2:21" ht="16.2" thickBot="1">
      <c r="B81" s="89" t="s">
        <v>116</v>
      </c>
      <c r="H81" s="69"/>
      <c r="I81" s="69"/>
      <c r="M81" s="1111" t="s">
        <v>147</v>
      </c>
      <c r="N81" s="1126" t="s">
        <v>148</v>
      </c>
      <c r="O81" s="1138">
        <v>355.34727861923562</v>
      </c>
      <c r="P81" s="1138">
        <v>372.20349568194297</v>
      </c>
      <c r="Q81" s="1138">
        <v>390.72156488622824</v>
      </c>
      <c r="R81" s="1138">
        <v>398.08388736683401</v>
      </c>
      <c r="S81" s="1105"/>
      <c r="T81" s="1105" t="s">
        <v>253</v>
      </c>
      <c r="U81" s="1094"/>
    </row>
    <row r="82" spans="2:21">
      <c r="B82" s="88"/>
      <c r="C82" s="110"/>
      <c r="D82" s="85"/>
      <c r="E82" s="85"/>
      <c r="F82" s="85"/>
      <c r="G82" s="85"/>
      <c r="H82" s="84"/>
      <c r="I82" s="84" t="s">
        <v>96</v>
      </c>
      <c r="J82" s="83" t="s">
        <v>97</v>
      </c>
      <c r="M82" s="1111" t="s">
        <v>243</v>
      </c>
      <c r="N82" s="1126" t="s">
        <v>242</v>
      </c>
      <c r="O82" s="1138">
        <v>8.9285714285714288</v>
      </c>
      <c r="P82" s="1139">
        <v>6.25</v>
      </c>
      <c r="Q82" s="1139">
        <v>5</v>
      </c>
      <c r="R82" s="1139">
        <v>4.5454545454545459</v>
      </c>
      <c r="S82" s="1105"/>
      <c r="T82" s="1105" t="s">
        <v>644</v>
      </c>
      <c r="U82" s="1094"/>
    </row>
    <row r="83" spans="2:21" ht="14.4" thickBot="1">
      <c r="B83" s="165"/>
      <c r="C83" s="202"/>
      <c r="D83" s="98"/>
      <c r="E83" s="98"/>
      <c r="F83" s="98"/>
      <c r="G83" s="98"/>
      <c r="H83" s="79"/>
      <c r="I83" s="79"/>
      <c r="J83" s="119"/>
      <c r="M83" s="1140" t="s">
        <v>241</v>
      </c>
      <c r="N83" s="1141" t="s">
        <v>118</v>
      </c>
      <c r="O83" s="1142">
        <v>7971.9387755102034</v>
      </c>
      <c r="P83" s="1142">
        <v>5580.3571428571422</v>
      </c>
      <c r="Q83" s="1142">
        <v>4095.4390018447498</v>
      </c>
      <c r="R83" s="1142">
        <v>3414.3486797794903</v>
      </c>
      <c r="S83" s="1143"/>
      <c r="T83" s="1143"/>
      <c r="U83" s="1124"/>
    </row>
    <row r="84" spans="2:21">
      <c r="B84" s="78" t="s">
        <v>141</v>
      </c>
      <c r="C84" s="95" t="s">
        <v>15</v>
      </c>
      <c r="D84" s="183">
        <f>D85*D86+(D44-D87)/D87*D86*(E85+F85)/2</f>
        <v>1167133.0897193784</v>
      </c>
      <c r="E84" s="183">
        <f>E85*E86</f>
        <v>498940.75599099655</v>
      </c>
      <c r="F84" s="183">
        <f>F85*F86</f>
        <v>275799.59864149522</v>
      </c>
      <c r="G84" s="183">
        <f>G85*G86</f>
        <v>248163.29370200707</v>
      </c>
      <c r="H84" s="79"/>
      <c r="I84" s="79"/>
      <c r="J84" s="74"/>
    </row>
    <row r="85" spans="2:21">
      <c r="B85" s="78" t="s">
        <v>143</v>
      </c>
      <c r="C85" s="95" t="s">
        <v>144</v>
      </c>
      <c r="D85" s="975">
        <f>'EU varebil el'!D81</f>
        <v>2275</v>
      </c>
      <c r="E85" s="975">
        <f>120*6.5</f>
        <v>780</v>
      </c>
      <c r="F85" s="975">
        <f>'EU varebil el'!F81</f>
        <v>481</v>
      </c>
      <c r="G85" s="975">
        <f>'EU varebil el'!G81</f>
        <v>481</v>
      </c>
      <c r="H85" s="99"/>
      <c r="I85" s="99" t="s">
        <v>929</v>
      </c>
      <c r="J85" s="195"/>
    </row>
    <row r="86" spans="2:21">
      <c r="B86" s="78" t="s">
        <v>145</v>
      </c>
      <c r="C86" s="95" t="s">
        <v>146</v>
      </c>
      <c r="D86" s="92">
        <f>500*D25/3.6</f>
        <v>709.71911810238873</v>
      </c>
      <c r="E86" s="92">
        <f t="shared" ref="E86:G86" si="4">500*E25/3.6</f>
        <v>639.66763588589299</v>
      </c>
      <c r="F86" s="92">
        <f t="shared" si="4"/>
        <v>573.38793896360755</v>
      </c>
      <c r="G86" s="92">
        <f t="shared" si="4"/>
        <v>515.93200353847624</v>
      </c>
      <c r="H86" s="99"/>
      <c r="I86" s="99" t="s">
        <v>935</v>
      </c>
      <c r="J86" s="74"/>
    </row>
    <row r="87" spans="2:21">
      <c r="B87" s="78" t="s">
        <v>237</v>
      </c>
      <c r="C87" s="95" t="s">
        <v>236</v>
      </c>
      <c r="D87" s="92">
        <f>10.6/16*E87</f>
        <v>3.9749999999999996</v>
      </c>
      <c r="E87" s="92">
        <v>6</v>
      </c>
      <c r="F87" s="92">
        <v>6</v>
      </c>
      <c r="G87" s="92">
        <v>6</v>
      </c>
      <c r="H87" s="99"/>
      <c r="I87" s="99"/>
      <c r="J87" s="74"/>
    </row>
    <row r="88" spans="2:21">
      <c r="B88" s="78" t="s">
        <v>147</v>
      </c>
      <c r="C88" s="95" t="s">
        <v>148</v>
      </c>
      <c r="D88" s="146">
        <f>D42/3.6</f>
        <v>355.34727861923562</v>
      </c>
      <c r="E88" s="146">
        <f>E42/3.6</f>
        <v>372.20349568194297</v>
      </c>
      <c r="F88" s="146">
        <f>F42/3.6</f>
        <v>390.72156488622824</v>
      </c>
      <c r="G88" s="146">
        <f>G42/3.6</f>
        <v>398.08388736683401</v>
      </c>
      <c r="H88" s="99"/>
      <c r="I88" s="99" t="s">
        <v>253</v>
      </c>
      <c r="J88" s="74"/>
    </row>
    <row r="89" spans="2:21">
      <c r="B89" s="78" t="s">
        <v>243</v>
      </c>
      <c r="C89" s="95" t="s">
        <v>242</v>
      </c>
      <c r="D89" s="146">
        <v>8.9285714285714288</v>
      </c>
      <c r="E89" s="200">
        <v>6.25</v>
      </c>
      <c r="F89" s="200">
        <v>5</v>
      </c>
      <c r="G89" s="200">
        <v>4.5454545454545459</v>
      </c>
      <c r="H89" s="99"/>
      <c r="I89" s="99" t="s">
        <v>644</v>
      </c>
      <c r="J89" s="74"/>
    </row>
    <row r="90" spans="2:21" ht="14.4" thickBot="1">
      <c r="B90" s="73" t="s">
        <v>241</v>
      </c>
      <c r="C90" s="91" t="s">
        <v>118</v>
      </c>
      <c r="D90" s="194">
        <f>D86*D89</f>
        <v>6336.7778401998994</v>
      </c>
      <c r="E90" s="194">
        <f>E86*E89</f>
        <v>3997.922724286831</v>
      </c>
      <c r="F90" s="194">
        <f>F86*F89</f>
        <v>2866.9396948180379</v>
      </c>
      <c r="G90" s="194">
        <f>G86*G89</f>
        <v>2345.1454706294376</v>
      </c>
      <c r="H90" s="193"/>
      <c r="I90" s="193"/>
      <c r="J90" s="90"/>
    </row>
    <row r="91" spans="2:21">
      <c r="D91" s="192"/>
      <c r="E91" s="192"/>
      <c r="F91" s="192"/>
      <c r="G91" s="192"/>
      <c r="H91" s="192"/>
      <c r="K91" s="244"/>
      <c r="M91" s="1076"/>
      <c r="N91" s="1076"/>
      <c r="O91" s="1144"/>
      <c r="P91" s="1144"/>
      <c r="Q91" s="1144"/>
      <c r="R91" s="1144"/>
      <c r="S91" s="1144"/>
      <c r="T91" s="1076"/>
      <c r="U91" s="1076"/>
    </row>
    <row r="92" spans="2:21" ht="16.2" thickBot="1">
      <c r="B92" s="89" t="s">
        <v>125</v>
      </c>
      <c r="K92" s="244"/>
    </row>
    <row r="93" spans="2:21">
      <c r="B93" s="88" t="s">
        <v>149</v>
      </c>
      <c r="C93" s="85"/>
      <c r="D93" s="1304">
        <v>13.33</v>
      </c>
      <c r="E93" s="1304">
        <v>12.09</v>
      </c>
      <c r="F93" s="1304">
        <v>10.47</v>
      </c>
      <c r="G93" s="1304">
        <v>9.42</v>
      </c>
      <c r="H93" s="182"/>
      <c r="I93" s="85" t="s">
        <v>643</v>
      </c>
      <c r="J93" s="83"/>
      <c r="K93" s="244"/>
    </row>
    <row r="94" spans="2:21">
      <c r="B94" s="78"/>
      <c r="C94" s="77"/>
      <c r="D94" s="245"/>
      <c r="E94" s="245"/>
      <c r="F94" s="245"/>
      <c r="G94" s="245"/>
      <c r="H94" s="245"/>
      <c r="I94" s="77"/>
      <c r="J94" s="74"/>
      <c r="K94" s="244"/>
    </row>
    <row r="95" spans="2:21">
      <c r="B95" s="78" t="s">
        <v>20</v>
      </c>
      <c r="C95" s="77" t="s">
        <v>27</v>
      </c>
      <c r="D95" s="243"/>
      <c r="E95" s="243"/>
      <c r="F95" s="243"/>
      <c r="G95" s="243"/>
      <c r="H95" s="243"/>
      <c r="I95" s="77"/>
      <c r="J95" s="74"/>
      <c r="K95" s="244"/>
    </row>
    <row r="96" spans="2:21">
      <c r="B96" s="78" t="s">
        <v>21</v>
      </c>
      <c r="C96" s="77" t="s">
        <v>27</v>
      </c>
      <c r="D96" s="243">
        <f t="shared" ref="D96:G100" si="5">D106/1000*D$93</f>
        <v>7.5989961745134265E-3</v>
      </c>
      <c r="E96" s="243">
        <f t="shared" si="5"/>
        <v>1.9705785595902914E-3</v>
      </c>
      <c r="F96" s="243">
        <f t="shared" si="5"/>
        <v>1.7065308121513938E-3</v>
      </c>
      <c r="G96" s="243">
        <f t="shared" si="5"/>
        <v>1.5353887536261822E-3</v>
      </c>
      <c r="H96" s="243"/>
      <c r="I96" s="77"/>
      <c r="J96" s="74"/>
      <c r="K96" s="244"/>
    </row>
    <row r="97" spans="2:13">
      <c r="B97" s="78" t="s">
        <v>22</v>
      </c>
      <c r="C97" s="77" t="s">
        <v>27</v>
      </c>
      <c r="D97" s="243">
        <f t="shared" si="5"/>
        <v>4.5138968201433864E-2</v>
      </c>
      <c r="E97" s="243">
        <f t="shared" si="5"/>
        <v>4.093999441525397E-2</v>
      </c>
      <c r="F97" s="243">
        <f t="shared" si="5"/>
        <v>3.5454238339760885E-2</v>
      </c>
      <c r="G97" s="243">
        <f t="shared" si="5"/>
        <v>3.1898655698237584E-2</v>
      </c>
      <c r="H97" s="243"/>
      <c r="I97" s="77"/>
      <c r="J97" s="74"/>
      <c r="K97" s="244"/>
    </row>
    <row r="98" spans="2:13">
      <c r="B98" s="78" t="s">
        <v>23</v>
      </c>
      <c r="C98" s="77" t="s">
        <v>27</v>
      </c>
      <c r="D98" s="243">
        <f t="shared" si="5"/>
        <v>6.2434264895630514E-3</v>
      </c>
      <c r="E98" s="243">
        <f t="shared" si="5"/>
        <v>5.6626426300688138E-3</v>
      </c>
      <c r="F98" s="243">
        <f t="shared" si="5"/>
        <v>4.903876620084408E-3</v>
      </c>
      <c r="G98" s="243">
        <f t="shared" si="5"/>
        <v>4.412083835835255E-3</v>
      </c>
      <c r="H98" s="243"/>
      <c r="I98" s="77"/>
      <c r="J98" s="74"/>
      <c r="K98" s="244"/>
    </row>
    <row r="99" spans="2:13">
      <c r="B99" s="165" t="s">
        <v>37</v>
      </c>
      <c r="C99" s="77" t="s">
        <v>27</v>
      </c>
      <c r="D99" s="243">
        <f t="shared" si="5"/>
        <v>4.6508268913979522</v>
      </c>
      <c r="E99" s="243">
        <f t="shared" si="5"/>
        <v>0.44063580255975404</v>
      </c>
      <c r="F99" s="243">
        <f t="shared" si="5"/>
        <v>0.3815927917949235</v>
      </c>
      <c r="G99" s="243">
        <f t="shared" si="5"/>
        <v>0.34332417370660734</v>
      </c>
      <c r="H99" s="243"/>
      <c r="I99" s="77"/>
      <c r="J99" s="119"/>
      <c r="K99" s="244"/>
    </row>
    <row r="100" spans="2:13">
      <c r="B100" s="78" t="s">
        <v>24</v>
      </c>
      <c r="C100" s="77" t="s">
        <v>27</v>
      </c>
      <c r="D100" s="243">
        <f t="shared" si="5"/>
        <v>4.3962091866647429E-2</v>
      </c>
      <c r="E100" s="243">
        <f t="shared" si="5"/>
        <v>4.3601899994902002E-3</v>
      </c>
      <c r="F100" s="243">
        <f t="shared" si="5"/>
        <v>3.7759461782185611E-3</v>
      </c>
      <c r="G100" s="243">
        <f t="shared" si="5"/>
        <v>3.3972696273943497E-3</v>
      </c>
      <c r="H100" s="243"/>
      <c r="I100" s="77"/>
      <c r="J100" s="119"/>
    </row>
    <row r="101" spans="2:13" ht="14.4" thickBot="1">
      <c r="B101" s="73"/>
      <c r="C101" s="72"/>
      <c r="D101" s="242"/>
      <c r="E101" s="242"/>
      <c r="F101" s="242"/>
      <c r="G101" s="242"/>
      <c r="H101" s="242"/>
      <c r="I101" s="72"/>
      <c r="J101" s="90"/>
    </row>
    <row r="103" spans="2:13" ht="14.4" thickBot="1">
      <c r="B103" s="154" t="s">
        <v>171</v>
      </c>
    </row>
    <row r="104" spans="2:13">
      <c r="B104" s="88"/>
      <c r="C104" s="85"/>
      <c r="D104" s="241">
        <v>2015</v>
      </c>
      <c r="E104" s="241">
        <v>2020</v>
      </c>
      <c r="F104" s="241">
        <v>2035</v>
      </c>
      <c r="G104" s="241">
        <v>2050</v>
      </c>
      <c r="H104" s="241"/>
    </row>
    <row r="105" spans="2:13">
      <c r="B105" s="240" t="s">
        <v>20</v>
      </c>
      <c r="C105" s="135" t="s">
        <v>172</v>
      </c>
      <c r="D105" s="238"/>
      <c r="E105" s="238"/>
      <c r="F105" s="238"/>
      <c r="G105" s="238"/>
      <c r="H105" s="238"/>
    </row>
    <row r="106" spans="2:13">
      <c r="B106" s="240" t="s">
        <v>21</v>
      </c>
      <c r="C106" s="77" t="s">
        <v>172</v>
      </c>
      <c r="D106" s="239">
        <f>'EU Lastbil El'!D125</f>
        <v>0.57006722989598102</v>
      </c>
      <c r="E106" s="239">
        <f>'EU Lastbil El'!E125</f>
        <v>0.16299243669067753</v>
      </c>
      <c r="F106" s="239">
        <f>'EU Lastbil El'!F125</f>
        <v>0.16299243669067753</v>
      </c>
      <c r="G106" s="238">
        <f>F106</f>
        <v>0.16299243669067753</v>
      </c>
      <c r="H106" s="239"/>
      <c r="J106" s="188"/>
      <c r="K106" s="188"/>
      <c r="L106" s="188"/>
      <c r="M106" s="188"/>
    </row>
    <row r="107" spans="2:13">
      <c r="B107" s="240" t="s">
        <v>22</v>
      </c>
      <c r="C107" s="77" t="s">
        <v>172</v>
      </c>
      <c r="D107" s="239">
        <f>'EU Lastbil El'!D126</f>
        <v>3.3862691824031406</v>
      </c>
      <c r="E107" s="239">
        <f>'EU Lastbil El'!E126</f>
        <v>3.3862691824031406</v>
      </c>
      <c r="F107" s="239">
        <f>'EU Lastbil El'!F126</f>
        <v>3.3862691824031406</v>
      </c>
      <c r="G107" s="238">
        <f>F107</f>
        <v>3.3862691824031406</v>
      </c>
      <c r="H107" s="239"/>
      <c r="J107" s="188"/>
      <c r="K107" s="188"/>
      <c r="L107" s="188"/>
      <c r="M107" s="188"/>
    </row>
    <row r="108" spans="2:13">
      <c r="B108" s="240" t="s">
        <v>23</v>
      </c>
      <c r="C108" s="77" t="s">
        <v>172</v>
      </c>
      <c r="D108" s="239">
        <f>'EU Lastbil El'!D127</f>
        <v>0.46837408023728822</v>
      </c>
      <c r="E108" s="239">
        <f>'EU Lastbil El'!E127</f>
        <v>0.46837408023728822</v>
      </c>
      <c r="F108" s="239">
        <f>'EU Lastbil El'!F127</f>
        <v>0.46837408023728822</v>
      </c>
      <c r="G108" s="238">
        <f>F108</f>
        <v>0.46837408023728822</v>
      </c>
      <c r="H108" s="239"/>
      <c r="J108" s="188"/>
      <c r="K108" s="188"/>
      <c r="L108" s="188"/>
      <c r="M108" s="188"/>
    </row>
    <row r="109" spans="2:13">
      <c r="B109" s="133" t="s">
        <v>37</v>
      </c>
      <c r="C109" s="77" t="s">
        <v>172</v>
      </c>
      <c r="D109" s="238">
        <f>'EU Lastbil El'!D128</f>
        <v>348.89924166526276</v>
      </c>
      <c r="E109" s="238">
        <f>'EU Lastbil El'!E128</f>
        <v>36.446302941253435</v>
      </c>
      <c r="F109" s="238">
        <f>'EU Lastbil El'!F128</f>
        <v>36.446302941253435</v>
      </c>
      <c r="G109" s="238">
        <f>F109</f>
        <v>36.446302941253435</v>
      </c>
      <c r="H109" s="238"/>
      <c r="J109" s="188"/>
      <c r="K109" s="188"/>
      <c r="L109" s="188"/>
      <c r="M109" s="188"/>
    </row>
    <row r="110" spans="2:13" ht="14.4" thickBot="1">
      <c r="B110" s="237" t="s">
        <v>24</v>
      </c>
      <c r="C110" s="72" t="s">
        <v>172</v>
      </c>
      <c r="D110" s="236">
        <f>'EU Lastbil El'!D129</f>
        <v>3.2979813853448934</v>
      </c>
      <c r="E110" s="236">
        <f>'EU Lastbil El'!E129</f>
        <v>0.36064433411829616</v>
      </c>
      <c r="F110" s="236">
        <f>'EU Lastbil El'!F129</f>
        <v>0.36064433411829616</v>
      </c>
      <c r="G110" s="236">
        <f>F110</f>
        <v>0.36064433411829616</v>
      </c>
      <c r="H110" s="236"/>
      <c r="J110" s="188"/>
      <c r="K110" s="188"/>
      <c r="L110" s="188"/>
      <c r="M110" s="188"/>
    </row>
    <row r="113" spans="2:7">
      <c r="B113" s="235"/>
      <c r="C113" s="221"/>
      <c r="D113" s="221"/>
      <c r="E113" s="221"/>
      <c r="F113" s="221"/>
      <c r="G113" s="221"/>
    </row>
    <row r="114" spans="2:7">
      <c r="B114" s="235" t="s">
        <v>270</v>
      </c>
      <c r="C114" s="221"/>
      <c r="D114" s="221"/>
      <c r="E114" s="221"/>
      <c r="F114" s="221"/>
      <c r="G114" s="221"/>
    </row>
    <row r="115" spans="2:7">
      <c r="B115" s="232"/>
      <c r="C115" s="232"/>
      <c r="D115" s="234">
        <v>2015</v>
      </c>
      <c r="E115" s="234">
        <v>2020</v>
      </c>
      <c r="F115" s="234">
        <v>2035</v>
      </c>
      <c r="G115" s="221"/>
    </row>
    <row r="116" spans="2:7">
      <c r="B116" s="223"/>
      <c r="C116" s="223"/>
      <c r="D116" s="233" t="s">
        <v>269</v>
      </c>
      <c r="E116" s="233" t="s">
        <v>239</v>
      </c>
      <c r="F116" s="233" t="s">
        <v>239</v>
      </c>
      <c r="G116" s="221"/>
    </row>
    <row r="117" spans="2:7">
      <c r="B117" s="232" t="s">
        <v>268</v>
      </c>
      <c r="C117" s="232" t="s">
        <v>151</v>
      </c>
      <c r="D117" s="231">
        <v>8.8593075104294687</v>
      </c>
      <c r="E117" s="231">
        <v>8.8593075104294687</v>
      </c>
      <c r="F117" s="231">
        <v>8.8593075104294687</v>
      </c>
      <c r="G117" s="221"/>
    </row>
    <row r="118" spans="2:7">
      <c r="B118" s="225" t="s">
        <v>20</v>
      </c>
      <c r="C118" s="225" t="s">
        <v>27</v>
      </c>
      <c r="D118" s="230">
        <v>655.58875577178071</v>
      </c>
      <c r="E118" s="230">
        <v>655.58875577178071</v>
      </c>
      <c r="F118" s="230">
        <v>655.58875577178071</v>
      </c>
      <c r="G118" s="221"/>
    </row>
    <row r="119" spans="2:7">
      <c r="B119" s="225" t="s">
        <v>21</v>
      </c>
      <c r="C119" s="225" t="s">
        <v>27</v>
      </c>
      <c r="D119" s="229">
        <v>5.0504008912671868E-3</v>
      </c>
      <c r="E119" s="229">
        <v>1.4440001185169191E-3</v>
      </c>
      <c r="F119" s="229">
        <v>1.4440001185169191E-3</v>
      </c>
      <c r="G119" s="221"/>
    </row>
    <row r="120" spans="2:7">
      <c r="B120" s="225" t="s">
        <v>22</v>
      </c>
      <c r="C120" s="225" t="s">
        <v>27</v>
      </c>
      <c r="D120" s="229">
        <v>0.03</v>
      </c>
      <c r="E120" s="229">
        <v>0.03</v>
      </c>
      <c r="F120" s="229">
        <v>0.03</v>
      </c>
      <c r="G120" s="221"/>
    </row>
    <row r="121" spans="2:7">
      <c r="B121" s="225" t="s">
        <v>23</v>
      </c>
      <c r="C121" s="225" t="s">
        <v>27</v>
      </c>
      <c r="D121" s="229">
        <v>4.1494700067367021E-3</v>
      </c>
      <c r="E121" s="229">
        <v>4.1494700067367021E-3</v>
      </c>
      <c r="F121" s="229">
        <v>4.1494700067367021E-3</v>
      </c>
      <c r="G121" s="221"/>
    </row>
    <row r="122" spans="2:7">
      <c r="B122" s="225" t="s">
        <v>37</v>
      </c>
      <c r="C122" s="225" t="s">
        <v>27</v>
      </c>
      <c r="D122" s="229">
        <v>3.0910056720682086</v>
      </c>
      <c r="E122" s="229">
        <v>0.32288900537483423</v>
      </c>
      <c r="F122" s="229">
        <v>0.32288900537483423</v>
      </c>
      <c r="G122" s="221"/>
    </row>
    <row r="123" spans="2:7">
      <c r="B123" s="223" t="s">
        <v>267</v>
      </c>
      <c r="C123" s="223" t="s">
        <v>27</v>
      </c>
      <c r="D123" s="228">
        <v>2.9217831256442596E-2</v>
      </c>
      <c r="E123" s="228">
        <v>3.1950590578480559E-3</v>
      </c>
      <c r="F123" s="228">
        <v>3.1950590578480559E-3</v>
      </c>
      <c r="G123" s="221"/>
    </row>
    <row r="124" spans="2:7">
      <c r="B124" s="225" t="s">
        <v>20</v>
      </c>
      <c r="C124" s="225" t="s">
        <v>172</v>
      </c>
      <c r="D124" s="227">
        <f t="shared" ref="D124:F129" si="6">1000*D118/D$117</f>
        <v>74000</v>
      </c>
      <c r="E124" s="227">
        <f t="shared" si="6"/>
        <v>74000</v>
      </c>
      <c r="F124" s="227">
        <f t="shared" si="6"/>
        <v>74000</v>
      </c>
      <c r="G124" s="221"/>
    </row>
    <row r="125" spans="2:7">
      <c r="B125" s="225" t="s">
        <v>21</v>
      </c>
      <c r="C125" s="225" t="s">
        <v>172</v>
      </c>
      <c r="D125" s="226">
        <f t="shared" si="6"/>
        <v>0.57006722989598102</v>
      </c>
      <c r="E125" s="226">
        <f t="shared" si="6"/>
        <v>0.16299243669067753</v>
      </c>
      <c r="F125" s="226">
        <f t="shared" si="6"/>
        <v>0.16299243669067753</v>
      </c>
      <c r="G125" s="221"/>
    </row>
    <row r="126" spans="2:7">
      <c r="B126" s="225" t="s">
        <v>22</v>
      </c>
      <c r="C126" s="225" t="s">
        <v>172</v>
      </c>
      <c r="D126" s="226">
        <f t="shared" si="6"/>
        <v>3.3862691824031406</v>
      </c>
      <c r="E126" s="226">
        <f t="shared" si="6"/>
        <v>3.3862691824031406</v>
      </c>
      <c r="F126" s="226">
        <f t="shared" si="6"/>
        <v>3.3862691824031406</v>
      </c>
      <c r="G126" s="221"/>
    </row>
    <row r="127" spans="2:7">
      <c r="B127" s="225" t="s">
        <v>23</v>
      </c>
      <c r="C127" s="225" t="s">
        <v>172</v>
      </c>
      <c r="D127" s="226">
        <f t="shared" si="6"/>
        <v>0.46837408023728822</v>
      </c>
      <c r="E127" s="226">
        <f t="shared" si="6"/>
        <v>0.46837408023728822</v>
      </c>
      <c r="F127" s="226">
        <f t="shared" si="6"/>
        <v>0.46837408023728822</v>
      </c>
      <c r="G127" s="221"/>
    </row>
    <row r="128" spans="2:7">
      <c r="B128" s="225" t="s">
        <v>37</v>
      </c>
      <c r="C128" s="225" t="s">
        <v>172</v>
      </c>
      <c r="D128" s="224">
        <f t="shared" si="6"/>
        <v>348.89924166526276</v>
      </c>
      <c r="E128" s="224">
        <f t="shared" si="6"/>
        <v>36.446302941253435</v>
      </c>
      <c r="F128" s="224">
        <f t="shared" si="6"/>
        <v>36.446302941253435</v>
      </c>
      <c r="G128" s="221"/>
    </row>
    <row r="129" spans="2:7">
      <c r="B129" s="223" t="s">
        <v>267</v>
      </c>
      <c r="C129" s="223" t="s">
        <v>172</v>
      </c>
      <c r="D129" s="222">
        <f t="shared" si="6"/>
        <v>3.2979813853448934</v>
      </c>
      <c r="E129" s="222">
        <f t="shared" si="6"/>
        <v>0.36064433411829616</v>
      </c>
      <c r="F129" s="222">
        <f t="shared" si="6"/>
        <v>0.36064433411829616</v>
      </c>
      <c r="G129" s="221"/>
    </row>
    <row r="130" spans="2:7">
      <c r="B130" s="221" t="s">
        <v>266</v>
      </c>
      <c r="C130" s="221"/>
      <c r="D130" s="221"/>
      <c r="E130" s="221"/>
      <c r="F130" s="221"/>
      <c r="G130" s="221"/>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drawing r:id="rId1"/>
  <legacyDrawingHF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B00-000000000000}">
          <x14:formula1>
            <xm:f>'C:\Users\B003920\Desktop\[Kopi af alternativ_drivmiddelmodel_3.0_2.xlsm]Sheet1'!#REF!</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rgb="FF002060"/>
    <pageSetUpPr fitToPage="1"/>
  </sheetPr>
  <dimension ref="B1:S99"/>
  <sheetViews>
    <sheetView topLeftCell="A13" zoomScale="80" zoomScaleNormal="80" workbookViewId="0">
      <selection activeCell="D39" sqref="D39"/>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7.109375" style="65" customWidth="1"/>
    <col min="10" max="10" width="37.44140625" style="65" customWidth="1"/>
    <col min="11" max="11" width="9" style="65" customWidth="1"/>
    <col min="12" max="12" width="10.88671875" style="65" customWidth="1"/>
    <col min="13" max="13" width="9.109375" style="65" customWidth="1"/>
    <col min="14" max="14" width="9" style="65" customWidth="1"/>
    <col min="15" max="15" width="8.88671875" style="65"/>
    <col min="16" max="16" width="37.88671875" style="65" customWidth="1"/>
    <col min="17" max="18" width="8.88671875" style="65"/>
    <col min="19" max="19" width="9.109375" style="65" customWidth="1"/>
    <col min="20" max="16384" width="8.88671875" style="65"/>
  </cols>
  <sheetData>
    <row r="1" spans="2:19" s="62" customFormat="1" ht="21">
      <c r="B1" s="62" t="s">
        <v>274</v>
      </c>
      <c r="Q1" s="62">
        <v>0</v>
      </c>
      <c r="R1" s="64">
        <v>0</v>
      </c>
      <c r="S1" s="63"/>
    </row>
    <row r="2" spans="2:19">
      <c r="R2" s="158"/>
      <c r="S2" s="158"/>
    </row>
    <row r="4" spans="2:19" ht="14.4" thickBot="1">
      <c r="B4" s="154" t="s">
        <v>91</v>
      </c>
    </row>
    <row r="5" spans="2:19">
      <c r="B5" s="157" t="s">
        <v>92</v>
      </c>
      <c r="C5" s="85"/>
      <c r="D5" s="85"/>
      <c r="E5" s="85"/>
      <c r="F5" s="85"/>
      <c r="G5" s="85"/>
      <c r="H5" s="85"/>
      <c r="I5" s="85"/>
      <c r="J5" s="85"/>
      <c r="K5" s="85"/>
      <c r="L5" s="85"/>
      <c r="M5" s="85"/>
      <c r="N5" s="85"/>
      <c r="O5" s="83"/>
    </row>
    <row r="6" spans="2:19">
      <c r="B6" s="133" t="s">
        <v>181</v>
      </c>
      <c r="C6" s="77"/>
      <c r="D6" s="77"/>
      <c r="E6" s="77"/>
      <c r="F6" s="77"/>
      <c r="G6" s="77"/>
      <c r="H6" s="77"/>
      <c r="I6" s="77"/>
      <c r="J6" s="77"/>
      <c r="K6" s="77"/>
      <c r="L6" s="77"/>
      <c r="M6" s="77"/>
      <c r="N6" s="77"/>
      <c r="O6" s="74"/>
    </row>
    <row r="7" spans="2:19">
      <c r="B7" s="133"/>
      <c r="C7" s="77"/>
      <c r="D7" s="77"/>
      <c r="E7" s="77"/>
      <c r="F7" s="77"/>
      <c r="G7" s="77"/>
      <c r="H7" s="77"/>
      <c r="I7" s="77"/>
      <c r="J7" s="77"/>
      <c r="K7" s="77"/>
      <c r="L7" s="77"/>
      <c r="M7" s="77"/>
      <c r="N7" s="77"/>
      <c r="O7" s="74"/>
    </row>
    <row r="8" spans="2:19">
      <c r="B8" s="133"/>
      <c r="C8" s="77"/>
      <c r="D8" s="77"/>
      <c r="E8" s="77"/>
      <c r="F8" s="77"/>
      <c r="G8" s="77"/>
      <c r="H8" s="77"/>
      <c r="I8" s="77"/>
      <c r="J8" s="77"/>
      <c r="K8" s="77"/>
      <c r="L8" s="77"/>
      <c r="M8" s="77"/>
      <c r="N8" s="77"/>
      <c r="O8" s="74"/>
    </row>
    <row r="9" spans="2:19">
      <c r="B9" s="156" t="s">
        <v>232</v>
      </c>
      <c r="C9" s="61" t="s">
        <v>238</v>
      </c>
      <c r="D9" s="77"/>
      <c r="E9" s="77"/>
      <c r="F9" s="77"/>
      <c r="G9" s="77"/>
      <c r="H9" s="77"/>
      <c r="I9" s="77"/>
      <c r="J9" s="77"/>
      <c r="K9" s="77"/>
      <c r="L9" s="77"/>
      <c r="M9" s="77"/>
      <c r="N9" s="77"/>
      <c r="O9" s="74"/>
    </row>
    <row r="10" spans="2:19">
      <c r="B10" s="133"/>
      <c r="C10" s="77"/>
      <c r="D10" s="77"/>
      <c r="E10" s="77"/>
      <c r="F10" s="77"/>
      <c r="G10" s="77"/>
      <c r="H10" s="77"/>
      <c r="I10" s="77"/>
      <c r="J10" s="77"/>
      <c r="K10" s="77"/>
      <c r="L10" s="77"/>
      <c r="M10" s="77"/>
      <c r="N10" s="77"/>
      <c r="O10" s="74"/>
    </row>
    <row r="11" spans="2:19">
      <c r="B11" s="155" t="s">
        <v>93</v>
      </c>
      <c r="C11" s="77"/>
      <c r="D11" s="77"/>
      <c r="E11" s="77"/>
      <c r="F11" s="77"/>
      <c r="G11" s="77"/>
      <c r="H11" s="77"/>
      <c r="I11" s="77"/>
      <c r="J11" s="77"/>
      <c r="K11" s="77"/>
      <c r="L11" s="77"/>
      <c r="M11" s="77"/>
      <c r="N11" s="77"/>
      <c r="O11" s="74"/>
    </row>
    <row r="12" spans="2:19">
      <c r="B12" s="133" t="s">
        <v>273</v>
      </c>
      <c r="C12" s="77"/>
      <c r="D12" s="77"/>
      <c r="E12" s="77"/>
      <c r="F12" s="77"/>
      <c r="G12" s="77"/>
      <c r="H12" s="77"/>
      <c r="I12" s="77"/>
      <c r="J12" s="77"/>
      <c r="K12" s="77"/>
      <c r="L12" s="77"/>
      <c r="M12" s="77"/>
      <c r="N12" s="77"/>
      <c r="O12" s="74"/>
    </row>
    <row r="13" spans="2:19">
      <c r="B13" s="133" t="s">
        <v>272</v>
      </c>
      <c r="C13" s="77"/>
      <c r="D13" s="77"/>
      <c r="E13" s="77"/>
      <c r="F13" s="77"/>
      <c r="G13" s="77"/>
      <c r="H13" s="77"/>
      <c r="I13" s="77"/>
      <c r="J13" s="77"/>
      <c r="K13" s="77"/>
      <c r="L13" s="77"/>
      <c r="M13" s="77"/>
      <c r="N13" s="77"/>
      <c r="O13" s="74"/>
    </row>
    <row r="14" spans="2:19">
      <c r="B14" s="155" t="s">
        <v>94</v>
      </c>
      <c r="C14" s="77"/>
      <c r="D14" s="77"/>
      <c r="E14" s="77"/>
      <c r="F14" s="77"/>
      <c r="G14" s="77"/>
      <c r="H14" s="77"/>
      <c r="I14" s="77"/>
      <c r="J14" s="77"/>
      <c r="K14" s="77"/>
      <c r="L14" s="77"/>
      <c r="M14" s="77"/>
      <c r="N14" s="77"/>
      <c r="O14" s="74"/>
    </row>
    <row r="15" spans="2:19">
      <c r="B15" s="133"/>
      <c r="C15" s="77"/>
      <c r="D15" s="77"/>
      <c r="E15" s="77"/>
      <c r="F15" s="77"/>
      <c r="G15" s="77"/>
      <c r="H15" s="77"/>
      <c r="I15" s="77"/>
      <c r="J15" s="77"/>
      <c r="K15" s="77"/>
      <c r="L15" s="77"/>
      <c r="M15" s="77"/>
      <c r="N15" s="77"/>
      <c r="O15" s="74"/>
    </row>
    <row r="16" spans="2:19">
      <c r="B16" s="128"/>
      <c r="C16" s="77"/>
      <c r="D16" s="77"/>
      <c r="E16" s="77"/>
      <c r="F16" s="77"/>
      <c r="G16" s="77"/>
      <c r="H16" s="77"/>
      <c r="I16" s="77"/>
      <c r="J16" s="77"/>
      <c r="K16" s="77"/>
      <c r="L16" s="77"/>
      <c r="M16" s="77"/>
      <c r="N16" s="77"/>
      <c r="O16" s="74"/>
    </row>
    <row r="17" spans="2:15" ht="14.4" thickBot="1">
      <c r="B17" s="73"/>
      <c r="C17" s="72"/>
      <c r="D17" s="72"/>
      <c r="E17" s="72"/>
      <c r="F17" s="72"/>
      <c r="G17" s="72"/>
      <c r="H17" s="72"/>
      <c r="I17" s="72"/>
      <c r="J17" s="72"/>
      <c r="K17" s="72"/>
      <c r="L17" s="72"/>
      <c r="M17" s="72"/>
      <c r="N17" s="72"/>
      <c r="O17" s="90"/>
    </row>
    <row r="19" spans="2:15" ht="14.4" thickBot="1">
      <c r="B19" s="154" t="s">
        <v>95</v>
      </c>
      <c r="E19" s="153"/>
      <c r="F19" s="153"/>
      <c r="G19" s="153"/>
    </row>
    <row r="20" spans="2:15">
      <c r="B20" s="88"/>
      <c r="C20" s="110"/>
      <c r="D20" s="168"/>
      <c r="E20" s="85"/>
      <c r="F20" s="85"/>
      <c r="G20" s="85"/>
      <c r="H20" s="85"/>
      <c r="I20" s="85" t="s">
        <v>96</v>
      </c>
      <c r="J20" s="83" t="s">
        <v>97</v>
      </c>
    </row>
    <row r="21" spans="2:15">
      <c r="B21" s="109"/>
      <c r="C21" s="108" t="s">
        <v>98</v>
      </c>
      <c r="D21" s="107">
        <v>2015</v>
      </c>
      <c r="E21" s="106">
        <v>2020</v>
      </c>
      <c r="F21" s="106">
        <v>2035</v>
      </c>
      <c r="G21" s="106"/>
      <c r="H21" s="106" t="s">
        <v>99</v>
      </c>
      <c r="I21" s="152"/>
      <c r="J21" s="104"/>
    </row>
    <row r="22" spans="2:15">
      <c r="B22" s="128" t="s">
        <v>100</v>
      </c>
      <c r="C22" s="118"/>
      <c r="D22" s="180"/>
      <c r="E22" s="151"/>
      <c r="F22" s="151"/>
      <c r="G22" s="151"/>
      <c r="H22" s="151"/>
      <c r="I22" s="77"/>
      <c r="J22" s="74"/>
    </row>
    <row r="23" spans="2:15">
      <c r="B23" s="145" t="s">
        <v>101</v>
      </c>
      <c r="C23" s="118" t="s">
        <v>234</v>
      </c>
      <c r="D23" s="260">
        <f>D71</f>
        <v>0.192</v>
      </c>
      <c r="E23" s="259">
        <f>E71</f>
        <v>0.20200000000000001</v>
      </c>
      <c r="F23" s="259">
        <f>F71</f>
        <v>0.222</v>
      </c>
      <c r="G23" s="259">
        <f>G71</f>
        <v>0.24199999999999999</v>
      </c>
      <c r="H23" s="147"/>
      <c r="I23" s="187"/>
      <c r="J23" s="74"/>
      <c r="K23" s="244"/>
    </row>
    <row r="24" spans="2:15">
      <c r="B24" s="145" t="s">
        <v>102</v>
      </c>
      <c r="C24" s="118" t="s">
        <v>234</v>
      </c>
      <c r="D24" s="144">
        <f>D23</f>
        <v>0.192</v>
      </c>
      <c r="E24" s="143">
        <f>E23</f>
        <v>0.20200000000000001</v>
      </c>
      <c r="F24" s="143">
        <f>F23</f>
        <v>0.222</v>
      </c>
      <c r="G24" s="143">
        <f>G23</f>
        <v>0.24199999999999999</v>
      </c>
      <c r="H24" s="147"/>
      <c r="I24" s="187"/>
      <c r="J24" s="74"/>
      <c r="K24" s="244"/>
    </row>
    <row r="25" spans="2:15">
      <c r="B25" s="145" t="s">
        <v>103</v>
      </c>
      <c r="C25" s="118" t="s">
        <v>104</v>
      </c>
      <c r="D25" s="144">
        <f>D75</f>
        <v>13.191145833333334</v>
      </c>
      <c r="E25" s="143">
        <f>E75</f>
        <v>11.970297029702971</v>
      </c>
      <c r="F25" s="143">
        <f>F75</f>
        <v>10.375675675675677</v>
      </c>
      <c r="G25" s="143">
        <f>G75</f>
        <v>9.3421487603305771</v>
      </c>
      <c r="H25" s="142"/>
      <c r="I25" s="187"/>
      <c r="J25" s="74"/>
      <c r="K25" s="244"/>
    </row>
    <row r="26" spans="2:15">
      <c r="B26" s="145" t="s">
        <v>105</v>
      </c>
      <c r="C26" s="118" t="s">
        <v>104</v>
      </c>
      <c r="D26" s="144"/>
      <c r="E26" s="143"/>
      <c r="F26" s="143"/>
      <c r="G26" s="143"/>
      <c r="H26" s="142"/>
      <c r="I26" s="187"/>
      <c r="J26" s="74"/>
      <c r="K26" s="244"/>
    </row>
    <row r="27" spans="2:15">
      <c r="B27" s="133" t="s">
        <v>106</v>
      </c>
      <c r="C27" s="118" t="s">
        <v>107</v>
      </c>
      <c r="D27" s="140">
        <v>6</v>
      </c>
      <c r="E27" s="125">
        <v>6</v>
      </c>
      <c r="F27" s="125">
        <v>6</v>
      </c>
      <c r="G27" s="125">
        <v>6</v>
      </c>
      <c r="H27" s="125"/>
      <c r="I27" s="99" t="s">
        <v>271</v>
      </c>
      <c r="J27" s="74"/>
      <c r="K27" s="244"/>
    </row>
    <row r="28" spans="2:15">
      <c r="B28" s="133" t="s">
        <v>108</v>
      </c>
      <c r="C28" s="118" t="s">
        <v>109</v>
      </c>
      <c r="D28" s="177">
        <f>+D67*D68/1000</f>
        <v>126.63500000000002</v>
      </c>
      <c r="E28" s="139">
        <f>+E67*E68/1000</f>
        <v>120.90000000000002</v>
      </c>
      <c r="F28" s="139">
        <f>+F67*F68/1000</f>
        <v>115.17000000000002</v>
      </c>
      <c r="G28" s="139">
        <f>+G67*G68/1000</f>
        <v>113.03999999999999</v>
      </c>
      <c r="H28" s="138"/>
      <c r="I28" s="187"/>
      <c r="J28" s="74"/>
      <c r="K28" s="244"/>
    </row>
    <row r="29" spans="2:15">
      <c r="B29" s="78"/>
      <c r="C29" s="137"/>
      <c r="D29" s="134"/>
      <c r="E29" s="98"/>
      <c r="F29" s="98"/>
      <c r="G29" s="98"/>
      <c r="H29" s="98"/>
      <c r="I29" s="77"/>
      <c r="J29" s="74"/>
      <c r="K29" s="244"/>
    </row>
    <row r="30" spans="2:15">
      <c r="B30" s="128" t="s">
        <v>110</v>
      </c>
      <c r="C30" s="118"/>
      <c r="D30" s="134"/>
      <c r="E30" s="98"/>
      <c r="F30" s="98"/>
      <c r="G30" s="98"/>
      <c r="H30" s="98"/>
      <c r="I30" s="77"/>
      <c r="J30" s="74"/>
      <c r="K30" s="244"/>
    </row>
    <row r="31" spans="2:15">
      <c r="B31" s="133" t="s">
        <v>111</v>
      </c>
      <c r="C31" s="118" t="s">
        <v>15</v>
      </c>
      <c r="D31" s="136">
        <v>779893.90271614201</v>
      </c>
      <c r="E31" s="136">
        <v>779893.90271614201</v>
      </c>
      <c r="F31" s="136">
        <v>779893.90271614201</v>
      </c>
      <c r="G31" s="136">
        <v>779893.90271614201</v>
      </c>
      <c r="H31" s="135">
        <v>2015</v>
      </c>
      <c r="I31" s="79"/>
      <c r="J31" s="74"/>
    </row>
    <row r="32" spans="2:15">
      <c r="B32" s="78" t="s">
        <v>16</v>
      </c>
      <c r="C32" s="118" t="s">
        <v>17</v>
      </c>
      <c r="D32" s="136">
        <v>2492.6013469287059</v>
      </c>
      <c r="E32" s="136">
        <v>2610.8401287701954</v>
      </c>
      <c r="F32" s="136">
        <v>2740.736055989551</v>
      </c>
      <c r="G32" s="136">
        <v>2792.3794370870196</v>
      </c>
      <c r="H32" s="135">
        <v>2015</v>
      </c>
      <c r="I32" s="79"/>
      <c r="J32" s="74"/>
    </row>
    <row r="33" spans="2:11">
      <c r="B33" s="129" t="s">
        <v>18</v>
      </c>
      <c r="C33" s="118" t="s">
        <v>17</v>
      </c>
      <c r="D33" s="136">
        <v>1213.3511438994574</v>
      </c>
      <c r="E33" s="136">
        <v>1270.9075443152008</v>
      </c>
      <c r="F33" s="136">
        <v>1334.1384223991297</v>
      </c>
      <c r="G33" s="136">
        <v>1359.2774425664172</v>
      </c>
      <c r="H33" s="135">
        <v>2015</v>
      </c>
      <c r="I33" s="79"/>
      <c r="J33" s="74"/>
    </row>
    <row r="34" spans="2:11">
      <c r="B34" s="129" t="s">
        <v>19</v>
      </c>
      <c r="C34" s="118" t="s">
        <v>17</v>
      </c>
      <c r="D34" s="136">
        <v>1279.2502030292483</v>
      </c>
      <c r="E34" s="136">
        <v>1339.9325844549946</v>
      </c>
      <c r="F34" s="136">
        <v>1406.5976335904218</v>
      </c>
      <c r="G34" s="136">
        <v>1433.1019945206024</v>
      </c>
      <c r="H34" s="135">
        <v>2015</v>
      </c>
      <c r="I34" s="79"/>
      <c r="J34" s="74"/>
    </row>
    <row r="35" spans="2:11">
      <c r="B35" s="129"/>
      <c r="C35" s="118"/>
      <c r="D35" s="136"/>
      <c r="E35" s="136"/>
      <c r="F35" s="136"/>
      <c r="G35" s="136"/>
      <c r="H35" s="135"/>
      <c r="I35" s="79"/>
      <c r="J35" s="74"/>
    </row>
    <row r="36" spans="2:11">
      <c r="B36" s="129" t="s">
        <v>112</v>
      </c>
      <c r="C36" s="118" t="s">
        <v>17</v>
      </c>
      <c r="D36" s="136">
        <v>0</v>
      </c>
      <c r="E36" s="136">
        <v>0</v>
      </c>
      <c r="F36" s="136">
        <v>0</v>
      </c>
      <c r="G36" s="136">
        <v>0</v>
      </c>
      <c r="H36" s="135">
        <v>2015</v>
      </c>
      <c r="I36" s="79"/>
      <c r="J36" s="74"/>
    </row>
    <row r="37" spans="2:11">
      <c r="B37" s="128"/>
      <c r="C37" s="118"/>
      <c r="D37" s="134"/>
      <c r="E37" s="98"/>
      <c r="F37" s="98"/>
      <c r="G37" s="98"/>
      <c r="H37" s="98"/>
      <c r="I37" s="79"/>
      <c r="J37" s="74"/>
    </row>
    <row r="38" spans="2:11">
      <c r="B38" s="133" t="s">
        <v>111</v>
      </c>
      <c r="C38" s="118" t="s">
        <v>15</v>
      </c>
      <c r="D38" s="253">
        <v>751018.91308317415</v>
      </c>
      <c r="E38" s="253">
        <v>751018.91308317415</v>
      </c>
      <c r="F38" s="253">
        <v>751018.91308317415</v>
      </c>
      <c r="G38" s="253">
        <v>751018.91308317415</v>
      </c>
      <c r="H38" s="130">
        <v>2013</v>
      </c>
      <c r="I38" s="99" t="s">
        <v>271</v>
      </c>
      <c r="J38" s="74"/>
      <c r="K38" s="244"/>
    </row>
    <row r="39" spans="2:11">
      <c r="B39" s="78" t="s">
        <v>16</v>
      </c>
      <c r="C39" s="118" t="s">
        <v>17</v>
      </c>
      <c r="D39" s="257">
        <f>+SUM(D40:D43)</f>
        <v>2400.3146425436294</v>
      </c>
      <c r="E39" s="258">
        <f>+SUM(E40:E43)</f>
        <v>2514.1757217412114</v>
      </c>
      <c r="F39" s="258">
        <f>+SUM(F40:F43)</f>
        <v>2639.2623492099719</v>
      </c>
      <c r="G39" s="258">
        <f>+SUM(G40:G43)</f>
        <v>2688.9936726690776</v>
      </c>
      <c r="H39" s="130">
        <v>2013</v>
      </c>
      <c r="I39" s="187"/>
      <c r="J39" s="74"/>
      <c r="K39" s="244"/>
    </row>
    <row r="40" spans="2:11">
      <c r="B40" s="129" t="s">
        <v>18</v>
      </c>
      <c r="C40" s="118" t="s">
        <v>17</v>
      </c>
      <c r="D40" s="257">
        <v>1168.4277234454339</v>
      </c>
      <c r="E40" s="258">
        <v>1223.8531410960506</v>
      </c>
      <c r="F40" s="258">
        <v>1284.742943114635</v>
      </c>
      <c r="G40" s="258">
        <v>1308.9512098240671</v>
      </c>
      <c r="H40" s="130">
        <v>2013</v>
      </c>
      <c r="I40" s="187"/>
      <c r="J40" s="74"/>
      <c r="K40" s="244"/>
    </row>
    <row r="41" spans="2:11">
      <c r="B41" s="129" t="s">
        <v>19</v>
      </c>
      <c r="C41" s="118" t="s">
        <v>17</v>
      </c>
      <c r="D41" s="257">
        <f>(D68*D69)/D28</f>
        <v>1231.8869190981954</v>
      </c>
      <c r="E41" s="258">
        <f>(E68*E69)/E28</f>
        <v>1290.322580645161</v>
      </c>
      <c r="F41" s="258">
        <f>(F68*F69)/F28</f>
        <v>1354.5194060953372</v>
      </c>
      <c r="G41" s="258">
        <f>(G68*G69)/G28</f>
        <v>1380.0424628450107</v>
      </c>
      <c r="H41" s="130">
        <v>2013</v>
      </c>
      <c r="I41" s="187"/>
      <c r="J41" s="119" t="s">
        <v>155</v>
      </c>
      <c r="K41" s="244"/>
    </row>
    <row r="42" spans="2:11">
      <c r="B42" s="129"/>
      <c r="C42" s="118"/>
      <c r="D42" s="134"/>
      <c r="E42" s="98"/>
      <c r="F42" s="98"/>
      <c r="G42" s="98"/>
      <c r="H42" s="130"/>
      <c r="I42" s="187"/>
      <c r="J42" s="74"/>
      <c r="K42" s="244"/>
    </row>
    <row r="43" spans="2:11">
      <c r="B43" s="129" t="s">
        <v>112</v>
      </c>
      <c r="C43" s="118" t="s">
        <v>17</v>
      </c>
      <c r="D43" s="257">
        <v>0</v>
      </c>
      <c r="E43" s="256">
        <v>0</v>
      </c>
      <c r="F43" s="256">
        <v>0</v>
      </c>
      <c r="G43" s="256">
        <v>0</v>
      </c>
      <c r="H43" s="130">
        <v>2013</v>
      </c>
      <c r="I43" s="187"/>
      <c r="J43" s="119"/>
      <c r="K43" s="244"/>
    </row>
    <row r="44" spans="2:11">
      <c r="B44" s="129"/>
      <c r="C44" s="118"/>
      <c r="D44" s="134"/>
      <c r="E44" s="98"/>
      <c r="F44" s="98"/>
      <c r="G44" s="98"/>
      <c r="H44" s="98"/>
      <c r="I44" s="187"/>
      <c r="J44" s="74"/>
      <c r="K44" s="244"/>
    </row>
    <row r="45" spans="2:11">
      <c r="B45" s="128" t="s">
        <v>113</v>
      </c>
      <c r="C45" s="118"/>
      <c r="D45" s="134"/>
      <c r="E45" s="98"/>
      <c r="F45" s="98"/>
      <c r="G45" s="98"/>
      <c r="H45" s="127"/>
      <c r="I45" s="187"/>
      <c r="J45" s="74"/>
      <c r="K45" s="244"/>
    </row>
    <row r="46" spans="2:11">
      <c r="B46" s="123" t="s">
        <v>30</v>
      </c>
      <c r="C46" s="118"/>
      <c r="D46" s="134"/>
      <c r="E46" s="98"/>
      <c r="F46" s="98"/>
      <c r="G46" s="98"/>
      <c r="H46" s="126"/>
      <c r="I46" s="187"/>
      <c r="J46" s="74"/>
      <c r="K46" s="244"/>
    </row>
    <row r="47" spans="2:11">
      <c r="B47" s="78" t="s">
        <v>20</v>
      </c>
      <c r="C47" s="118" t="s">
        <v>233</v>
      </c>
      <c r="D47" s="255"/>
      <c r="E47" s="121"/>
      <c r="F47" s="121"/>
      <c r="G47" s="121"/>
      <c r="H47" s="126"/>
      <c r="I47" s="187"/>
      <c r="J47" s="119" t="s">
        <v>114</v>
      </c>
      <c r="K47" s="244"/>
    </row>
    <row r="48" spans="2:11">
      <c r="B48" s="78" t="s">
        <v>21</v>
      </c>
      <c r="C48" s="118" t="s">
        <v>233</v>
      </c>
      <c r="D48" s="124">
        <f t="shared" ref="D48:G52" si="0">D78/D$75</f>
        <v>5.70067229895981E-4</v>
      </c>
      <c r="E48" s="124">
        <f t="shared" si="0"/>
        <v>1.6299243669067753E-4</v>
      </c>
      <c r="F48" s="124">
        <f t="shared" si="0"/>
        <v>1.6299243669067753E-4</v>
      </c>
      <c r="G48" s="124">
        <f t="shared" si="0"/>
        <v>1.6299243669067753E-4</v>
      </c>
      <c r="H48" s="120"/>
      <c r="I48" s="187"/>
      <c r="J48" s="74"/>
      <c r="K48" s="244"/>
    </row>
    <row r="49" spans="2:11">
      <c r="B49" s="78" t="s">
        <v>22</v>
      </c>
      <c r="C49" s="118" t="s">
        <v>233</v>
      </c>
      <c r="D49" s="124">
        <f t="shared" si="0"/>
        <v>3.3862691824031411E-3</v>
      </c>
      <c r="E49" s="124">
        <f t="shared" si="0"/>
        <v>3.3862691824031407E-3</v>
      </c>
      <c r="F49" s="124">
        <f t="shared" si="0"/>
        <v>3.3862691824031407E-3</v>
      </c>
      <c r="G49" s="124">
        <f t="shared" si="0"/>
        <v>3.3862691824031402E-3</v>
      </c>
      <c r="H49" s="98"/>
      <c r="I49" s="187"/>
      <c r="J49" s="74"/>
      <c r="K49" s="244"/>
    </row>
    <row r="50" spans="2:11">
      <c r="B50" s="78" t="s">
        <v>23</v>
      </c>
      <c r="C50" s="118" t="s">
        <v>233</v>
      </c>
      <c r="D50" s="124">
        <f t="shared" si="0"/>
        <v>4.6837408023728819E-4</v>
      </c>
      <c r="E50" s="124">
        <f t="shared" si="0"/>
        <v>4.6837408023728819E-4</v>
      </c>
      <c r="F50" s="124">
        <f t="shared" si="0"/>
        <v>4.6837408023728819E-4</v>
      </c>
      <c r="G50" s="124">
        <f t="shared" si="0"/>
        <v>4.6837408023728819E-4</v>
      </c>
      <c r="H50" s="125"/>
      <c r="I50" s="187"/>
      <c r="J50" s="74"/>
      <c r="K50" s="244"/>
    </row>
    <row r="51" spans="2:11">
      <c r="B51" s="78" t="s">
        <v>115</v>
      </c>
      <c r="C51" s="118" t="s">
        <v>233</v>
      </c>
      <c r="D51" s="124">
        <f t="shared" si="0"/>
        <v>0.34889924166526276</v>
      </c>
      <c r="E51" s="124">
        <f t="shared" si="0"/>
        <v>3.6446302941253436E-2</v>
      </c>
      <c r="F51" s="124">
        <f t="shared" si="0"/>
        <v>3.6446302941253436E-2</v>
      </c>
      <c r="G51" s="124">
        <f t="shared" si="0"/>
        <v>3.6446302941253436E-2</v>
      </c>
      <c r="H51" s="98"/>
      <c r="I51" s="187"/>
      <c r="J51" s="74"/>
      <c r="K51" s="244"/>
    </row>
    <row r="52" spans="2:11">
      <c r="B52" s="78" t="s">
        <v>24</v>
      </c>
      <c r="C52" s="118" t="s">
        <v>233</v>
      </c>
      <c r="D52" s="124">
        <f t="shared" si="0"/>
        <v>3.2979813853448933E-3</v>
      </c>
      <c r="E52" s="124">
        <f t="shared" si="0"/>
        <v>3.606443341182961E-4</v>
      </c>
      <c r="F52" s="124">
        <f t="shared" si="0"/>
        <v>3.6064433411829615E-4</v>
      </c>
      <c r="G52" s="124">
        <f t="shared" si="0"/>
        <v>3.6064433411829615E-4</v>
      </c>
      <c r="H52" s="98"/>
      <c r="I52" s="187"/>
      <c r="J52" s="74"/>
      <c r="K52" s="244"/>
    </row>
    <row r="53" spans="2:11">
      <c r="B53" s="78"/>
      <c r="C53" s="118"/>
      <c r="D53" s="122"/>
      <c r="E53" s="77"/>
      <c r="F53" s="77"/>
      <c r="G53" s="77"/>
      <c r="H53" s="98"/>
      <c r="I53" s="187"/>
      <c r="J53" s="74"/>
      <c r="K53" s="244"/>
    </row>
    <row r="54" spans="2:11">
      <c r="B54" s="123" t="s">
        <v>31</v>
      </c>
      <c r="C54" s="118"/>
      <c r="D54" s="134"/>
      <c r="E54" s="98"/>
      <c r="F54" s="98"/>
      <c r="G54" s="98"/>
      <c r="H54" s="120"/>
      <c r="I54" s="187"/>
      <c r="J54" s="74"/>
      <c r="K54" s="244"/>
    </row>
    <row r="55" spans="2:11">
      <c r="B55" s="78" t="s">
        <v>20</v>
      </c>
      <c r="C55" s="118" t="s">
        <v>233</v>
      </c>
      <c r="D55" s="255"/>
      <c r="E55" s="121"/>
      <c r="F55" s="121"/>
      <c r="G55" s="121"/>
      <c r="H55" s="197"/>
      <c r="I55" s="187"/>
      <c r="J55" s="119" t="s">
        <v>114</v>
      </c>
      <c r="K55" s="244"/>
    </row>
    <row r="56" spans="2:11">
      <c r="B56" s="78" t="s">
        <v>21</v>
      </c>
      <c r="C56" s="118" t="s">
        <v>233</v>
      </c>
      <c r="D56" s="117">
        <f t="shared" ref="D56:G60" si="1">D48</f>
        <v>5.70067229895981E-4</v>
      </c>
      <c r="E56" s="117">
        <f t="shared" si="1"/>
        <v>1.6299243669067753E-4</v>
      </c>
      <c r="F56" s="117">
        <f t="shared" si="1"/>
        <v>1.6299243669067753E-4</v>
      </c>
      <c r="G56" s="117">
        <f t="shared" si="1"/>
        <v>1.6299243669067753E-4</v>
      </c>
      <c r="H56" s="197"/>
      <c r="I56" s="187"/>
      <c r="J56" s="74"/>
      <c r="K56" s="244"/>
    </row>
    <row r="57" spans="2:11">
      <c r="B57" s="78" t="s">
        <v>22</v>
      </c>
      <c r="C57" s="118" t="s">
        <v>233</v>
      </c>
      <c r="D57" s="117">
        <f t="shared" si="1"/>
        <v>3.3862691824031411E-3</v>
      </c>
      <c r="E57" s="117">
        <f t="shared" si="1"/>
        <v>3.3862691824031407E-3</v>
      </c>
      <c r="F57" s="117">
        <f t="shared" si="1"/>
        <v>3.3862691824031407E-3</v>
      </c>
      <c r="G57" s="117">
        <f t="shared" si="1"/>
        <v>3.3862691824031402E-3</v>
      </c>
      <c r="H57" s="197"/>
      <c r="I57" s="187"/>
      <c r="J57" s="74"/>
      <c r="K57" s="244"/>
    </row>
    <row r="58" spans="2:11">
      <c r="B58" s="78" t="s">
        <v>23</v>
      </c>
      <c r="C58" s="118" t="s">
        <v>233</v>
      </c>
      <c r="D58" s="117">
        <f t="shared" si="1"/>
        <v>4.6837408023728819E-4</v>
      </c>
      <c r="E58" s="117">
        <f t="shared" si="1"/>
        <v>4.6837408023728819E-4</v>
      </c>
      <c r="F58" s="117">
        <f t="shared" si="1"/>
        <v>4.6837408023728819E-4</v>
      </c>
      <c r="G58" s="117">
        <f t="shared" si="1"/>
        <v>4.6837408023728819E-4</v>
      </c>
      <c r="H58" s="197"/>
      <c r="I58" s="187"/>
      <c r="J58" s="74"/>
      <c r="K58" s="244"/>
    </row>
    <row r="59" spans="2:11">
      <c r="B59" s="78" t="s">
        <v>115</v>
      </c>
      <c r="C59" s="118" t="s">
        <v>233</v>
      </c>
      <c r="D59" s="117">
        <f t="shared" si="1"/>
        <v>0.34889924166526276</v>
      </c>
      <c r="E59" s="117">
        <f t="shared" si="1"/>
        <v>3.6446302941253436E-2</v>
      </c>
      <c r="F59" s="117">
        <f t="shared" si="1"/>
        <v>3.6446302941253436E-2</v>
      </c>
      <c r="G59" s="117">
        <f t="shared" si="1"/>
        <v>3.6446302941253436E-2</v>
      </c>
      <c r="H59" s="197"/>
      <c r="I59" s="187"/>
      <c r="J59" s="74"/>
      <c r="K59" s="244"/>
    </row>
    <row r="60" spans="2:11">
      <c r="B60" s="78" t="s">
        <v>24</v>
      </c>
      <c r="C60" s="118" t="s">
        <v>233</v>
      </c>
      <c r="D60" s="117">
        <f t="shared" si="1"/>
        <v>3.2979813853448933E-3</v>
      </c>
      <c r="E60" s="117">
        <f t="shared" si="1"/>
        <v>3.606443341182961E-4</v>
      </c>
      <c r="F60" s="117">
        <f t="shared" si="1"/>
        <v>3.6064433411829615E-4</v>
      </c>
      <c r="G60" s="117">
        <f t="shared" si="1"/>
        <v>3.6064433411829615E-4</v>
      </c>
      <c r="H60" s="135"/>
      <c r="I60" s="187"/>
      <c r="J60" s="74"/>
      <c r="K60" s="244"/>
    </row>
    <row r="61" spans="2:11" ht="14.4" thickBot="1">
      <c r="B61" s="115"/>
      <c r="C61" s="114"/>
      <c r="D61" s="113"/>
      <c r="E61" s="72"/>
      <c r="F61" s="72"/>
      <c r="G61" s="72"/>
      <c r="H61" s="72"/>
      <c r="I61" s="193"/>
      <c r="J61" s="90"/>
      <c r="K61" s="244"/>
    </row>
    <row r="62" spans="2:11">
      <c r="K62" s="244"/>
    </row>
    <row r="63" spans="2:11">
      <c r="K63" s="244"/>
    </row>
    <row r="64" spans="2:11" ht="16.2" thickBot="1">
      <c r="B64" s="89" t="s">
        <v>116</v>
      </c>
      <c r="K64" s="244"/>
    </row>
    <row r="65" spans="2:11">
      <c r="B65" s="88"/>
      <c r="C65" s="110"/>
      <c r="D65" s="85"/>
      <c r="E65" s="85"/>
      <c r="F65" s="85"/>
      <c r="G65" s="85"/>
      <c r="H65" s="85"/>
      <c r="I65" s="85"/>
      <c r="J65" s="83"/>
      <c r="K65" s="244"/>
    </row>
    <row r="66" spans="2:11">
      <c r="B66" s="109"/>
      <c r="C66" s="108" t="s">
        <v>98</v>
      </c>
      <c r="D66" s="107">
        <v>2015</v>
      </c>
      <c r="E66" s="106">
        <v>2020</v>
      </c>
      <c r="F66" s="106">
        <v>2035</v>
      </c>
      <c r="G66" s="106">
        <v>2050</v>
      </c>
      <c r="H66" s="106"/>
      <c r="I66" s="152"/>
      <c r="J66" s="104"/>
      <c r="K66" s="244"/>
    </row>
    <row r="67" spans="2:11">
      <c r="B67" s="78" t="s">
        <v>25</v>
      </c>
      <c r="C67" s="95" t="s">
        <v>151</v>
      </c>
      <c r="D67" s="254">
        <f>'EU Lastbil'!D67</f>
        <v>2.5327000000000002</v>
      </c>
      <c r="E67" s="254">
        <f>'EU Lastbil'!E67</f>
        <v>2.4180000000000001</v>
      </c>
      <c r="F67" s="254">
        <f>'EU Lastbil'!F67</f>
        <v>2.3034000000000003</v>
      </c>
      <c r="G67" s="254">
        <f>'EU Lastbil'!G67</f>
        <v>2.2607999999999997</v>
      </c>
      <c r="H67" s="254"/>
      <c r="I67" s="79" t="s">
        <v>643</v>
      </c>
      <c r="J67" s="74"/>
      <c r="K67" s="244"/>
    </row>
    <row r="68" spans="2:11">
      <c r="B68" s="78" t="s">
        <v>120</v>
      </c>
      <c r="C68" s="95" t="s">
        <v>121</v>
      </c>
      <c r="D68" s="253">
        <f>'EU Lastbil'!D68</f>
        <v>50000</v>
      </c>
      <c r="E68" s="253">
        <f>'EU Lastbil'!E68</f>
        <v>50000</v>
      </c>
      <c r="F68" s="253">
        <f>'EU Lastbil'!F68</f>
        <v>50000</v>
      </c>
      <c r="G68" s="253">
        <f>'EU Lastbil'!G68</f>
        <v>50000</v>
      </c>
      <c r="H68" s="253"/>
      <c r="I68" s="99" t="s">
        <v>271</v>
      </c>
      <c r="J68" s="74"/>
      <c r="K68" s="244"/>
    </row>
    <row r="69" spans="2:11">
      <c r="B69" s="78" t="s">
        <v>123</v>
      </c>
      <c r="C69" s="202" t="s">
        <v>36</v>
      </c>
      <c r="D69" s="251">
        <f>'EU Lastbil'!D69</f>
        <v>3.12</v>
      </c>
      <c r="E69" s="251">
        <f>'EU Lastbil'!E69</f>
        <v>3.12</v>
      </c>
      <c r="F69" s="251">
        <f>'EU Lastbil'!F69</f>
        <v>3.12</v>
      </c>
      <c r="G69" s="251">
        <f>'EU Lastbil'!G69</f>
        <v>3.12</v>
      </c>
      <c r="H69" s="252"/>
      <c r="I69" s="99" t="s">
        <v>271</v>
      </c>
      <c r="J69" s="119"/>
      <c r="K69" s="244"/>
    </row>
    <row r="70" spans="2:11">
      <c r="B70" s="165" t="s">
        <v>162</v>
      </c>
      <c r="C70" s="202" t="s">
        <v>163</v>
      </c>
      <c r="D70" s="266">
        <v>1.442482725944644</v>
      </c>
      <c r="E70" s="266">
        <v>1.5896013234077748</v>
      </c>
      <c r="F70" s="266">
        <v>1.8339046626725708</v>
      </c>
      <c r="G70" s="266">
        <v>2.0367905166312812</v>
      </c>
      <c r="H70" s="250"/>
      <c r="I70" s="99"/>
      <c r="J70" s="74"/>
      <c r="K70" s="244"/>
    </row>
    <row r="71" spans="2:11">
      <c r="B71" s="165" t="s">
        <v>164</v>
      </c>
      <c r="C71" s="202" t="s">
        <v>26</v>
      </c>
      <c r="D71" s="249">
        <v>0.192</v>
      </c>
      <c r="E71" s="249">
        <v>0.20200000000000001</v>
      </c>
      <c r="F71" s="249">
        <v>0.222</v>
      </c>
      <c r="G71" s="249">
        <v>0.24199999999999999</v>
      </c>
      <c r="H71" s="249"/>
      <c r="I71" s="79" t="s">
        <v>643</v>
      </c>
      <c r="J71" s="119"/>
      <c r="K71" s="244"/>
    </row>
    <row r="72" spans="2:11" ht="14.4" thickBot="1">
      <c r="B72" s="248"/>
      <c r="C72" s="247"/>
      <c r="D72" s="246"/>
      <c r="E72" s="246"/>
      <c r="F72" s="246"/>
      <c r="G72" s="246"/>
      <c r="H72" s="246"/>
      <c r="I72" s="99"/>
      <c r="J72" s="90"/>
      <c r="K72" s="244"/>
    </row>
    <row r="73" spans="2:11">
      <c r="D73" s="192"/>
      <c r="E73" s="192"/>
      <c r="F73" s="192"/>
      <c r="G73" s="192"/>
      <c r="H73" s="192"/>
      <c r="K73" s="244"/>
    </row>
    <row r="74" spans="2:11" ht="16.2" thickBot="1">
      <c r="B74" s="89" t="s">
        <v>125</v>
      </c>
      <c r="K74" s="244"/>
    </row>
    <row r="75" spans="2:11">
      <c r="B75" s="88" t="s">
        <v>149</v>
      </c>
      <c r="C75" s="85"/>
      <c r="D75" s="182">
        <f>D67/D71</f>
        <v>13.191145833333334</v>
      </c>
      <c r="E75" s="182">
        <f>E67/E71</f>
        <v>11.970297029702971</v>
      </c>
      <c r="F75" s="182">
        <f>F67/F71</f>
        <v>10.375675675675677</v>
      </c>
      <c r="G75" s="182">
        <f>G67/G71</f>
        <v>9.3421487603305771</v>
      </c>
      <c r="H75" s="182"/>
      <c r="I75" s="79" t="s">
        <v>643</v>
      </c>
      <c r="J75" s="83"/>
      <c r="K75" s="244"/>
    </row>
    <row r="76" spans="2:11">
      <c r="B76" s="78"/>
      <c r="C76" s="77"/>
      <c r="D76" s="245"/>
      <c r="E76" s="245"/>
      <c r="F76" s="245"/>
      <c r="G76" s="245"/>
      <c r="H76" s="245"/>
      <c r="I76" s="77"/>
      <c r="J76" s="74"/>
      <c r="K76" s="244"/>
    </row>
    <row r="77" spans="2:11">
      <c r="B77" s="78" t="s">
        <v>20</v>
      </c>
      <c r="C77" s="77" t="s">
        <v>27</v>
      </c>
      <c r="D77" s="265"/>
      <c r="E77" s="265"/>
      <c r="F77" s="265"/>
      <c r="G77" s="265"/>
      <c r="H77" s="265"/>
      <c r="I77" s="77"/>
      <c r="J77" s="74"/>
      <c r="K77" s="244"/>
    </row>
    <row r="78" spans="2:11">
      <c r="B78" s="78" t="s">
        <v>21</v>
      </c>
      <c r="C78" s="77" t="s">
        <v>27</v>
      </c>
      <c r="D78" s="265">
        <f t="shared" ref="D78:G82" si="2">D88/1000*D$75</f>
        <v>7.519839964362245E-3</v>
      </c>
      <c r="E78" s="265">
        <f t="shared" si="2"/>
        <v>1.9510678807824668E-3</v>
      </c>
      <c r="F78" s="265">
        <f t="shared" si="2"/>
        <v>1.6911566606905705E-3</v>
      </c>
      <c r="G78" s="265">
        <f t="shared" si="2"/>
        <v>1.5226995903730731E-3</v>
      </c>
      <c r="H78" s="265"/>
      <c r="I78" s="77"/>
      <c r="J78" s="74"/>
      <c r="K78" s="244"/>
    </row>
    <row r="79" spans="2:11">
      <c r="B79" s="78" t="s">
        <v>22</v>
      </c>
      <c r="C79" s="77" t="s">
        <v>27</v>
      </c>
      <c r="D79" s="265">
        <f t="shared" si="2"/>
        <v>4.4668770616002267E-2</v>
      </c>
      <c r="E79" s="265">
        <f t="shared" si="2"/>
        <v>4.0534647935895021E-2</v>
      </c>
      <c r="F79" s="265">
        <f t="shared" si="2"/>
        <v>3.5134830787150427E-2</v>
      </c>
      <c r="G79" s="265">
        <f t="shared" si="2"/>
        <v>3.1635030444533134E-2</v>
      </c>
      <c r="H79" s="265"/>
      <c r="I79" s="77"/>
      <c r="J79" s="74"/>
      <c r="K79" s="244"/>
    </row>
    <row r="80" spans="2:11">
      <c r="B80" s="78" t="s">
        <v>23</v>
      </c>
      <c r="C80" s="77" t="s">
        <v>27</v>
      </c>
      <c r="D80" s="265">
        <f t="shared" si="2"/>
        <v>6.1783907969634368E-3</v>
      </c>
      <c r="E80" s="265">
        <f t="shared" si="2"/>
        <v>5.6065768614542719E-3</v>
      </c>
      <c r="F80" s="265">
        <f t="shared" si="2"/>
        <v>4.8596975514349989E-3</v>
      </c>
      <c r="G80" s="265">
        <f t="shared" si="2"/>
        <v>4.3756203330597562E-3</v>
      </c>
      <c r="H80" s="265"/>
      <c r="I80" s="77"/>
      <c r="J80" s="74"/>
      <c r="K80" s="244"/>
    </row>
    <row r="81" spans="2:11">
      <c r="B81" s="165" t="s">
        <v>37</v>
      </c>
      <c r="C81" s="77" t="s">
        <v>27</v>
      </c>
      <c r="D81" s="265">
        <f t="shared" si="2"/>
        <v>4.602380777945891</v>
      </c>
      <c r="E81" s="265">
        <f t="shared" si="2"/>
        <v>0.43627307184134068</v>
      </c>
      <c r="F81" s="265">
        <f t="shared" si="2"/>
        <v>0.37815501889587017</v>
      </c>
      <c r="G81" s="265">
        <f t="shared" si="2"/>
        <v>0.34048678384126346</v>
      </c>
      <c r="H81" s="265"/>
      <c r="I81" s="77"/>
      <c r="J81" s="119"/>
      <c r="K81" s="244"/>
    </row>
    <row r="82" spans="2:11">
      <c r="B82" s="78" t="s">
        <v>24</v>
      </c>
      <c r="C82" s="77" t="s">
        <v>27</v>
      </c>
      <c r="D82" s="265">
        <f t="shared" si="2"/>
        <v>4.3504153409703185E-2</v>
      </c>
      <c r="E82" s="265">
        <f t="shared" si="2"/>
        <v>4.317019801475446E-3</v>
      </c>
      <c r="F82" s="265">
        <f t="shared" si="2"/>
        <v>3.7419286450814568E-3</v>
      </c>
      <c r="G82" s="265">
        <f t="shared" si="2"/>
        <v>3.3691930189034868E-3</v>
      </c>
      <c r="H82" s="265"/>
      <c r="I82" s="77"/>
      <c r="J82" s="119"/>
    </row>
    <row r="83" spans="2:11" ht="14.4" thickBot="1">
      <c r="B83" s="73"/>
      <c r="C83" s="72"/>
      <c r="D83" s="242"/>
      <c r="E83" s="242"/>
      <c r="F83" s="242"/>
      <c r="G83" s="242"/>
      <c r="H83" s="242"/>
      <c r="I83" s="72"/>
      <c r="J83" s="90"/>
    </row>
    <row r="85" spans="2:11" ht="14.4" thickBot="1">
      <c r="B85" s="154" t="s">
        <v>171</v>
      </c>
    </row>
    <row r="86" spans="2:11">
      <c r="B86" s="88"/>
      <c r="C86" s="85"/>
      <c r="D86" s="241">
        <v>2015</v>
      </c>
      <c r="E86" s="241">
        <v>2020</v>
      </c>
      <c r="F86" s="241">
        <v>2035</v>
      </c>
      <c r="G86" s="241">
        <v>2050</v>
      </c>
      <c r="H86" s="264"/>
    </row>
    <row r="87" spans="2:11">
      <c r="B87" s="240" t="s">
        <v>20</v>
      </c>
      <c r="C87" s="135" t="s">
        <v>172</v>
      </c>
      <c r="D87" s="238"/>
      <c r="E87" s="238"/>
      <c r="F87" s="238"/>
      <c r="G87" s="238"/>
      <c r="H87" s="262"/>
    </row>
    <row r="88" spans="2:11">
      <c r="B88" s="240" t="s">
        <v>21</v>
      </c>
      <c r="C88" s="77" t="s">
        <v>172</v>
      </c>
      <c r="D88" s="239">
        <f>'EU Lastbil'!D88</f>
        <v>0.57006722989598102</v>
      </c>
      <c r="E88" s="239">
        <f>'EU Lastbil'!E88</f>
        <v>0.16299243669067753</v>
      </c>
      <c r="F88" s="239">
        <f>'EU Lastbil'!F88</f>
        <v>0.16299243669067753</v>
      </c>
      <c r="G88" s="239">
        <f>'EU Lastbil'!G88</f>
        <v>0.16299243669067753</v>
      </c>
      <c r="H88" s="263"/>
    </row>
    <row r="89" spans="2:11">
      <c r="B89" s="240" t="s">
        <v>22</v>
      </c>
      <c r="C89" s="77" t="s">
        <v>172</v>
      </c>
      <c r="D89" s="239">
        <f>'EU Lastbil'!D89</f>
        <v>3.3862691824031406</v>
      </c>
      <c r="E89" s="239">
        <f>'EU Lastbil'!E89</f>
        <v>3.3862691824031406</v>
      </c>
      <c r="F89" s="239">
        <f>'EU Lastbil'!F89</f>
        <v>3.3862691824031406</v>
      </c>
      <c r="G89" s="239">
        <f>'EU Lastbil'!G89</f>
        <v>3.3862691824031406</v>
      </c>
      <c r="H89" s="263"/>
    </row>
    <row r="90" spans="2:11">
      <c r="B90" s="240" t="s">
        <v>23</v>
      </c>
      <c r="C90" s="77" t="s">
        <v>172</v>
      </c>
      <c r="D90" s="239">
        <f>'EU Lastbil'!D90</f>
        <v>0.46837408023728822</v>
      </c>
      <c r="E90" s="239">
        <f>'EU Lastbil'!E90</f>
        <v>0.46837408023728822</v>
      </c>
      <c r="F90" s="239">
        <f>'EU Lastbil'!F90</f>
        <v>0.46837408023728822</v>
      </c>
      <c r="G90" s="239">
        <f>'EU Lastbil'!G90</f>
        <v>0.46837408023728822</v>
      </c>
      <c r="H90" s="263"/>
    </row>
    <row r="91" spans="2:11">
      <c r="B91" s="133" t="s">
        <v>37</v>
      </c>
      <c r="C91" s="77" t="s">
        <v>172</v>
      </c>
      <c r="D91" s="238">
        <f>'EU Lastbil'!D91</f>
        <v>348.89924166526276</v>
      </c>
      <c r="E91" s="238">
        <f>'EU Lastbil'!E91</f>
        <v>36.446302941253435</v>
      </c>
      <c r="F91" s="238">
        <f>'EU Lastbil'!F91</f>
        <v>36.446302941253435</v>
      </c>
      <c r="G91" s="238">
        <f>'EU Lastbil'!G91</f>
        <v>36.446302941253435</v>
      </c>
      <c r="H91" s="262"/>
    </row>
    <row r="92" spans="2:11" ht="14.4" thickBot="1">
      <c r="B92" s="237" t="s">
        <v>24</v>
      </c>
      <c r="C92" s="72" t="s">
        <v>172</v>
      </c>
      <c r="D92" s="236">
        <f>'EU Lastbil'!D92</f>
        <v>3.2979813853448934</v>
      </c>
      <c r="E92" s="236">
        <f>'EU Lastbil'!E92</f>
        <v>0.36064433411829616</v>
      </c>
      <c r="F92" s="236">
        <f>'EU Lastbil'!F92</f>
        <v>0.36064433411829616</v>
      </c>
      <c r="G92" s="236">
        <f>'EU Lastbil'!G92</f>
        <v>0.36064433411829616</v>
      </c>
      <c r="H92" s="261"/>
    </row>
    <row r="95" spans="2:11">
      <c r="H95" s="68"/>
    </row>
    <row r="96" spans="2:11">
      <c r="H96" s="68"/>
    </row>
    <row r="97" spans="8:8">
      <c r="H97" s="68"/>
    </row>
    <row r="98" spans="8:8">
      <c r="H98" s="68"/>
    </row>
    <row r="99" spans="8:8">
      <c r="H99" s="6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'C:\Users\B003920\Desktop\[Kopi af alternativ_drivmiddelmodel_3.0_2.xlsm]Sheet1'!#REF!</xm:f>
          </x14:formula1>
          <xm:sqref>C9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rgb="FF002060"/>
  </sheetPr>
  <dimension ref="A1:U121"/>
  <sheetViews>
    <sheetView topLeftCell="A7" zoomScale="80" zoomScaleNormal="80" workbookViewId="0">
      <selection activeCell="D38" sqref="D38"/>
    </sheetView>
  </sheetViews>
  <sheetFormatPr defaultColWidth="9.109375" defaultRowHeight="13.8"/>
  <cols>
    <col min="1" max="1" width="2.88671875" style="267" customWidth="1"/>
    <col min="2" max="2" width="35" style="267" customWidth="1"/>
    <col min="3" max="3" width="18" style="267" customWidth="1"/>
    <col min="4" max="7" width="15.88671875" style="267" customWidth="1"/>
    <col min="8" max="8" width="15.88671875" style="65" customWidth="1"/>
    <col min="9" max="9" width="47.33203125" style="267" customWidth="1"/>
    <col min="10" max="10" width="37.44140625" style="267" customWidth="1"/>
    <col min="11" max="21" width="9.109375" style="267"/>
    <col min="22" max="22" width="15.5546875" style="267" customWidth="1"/>
    <col min="23" max="24" width="10" style="267" customWidth="1"/>
    <col min="25" max="16384" width="9.109375" style="267"/>
  </cols>
  <sheetData>
    <row r="1" spans="1:19" s="62" customFormat="1" ht="21">
      <c r="B1" s="62" t="s">
        <v>283</v>
      </c>
      <c r="Q1" s="62">
        <v>0</v>
      </c>
      <c r="R1" s="64">
        <v>0</v>
      </c>
      <c r="S1" s="63"/>
    </row>
    <row r="2" spans="1:19">
      <c r="A2" s="65"/>
      <c r="B2" s="65"/>
      <c r="C2" s="65"/>
      <c r="D2" s="65"/>
      <c r="E2" s="65"/>
      <c r="F2" s="65"/>
      <c r="G2" s="65"/>
      <c r="I2" s="65"/>
      <c r="J2" s="65"/>
      <c r="K2" s="65"/>
      <c r="L2" s="65"/>
      <c r="M2" s="65"/>
      <c r="N2" s="65"/>
      <c r="O2" s="65"/>
      <c r="P2" s="65"/>
      <c r="Q2" s="65"/>
      <c r="R2" s="275"/>
      <c r="S2" s="275"/>
    </row>
    <row r="3" spans="1:19">
      <c r="A3" s="65"/>
      <c r="B3" s="65"/>
      <c r="C3" s="65"/>
      <c r="D3" s="65"/>
      <c r="E3" s="65"/>
      <c r="F3" s="65"/>
      <c r="G3" s="65"/>
      <c r="I3" s="65"/>
      <c r="J3" s="65"/>
      <c r="K3" s="65"/>
      <c r="L3" s="65"/>
      <c r="M3" s="65"/>
      <c r="N3" s="65"/>
      <c r="O3" s="65"/>
      <c r="P3" s="65"/>
      <c r="Q3" s="65"/>
    </row>
    <row r="4" spans="1:19" ht="14.4" thickBot="1">
      <c r="A4" s="65"/>
      <c r="B4" s="154" t="s">
        <v>91</v>
      </c>
      <c r="C4" s="65"/>
      <c r="D4" s="65"/>
      <c r="E4" s="65"/>
      <c r="F4" s="65"/>
      <c r="G4" s="65"/>
      <c r="I4" s="65"/>
      <c r="J4" s="65"/>
      <c r="K4" s="65"/>
      <c r="L4" s="65"/>
      <c r="M4" s="65"/>
      <c r="N4" s="65"/>
      <c r="O4" s="65"/>
      <c r="P4" s="65"/>
      <c r="Q4" s="65"/>
      <c r="R4" s="65"/>
    </row>
    <row r="5" spans="1:19">
      <c r="A5" s="65"/>
      <c r="B5" s="157" t="s">
        <v>92</v>
      </c>
      <c r="C5" s="85"/>
      <c r="D5" s="85"/>
      <c r="E5" s="85"/>
      <c r="F5" s="85"/>
      <c r="G5" s="85"/>
      <c r="H5" s="85"/>
      <c r="I5" s="85"/>
      <c r="J5" s="85"/>
      <c r="K5" s="85"/>
      <c r="L5" s="85"/>
      <c r="M5" s="85"/>
      <c r="N5" s="85"/>
      <c r="O5" s="83"/>
      <c r="P5" s="65"/>
      <c r="Q5" s="65"/>
      <c r="R5" s="65"/>
    </row>
    <row r="6" spans="1:19">
      <c r="A6" s="65"/>
      <c r="B6" s="133" t="s">
        <v>282</v>
      </c>
      <c r="C6" s="77"/>
      <c r="D6" s="77"/>
      <c r="E6" s="77"/>
      <c r="F6" s="77"/>
      <c r="G6" s="77"/>
      <c r="H6" s="77"/>
      <c r="I6" s="77"/>
      <c r="J6" s="77"/>
      <c r="K6" s="77"/>
      <c r="L6" s="77"/>
      <c r="M6" s="77"/>
      <c r="N6" s="77"/>
      <c r="O6" s="74"/>
      <c r="P6" s="65"/>
      <c r="Q6" s="65"/>
      <c r="R6" s="65"/>
    </row>
    <row r="7" spans="1:19">
      <c r="A7" s="65"/>
      <c r="B7" s="133" t="s">
        <v>281</v>
      </c>
      <c r="C7" s="77"/>
      <c r="D7" s="77"/>
      <c r="E7" s="77"/>
      <c r="F7" s="77"/>
      <c r="G7" s="77"/>
      <c r="H7" s="77"/>
      <c r="I7" s="77"/>
      <c r="J7" s="77"/>
      <c r="K7" s="77"/>
      <c r="L7" s="77"/>
      <c r="M7" s="77"/>
      <c r="N7" s="77"/>
      <c r="O7" s="74"/>
      <c r="P7" s="65"/>
      <c r="Q7" s="65"/>
      <c r="R7" s="65"/>
    </row>
    <row r="8" spans="1:19">
      <c r="A8" s="65"/>
      <c r="B8" s="133" t="s">
        <v>280</v>
      </c>
      <c r="C8" s="77"/>
      <c r="D8" s="77"/>
      <c r="E8" s="77"/>
      <c r="F8" s="77"/>
      <c r="G8" s="77"/>
      <c r="H8" s="77"/>
      <c r="I8" s="77"/>
      <c r="J8" s="77"/>
      <c r="K8" s="77"/>
      <c r="L8" s="77"/>
      <c r="M8" s="77"/>
      <c r="N8" s="77"/>
      <c r="O8" s="74"/>
      <c r="P8" s="65"/>
      <c r="Q8" s="65"/>
      <c r="R8" s="65"/>
    </row>
    <row r="9" spans="1:19">
      <c r="A9" s="65"/>
      <c r="B9" s="156" t="s">
        <v>232</v>
      </c>
      <c r="C9" s="61" t="s">
        <v>231</v>
      </c>
      <c r="D9" s="77"/>
      <c r="E9" s="77"/>
      <c r="F9" s="77"/>
      <c r="G9" s="77"/>
      <c r="H9" s="77"/>
      <c r="I9" s="77"/>
      <c r="J9" s="77"/>
      <c r="K9" s="77"/>
      <c r="L9" s="77"/>
      <c r="M9" s="77"/>
      <c r="N9" s="77"/>
      <c r="O9" s="74"/>
      <c r="P9" s="65"/>
      <c r="Q9" s="65"/>
      <c r="R9" s="65"/>
    </row>
    <row r="10" spans="1:19">
      <c r="A10" s="65"/>
      <c r="B10" s="133"/>
      <c r="C10" s="77"/>
      <c r="D10" s="77"/>
      <c r="E10" s="77"/>
      <c r="F10" s="77"/>
      <c r="G10" s="77"/>
      <c r="H10" s="77"/>
      <c r="I10" s="77"/>
      <c r="J10" s="77"/>
      <c r="K10" s="77"/>
      <c r="L10" s="77"/>
      <c r="M10" s="77"/>
      <c r="N10" s="77"/>
      <c r="O10" s="74"/>
      <c r="P10" s="65"/>
      <c r="Q10" s="65"/>
      <c r="R10" s="65"/>
    </row>
    <row r="11" spans="1:19">
      <c r="A11" s="65"/>
      <c r="B11" s="155" t="s">
        <v>93</v>
      </c>
      <c r="C11" s="77"/>
      <c r="D11" s="77"/>
      <c r="E11" s="77"/>
      <c r="F11" s="77"/>
      <c r="G11" s="77"/>
      <c r="H11" s="77"/>
      <c r="I11" s="77"/>
      <c r="J11" s="77"/>
      <c r="K11" s="77"/>
      <c r="L11" s="77"/>
      <c r="M11" s="77"/>
      <c r="N11" s="77"/>
      <c r="O11" s="74"/>
      <c r="P11" s="65"/>
      <c r="Q11" s="65"/>
      <c r="R11" s="65"/>
    </row>
    <row r="12" spans="1:19">
      <c r="A12" s="65"/>
      <c r="B12" s="133" t="s">
        <v>279</v>
      </c>
      <c r="C12" s="77"/>
      <c r="D12" s="77"/>
      <c r="E12" s="77"/>
      <c r="F12" s="77"/>
      <c r="G12" s="77"/>
      <c r="H12" s="77"/>
      <c r="I12" s="77"/>
      <c r="J12" s="77"/>
      <c r="K12" s="77"/>
      <c r="L12" s="77"/>
      <c r="M12" s="77"/>
      <c r="N12" s="77"/>
      <c r="O12" s="74"/>
      <c r="P12" s="65"/>
      <c r="Q12" s="65"/>
      <c r="R12" s="65"/>
    </row>
    <row r="13" spans="1:19">
      <c r="A13" s="65"/>
      <c r="B13" s="133" t="s">
        <v>278</v>
      </c>
      <c r="C13" s="77"/>
      <c r="D13" s="77"/>
      <c r="E13" s="77"/>
      <c r="F13" s="77"/>
      <c r="G13" s="77"/>
      <c r="H13" s="77"/>
      <c r="I13" s="77"/>
      <c r="J13" s="77"/>
      <c r="K13" s="77"/>
      <c r="L13" s="77"/>
      <c r="M13" s="77"/>
      <c r="N13" s="77"/>
      <c r="O13" s="74"/>
      <c r="P13" s="65"/>
      <c r="Q13" s="65"/>
      <c r="R13" s="65"/>
    </row>
    <row r="14" spans="1:19">
      <c r="A14" s="65"/>
      <c r="B14" s="155" t="s">
        <v>94</v>
      </c>
      <c r="C14" s="77"/>
      <c r="D14" s="77"/>
      <c r="E14" s="77"/>
      <c r="F14" s="77"/>
      <c r="G14" s="77"/>
      <c r="H14" s="77"/>
      <c r="I14" s="77"/>
      <c r="J14" s="77"/>
      <c r="K14" s="77"/>
      <c r="L14" s="77"/>
      <c r="M14" s="77"/>
      <c r="N14" s="77"/>
      <c r="O14" s="74"/>
      <c r="P14" s="65"/>
      <c r="Q14" s="65"/>
      <c r="R14" s="65"/>
    </row>
    <row r="15" spans="1:19">
      <c r="A15" s="65"/>
      <c r="B15" s="133"/>
      <c r="C15" s="77"/>
      <c r="D15" s="77"/>
      <c r="E15" s="77"/>
      <c r="F15" s="77"/>
      <c r="G15" s="77"/>
      <c r="H15" s="77"/>
      <c r="I15" s="77"/>
      <c r="J15" s="77"/>
      <c r="K15" s="77"/>
      <c r="L15" s="77"/>
      <c r="M15" s="77"/>
      <c r="N15" s="77"/>
      <c r="O15" s="74"/>
      <c r="P15" s="65"/>
      <c r="Q15" s="65"/>
      <c r="R15" s="65"/>
    </row>
    <row r="16" spans="1:19">
      <c r="A16" s="65"/>
      <c r="B16" s="128"/>
      <c r="C16" s="77"/>
      <c r="D16" s="77"/>
      <c r="E16" s="77"/>
      <c r="F16" s="77"/>
      <c r="G16" s="77"/>
      <c r="H16" s="77"/>
      <c r="I16" s="77"/>
      <c r="J16" s="77"/>
      <c r="K16" s="77"/>
      <c r="L16" s="77"/>
      <c r="M16" s="77"/>
      <c r="N16" s="77"/>
      <c r="O16" s="74"/>
      <c r="P16" s="65"/>
      <c r="Q16" s="65"/>
      <c r="R16" s="65"/>
    </row>
    <row r="17" spans="1:18" ht="14.4" thickBot="1">
      <c r="A17" s="65"/>
      <c r="B17" s="73"/>
      <c r="C17" s="72"/>
      <c r="D17" s="72"/>
      <c r="E17" s="72"/>
      <c r="F17" s="72"/>
      <c r="G17" s="72"/>
      <c r="H17" s="72"/>
      <c r="I17" s="72"/>
      <c r="J17" s="72"/>
      <c r="K17" s="72"/>
      <c r="L17" s="72"/>
      <c r="M17" s="72"/>
      <c r="N17" s="72"/>
      <c r="O17" s="90"/>
      <c r="P17" s="65"/>
      <c r="Q17" s="65"/>
      <c r="R17" s="65"/>
    </row>
    <row r="18" spans="1:18">
      <c r="A18" s="65"/>
      <c r="B18" s="65"/>
      <c r="C18" s="65"/>
      <c r="D18" s="65"/>
      <c r="E18" s="65"/>
      <c r="F18" s="65"/>
      <c r="G18" s="65"/>
      <c r="I18" s="65"/>
      <c r="J18" s="65"/>
      <c r="K18" s="65"/>
      <c r="L18" s="65"/>
      <c r="M18" s="65"/>
      <c r="N18" s="65"/>
      <c r="O18" s="65"/>
      <c r="P18" s="65"/>
      <c r="Q18" s="65"/>
      <c r="R18" s="65"/>
    </row>
    <row r="19" spans="1:18" ht="14.4" thickBot="1">
      <c r="A19" s="65"/>
      <c r="B19" s="154" t="s">
        <v>95</v>
      </c>
      <c r="C19" s="65"/>
      <c r="D19" s="65"/>
      <c r="E19" s="153"/>
      <c r="F19" s="153"/>
      <c r="G19" s="153"/>
      <c r="I19" s="65"/>
      <c r="J19" s="65"/>
      <c r="K19" s="65"/>
      <c r="L19" s="65"/>
      <c r="M19" s="65"/>
      <c r="N19" s="65"/>
      <c r="O19" s="65"/>
      <c r="P19" s="65"/>
      <c r="Q19" s="65"/>
      <c r="R19" s="65"/>
    </row>
    <row r="20" spans="1:18">
      <c r="A20" s="65"/>
      <c r="B20" s="88"/>
      <c r="C20" s="110"/>
      <c r="D20" s="168"/>
      <c r="E20" s="85"/>
      <c r="F20" s="85"/>
      <c r="G20" s="85"/>
      <c r="H20" s="85"/>
      <c r="I20" s="85" t="s">
        <v>96</v>
      </c>
      <c r="J20" s="83" t="s">
        <v>97</v>
      </c>
      <c r="K20" s="65"/>
      <c r="L20" s="65"/>
      <c r="M20" s="65"/>
      <c r="N20" s="65"/>
      <c r="O20" s="65"/>
      <c r="P20" s="65"/>
      <c r="Q20" s="65"/>
      <c r="R20" s="65"/>
    </row>
    <row r="21" spans="1:18">
      <c r="A21" s="65"/>
      <c r="B21" s="109"/>
      <c r="C21" s="108" t="s">
        <v>98</v>
      </c>
      <c r="D21" s="107">
        <v>2015</v>
      </c>
      <c r="E21" s="106">
        <v>2020</v>
      </c>
      <c r="F21" s="106">
        <v>2035</v>
      </c>
      <c r="G21" s="106">
        <v>2050</v>
      </c>
      <c r="H21" s="106" t="s">
        <v>99</v>
      </c>
      <c r="I21" s="152"/>
      <c r="J21" s="104"/>
      <c r="K21" s="65"/>
      <c r="L21" s="65"/>
      <c r="M21" s="65"/>
      <c r="N21" s="65"/>
      <c r="O21" s="65"/>
      <c r="P21" s="65"/>
      <c r="Q21" s="65"/>
      <c r="R21" s="65"/>
    </row>
    <row r="22" spans="1:18">
      <c r="A22" s="65"/>
      <c r="B22" s="128" t="s">
        <v>100</v>
      </c>
      <c r="C22" s="118"/>
      <c r="D22" s="180"/>
      <c r="E22" s="151"/>
      <c r="F22" s="151"/>
      <c r="G22" s="151"/>
      <c r="H22" s="151"/>
      <c r="I22" s="77"/>
      <c r="J22" s="74"/>
      <c r="K22" s="65"/>
      <c r="L22" s="65"/>
      <c r="M22" s="65"/>
      <c r="N22" s="65"/>
      <c r="O22" s="65"/>
      <c r="P22" s="65"/>
      <c r="Q22" s="65"/>
      <c r="R22" s="65"/>
    </row>
    <row r="23" spans="1:18">
      <c r="A23" s="65"/>
      <c r="B23" s="145" t="s">
        <v>101</v>
      </c>
      <c r="C23" s="118" t="s">
        <v>132</v>
      </c>
      <c r="D23" s="274">
        <f>D71</f>
        <v>0.19</v>
      </c>
      <c r="E23" s="273">
        <f>E71</f>
        <v>0.2</v>
      </c>
      <c r="F23" s="273">
        <f>F71</f>
        <v>0.22</v>
      </c>
      <c r="G23" s="273">
        <f>G71</f>
        <v>0.24</v>
      </c>
      <c r="H23" s="147"/>
      <c r="I23" s="187"/>
      <c r="J23" s="74"/>
      <c r="K23" s="244"/>
      <c r="L23" s="65"/>
      <c r="M23" s="65"/>
      <c r="N23" s="65"/>
      <c r="O23" s="65"/>
      <c r="P23" s="65"/>
      <c r="Q23" s="65"/>
      <c r="R23" s="65"/>
    </row>
    <row r="24" spans="1:18">
      <c r="A24" s="65"/>
      <c r="B24" s="145" t="s">
        <v>102</v>
      </c>
      <c r="C24" s="118" t="s">
        <v>132</v>
      </c>
      <c r="D24" s="144">
        <f>D23</f>
        <v>0.19</v>
      </c>
      <c r="E24" s="143">
        <f>E23</f>
        <v>0.2</v>
      </c>
      <c r="F24" s="143">
        <f>F23</f>
        <v>0.22</v>
      </c>
      <c r="G24" s="143">
        <f>G23</f>
        <v>0.24</v>
      </c>
      <c r="H24" s="147"/>
      <c r="I24" s="187"/>
      <c r="J24" s="74"/>
      <c r="K24" s="244"/>
      <c r="L24" s="65"/>
      <c r="M24" s="65"/>
      <c r="N24" s="65"/>
      <c r="O24" s="65"/>
      <c r="P24" s="65"/>
      <c r="Q24" s="65"/>
      <c r="R24" s="65"/>
    </row>
    <row r="25" spans="1:18">
      <c r="A25" s="65"/>
      <c r="B25" s="145" t="s">
        <v>103</v>
      </c>
      <c r="C25" s="118" t="s">
        <v>104</v>
      </c>
      <c r="D25" s="144">
        <f>D75</f>
        <v>13.33</v>
      </c>
      <c r="E25" s="143">
        <f>E75</f>
        <v>12.09</v>
      </c>
      <c r="F25" s="143">
        <f>F75</f>
        <v>10.47</v>
      </c>
      <c r="G25" s="143">
        <f>G75</f>
        <v>9.42</v>
      </c>
      <c r="H25" s="142"/>
      <c r="I25" s="187"/>
      <c r="J25" s="74"/>
      <c r="K25" s="244"/>
      <c r="L25" s="65"/>
      <c r="M25" s="65"/>
      <c r="N25" s="65"/>
      <c r="O25" s="65"/>
      <c r="P25" s="65"/>
      <c r="Q25" s="65"/>
      <c r="R25" s="65"/>
    </row>
    <row r="26" spans="1:18">
      <c r="A26" s="65"/>
      <c r="B26" s="145" t="s">
        <v>105</v>
      </c>
      <c r="C26" s="118" t="s">
        <v>104</v>
      </c>
      <c r="D26" s="144"/>
      <c r="E26" s="143"/>
      <c r="F26" s="143"/>
      <c r="G26" s="143"/>
      <c r="H26" s="142"/>
      <c r="I26" s="187"/>
      <c r="J26" s="74"/>
      <c r="K26" s="244"/>
      <c r="L26" s="65"/>
      <c r="M26" s="65"/>
      <c r="N26" s="65"/>
      <c r="O26" s="65"/>
      <c r="P26" s="65"/>
      <c r="Q26" s="65"/>
      <c r="R26" s="65"/>
    </row>
    <row r="27" spans="1:18">
      <c r="A27" s="65"/>
      <c r="B27" s="133" t="s">
        <v>106</v>
      </c>
      <c r="C27" s="118" t="s">
        <v>107</v>
      </c>
      <c r="D27" s="140">
        <v>6</v>
      </c>
      <c r="E27" s="125">
        <v>6</v>
      </c>
      <c r="F27" s="125">
        <v>6</v>
      </c>
      <c r="G27" s="125">
        <v>6</v>
      </c>
      <c r="H27" s="125"/>
      <c r="I27" s="99" t="s">
        <v>271</v>
      </c>
      <c r="J27" s="74"/>
      <c r="K27" s="244"/>
      <c r="L27" s="65"/>
      <c r="M27" s="65"/>
      <c r="N27" s="65"/>
      <c r="O27" s="65"/>
      <c r="P27" s="65"/>
      <c r="Q27" s="65"/>
      <c r="R27" s="65"/>
    </row>
    <row r="28" spans="1:18">
      <c r="A28" s="65"/>
      <c r="B28" s="133" t="s">
        <v>108</v>
      </c>
      <c r="C28" s="118" t="s">
        <v>109</v>
      </c>
      <c r="D28" s="177">
        <f>+D67*D68/1000</f>
        <v>126.63500000000002</v>
      </c>
      <c r="E28" s="139">
        <f>+E67*E68/1000</f>
        <v>120.90000000000002</v>
      </c>
      <c r="F28" s="139">
        <f>+F67*F68/1000</f>
        <v>115.17000000000002</v>
      </c>
      <c r="G28" s="139">
        <f>+G67*G68/1000</f>
        <v>113.03999999999999</v>
      </c>
      <c r="H28" s="138"/>
      <c r="I28" s="187"/>
      <c r="J28" s="74"/>
      <c r="K28" s="244"/>
      <c r="L28" s="65"/>
      <c r="M28" s="65"/>
      <c r="N28" s="65"/>
      <c r="O28" s="65"/>
      <c r="P28" s="65"/>
      <c r="Q28" s="65"/>
      <c r="R28" s="65"/>
    </row>
    <row r="29" spans="1:18">
      <c r="A29" s="65"/>
      <c r="B29" s="78"/>
      <c r="C29" s="137"/>
      <c r="D29" s="134"/>
      <c r="E29" s="98"/>
      <c r="F29" s="98"/>
      <c r="G29" s="98"/>
      <c r="H29" s="98"/>
      <c r="I29" s="77"/>
      <c r="J29" s="74"/>
      <c r="K29" s="244"/>
      <c r="L29" s="65"/>
      <c r="M29" s="65"/>
      <c r="N29" s="65"/>
      <c r="O29" s="65"/>
      <c r="P29" s="65"/>
      <c r="Q29" s="65"/>
      <c r="R29" s="65"/>
    </row>
    <row r="30" spans="1:18">
      <c r="A30" s="65"/>
      <c r="B30" s="128" t="s">
        <v>110</v>
      </c>
      <c r="C30" s="118"/>
      <c r="D30" s="134"/>
      <c r="E30" s="98"/>
      <c r="F30" s="98"/>
      <c r="G30" s="98"/>
      <c r="H30" s="98"/>
      <c r="I30" s="77"/>
      <c r="J30" s="74"/>
      <c r="K30" s="244"/>
      <c r="L30" s="65"/>
      <c r="M30" s="65"/>
      <c r="N30" s="65"/>
      <c r="O30" s="65"/>
      <c r="P30" s="65"/>
      <c r="Q30" s="65"/>
      <c r="R30" s="65"/>
    </row>
    <row r="31" spans="1:18" s="65" customFormat="1">
      <c r="B31" s="133" t="s">
        <v>111</v>
      </c>
      <c r="C31" s="118" t="s">
        <v>15</v>
      </c>
      <c r="D31" s="136">
        <v>790278.38024566823</v>
      </c>
      <c r="E31" s="136">
        <v>790278.38024566823</v>
      </c>
      <c r="F31" s="136">
        <v>790278.38024566823</v>
      </c>
      <c r="G31" s="136">
        <v>790278.38024566823</v>
      </c>
      <c r="H31" s="135">
        <v>2015</v>
      </c>
      <c r="I31" s="79"/>
      <c r="J31" s="74"/>
    </row>
    <row r="32" spans="1:18" s="65" customFormat="1">
      <c r="B32" s="78" t="s">
        <v>16</v>
      </c>
      <c r="C32" s="118" t="s">
        <v>17</v>
      </c>
      <c r="D32" s="136">
        <v>2508.7574133441076</v>
      </c>
      <c r="E32" s="136">
        <v>2627.7625726950455</v>
      </c>
      <c r="F32" s="136">
        <v>2758.5004344779982</v>
      </c>
      <c r="G32" s="136">
        <v>2810.47854776036</v>
      </c>
      <c r="H32" s="135">
        <v>2015</v>
      </c>
      <c r="I32" s="79"/>
      <c r="J32" s="74"/>
    </row>
    <row r="33" spans="1:18" s="65" customFormat="1">
      <c r="B33" s="129" t="s">
        <v>18</v>
      </c>
      <c r="C33" s="118" t="s">
        <v>17</v>
      </c>
      <c r="D33" s="136">
        <v>1229.5072103148589</v>
      </c>
      <c r="E33" s="136">
        <v>1287.8299882400509</v>
      </c>
      <c r="F33" s="136">
        <v>1351.9028008875764</v>
      </c>
      <c r="G33" s="136">
        <v>1377.3765532397576</v>
      </c>
      <c r="H33" s="135">
        <v>2015</v>
      </c>
      <c r="I33" s="79"/>
      <c r="J33" s="74"/>
    </row>
    <row r="34" spans="1:18" s="65" customFormat="1">
      <c r="B34" s="129" t="s">
        <v>19</v>
      </c>
      <c r="C34" s="118" t="s">
        <v>17</v>
      </c>
      <c r="D34" s="136">
        <v>1279.2502030292483</v>
      </c>
      <c r="E34" s="136">
        <v>1339.9325844549946</v>
      </c>
      <c r="F34" s="136">
        <v>1406.5976335904218</v>
      </c>
      <c r="G34" s="136">
        <v>1433.1019945206024</v>
      </c>
      <c r="H34" s="135">
        <v>2015</v>
      </c>
      <c r="I34" s="79"/>
      <c r="J34" s="74"/>
    </row>
    <row r="35" spans="1:18" s="65" customFormat="1">
      <c r="B35" s="129"/>
      <c r="C35" s="118"/>
      <c r="D35" s="136"/>
      <c r="E35" s="136"/>
      <c r="F35" s="136"/>
      <c r="G35" s="136"/>
      <c r="H35" s="135"/>
      <c r="I35" s="79"/>
      <c r="J35" s="74"/>
    </row>
    <row r="36" spans="1:18" s="65" customFormat="1">
      <c r="B36" s="129" t="s">
        <v>112</v>
      </c>
      <c r="C36" s="118" t="s">
        <v>17</v>
      </c>
      <c r="D36" s="136">
        <v>0</v>
      </c>
      <c r="E36" s="136">
        <v>0</v>
      </c>
      <c r="F36" s="136">
        <v>0</v>
      </c>
      <c r="G36" s="136">
        <v>0</v>
      </c>
      <c r="H36" s="135">
        <v>2015</v>
      </c>
      <c r="I36" s="79"/>
      <c r="J36" s="74"/>
    </row>
    <row r="37" spans="1:18" s="65" customFormat="1">
      <c r="B37" s="128"/>
      <c r="C37" s="118"/>
      <c r="D37" s="134"/>
      <c r="E37" s="98"/>
      <c r="F37" s="98"/>
      <c r="G37" s="98"/>
      <c r="H37" s="98"/>
      <c r="I37" s="79"/>
      <c r="J37" s="74"/>
    </row>
    <row r="38" spans="1:18">
      <c r="A38" s="65"/>
      <c r="B38" s="133" t="s">
        <v>111</v>
      </c>
      <c r="C38" s="118" t="s">
        <v>15</v>
      </c>
      <c r="D38" s="253">
        <f>'EU Lastbil'!D38+10000</f>
        <v>761018.91308317415</v>
      </c>
      <c r="E38" s="253">
        <f>'EU Lastbil'!E38+10000</f>
        <v>761018.91308317415</v>
      </c>
      <c r="F38" s="253">
        <f>'EU Lastbil'!F38+10000</f>
        <v>761018.91308317415</v>
      </c>
      <c r="G38" s="253">
        <f>'EU Lastbil'!G38+10000</f>
        <v>761018.91308317415</v>
      </c>
      <c r="H38" s="130">
        <v>2013</v>
      </c>
      <c r="I38" s="99" t="s">
        <v>277</v>
      </c>
      <c r="J38" s="74"/>
      <c r="K38" s="244"/>
      <c r="L38" s="65"/>
      <c r="M38" s="65"/>
      <c r="N38" s="65"/>
      <c r="O38" s="65"/>
      <c r="P38" s="65"/>
      <c r="Q38" s="65"/>
      <c r="R38" s="65"/>
    </row>
    <row r="39" spans="1:18">
      <c r="A39" s="65"/>
      <c r="B39" s="78" t="s">
        <v>16</v>
      </c>
      <c r="C39" s="118" t="s">
        <v>17</v>
      </c>
      <c r="D39" s="257">
        <f>+SUM(D40:D43)</f>
        <v>2415.8725426589363</v>
      </c>
      <c r="E39" s="258">
        <f>+SUM(E40:E43)</f>
        <v>2530.4716248107061</v>
      </c>
      <c r="F39" s="258">
        <f>+SUM(F40:F43)</f>
        <v>2656.3690148442683</v>
      </c>
      <c r="G39" s="258">
        <f>+SUM(G40:G43)</f>
        <v>2706.4226772789671</v>
      </c>
      <c r="H39" s="130">
        <v>2013</v>
      </c>
      <c r="I39" s="187"/>
      <c r="J39" s="74"/>
      <c r="K39" s="244"/>
      <c r="L39" s="65"/>
      <c r="M39" s="65"/>
      <c r="N39" s="65"/>
      <c r="O39" s="65"/>
      <c r="P39" s="65"/>
      <c r="Q39" s="65"/>
      <c r="R39" s="65"/>
    </row>
    <row r="40" spans="1:18">
      <c r="A40" s="65"/>
      <c r="B40" s="129" t="s">
        <v>18</v>
      </c>
      <c r="C40" s="118" t="s">
        <v>17</v>
      </c>
      <c r="D40" s="257">
        <v>1183.9856235607406</v>
      </c>
      <c r="E40" s="258">
        <v>1240.1490441655449</v>
      </c>
      <c r="F40" s="258">
        <v>1301.8496087489311</v>
      </c>
      <c r="G40" s="258">
        <v>1326.3802144339563</v>
      </c>
      <c r="H40" s="130">
        <v>2013</v>
      </c>
      <c r="I40" s="187"/>
      <c r="J40" s="74"/>
      <c r="K40" s="244"/>
      <c r="L40" s="65"/>
      <c r="M40" s="65"/>
      <c r="N40" s="65"/>
      <c r="O40" s="65"/>
      <c r="P40" s="65"/>
      <c r="Q40" s="65"/>
      <c r="R40" s="65"/>
    </row>
    <row r="41" spans="1:18">
      <c r="A41" s="65"/>
      <c r="B41" s="129" t="s">
        <v>19</v>
      </c>
      <c r="C41" s="118" t="s">
        <v>17</v>
      </c>
      <c r="D41" s="257">
        <f>(D68*D69)/D28</f>
        <v>1231.8869190981954</v>
      </c>
      <c r="E41" s="258">
        <f>(E68*E69)/E28</f>
        <v>1290.322580645161</v>
      </c>
      <c r="F41" s="258">
        <f>(F68*F69)/F28</f>
        <v>1354.5194060953372</v>
      </c>
      <c r="G41" s="258">
        <f>(G68*G69)/G28</f>
        <v>1380.0424628450107</v>
      </c>
      <c r="H41" s="130">
        <v>2013</v>
      </c>
      <c r="I41" s="119" t="s">
        <v>155</v>
      </c>
      <c r="J41" s="119"/>
      <c r="K41" s="244"/>
      <c r="L41" s="65"/>
      <c r="M41" s="65"/>
      <c r="N41" s="65"/>
      <c r="O41" s="65"/>
      <c r="P41" s="65"/>
      <c r="Q41" s="65"/>
      <c r="R41" s="65"/>
    </row>
    <row r="42" spans="1:18">
      <c r="A42" s="65"/>
      <c r="B42" s="129"/>
      <c r="C42" s="118"/>
      <c r="D42" s="134"/>
      <c r="E42" s="98"/>
      <c r="F42" s="98"/>
      <c r="G42" s="98"/>
      <c r="H42" s="130"/>
      <c r="I42" s="187"/>
      <c r="J42" s="74"/>
      <c r="K42" s="244"/>
      <c r="L42" s="65"/>
      <c r="M42" s="65"/>
      <c r="N42" s="65"/>
      <c r="O42" s="65"/>
      <c r="P42" s="65"/>
      <c r="Q42" s="65"/>
      <c r="R42" s="65"/>
    </row>
    <row r="43" spans="1:18">
      <c r="A43" s="65"/>
      <c r="B43" s="129" t="s">
        <v>112</v>
      </c>
      <c r="C43" s="118" t="s">
        <v>17</v>
      </c>
      <c r="D43" s="257">
        <v>0</v>
      </c>
      <c r="E43" s="256">
        <v>0</v>
      </c>
      <c r="F43" s="256">
        <v>0</v>
      </c>
      <c r="G43" s="256">
        <v>0</v>
      </c>
      <c r="H43" s="130">
        <v>2013</v>
      </c>
      <c r="I43" s="187"/>
      <c r="J43" s="119"/>
      <c r="K43" s="244"/>
      <c r="L43" s="65"/>
      <c r="M43" s="65"/>
      <c r="N43" s="65"/>
      <c r="O43" s="65"/>
      <c r="P43" s="65"/>
      <c r="Q43" s="65"/>
      <c r="R43" s="65"/>
    </row>
    <row r="44" spans="1:18">
      <c r="A44" s="65"/>
      <c r="B44" s="129"/>
      <c r="C44" s="118"/>
      <c r="D44" s="134"/>
      <c r="E44" s="98"/>
      <c r="F44" s="98"/>
      <c r="G44" s="98"/>
      <c r="H44" s="98"/>
      <c r="I44" s="187"/>
      <c r="J44" s="74"/>
      <c r="K44" s="244"/>
      <c r="L44" s="65"/>
      <c r="M44" s="65"/>
      <c r="N44" s="65"/>
      <c r="O44" s="65"/>
      <c r="P44" s="65"/>
      <c r="Q44" s="65"/>
      <c r="R44" s="65"/>
    </row>
    <row r="45" spans="1:18">
      <c r="A45" s="65"/>
      <c r="B45" s="128" t="s">
        <v>113</v>
      </c>
      <c r="C45" s="118"/>
      <c r="D45" s="134"/>
      <c r="E45" s="98"/>
      <c r="F45" s="98"/>
      <c r="G45" s="98"/>
      <c r="H45" s="127"/>
      <c r="I45" s="187"/>
      <c r="J45" s="74"/>
      <c r="K45" s="244"/>
      <c r="L45" s="65"/>
      <c r="M45" s="65"/>
      <c r="N45" s="65"/>
      <c r="O45" s="65"/>
      <c r="P45" s="65"/>
      <c r="Q45" s="65"/>
      <c r="R45" s="65"/>
    </row>
    <row r="46" spans="1:18">
      <c r="A46" s="65"/>
      <c r="B46" s="123" t="s">
        <v>30</v>
      </c>
      <c r="C46" s="118"/>
      <c r="D46" s="134"/>
      <c r="E46" s="98"/>
      <c r="F46" s="98"/>
      <c r="G46" s="98"/>
      <c r="H46" s="126"/>
      <c r="I46" s="187"/>
      <c r="J46" s="74"/>
      <c r="K46" s="244"/>
      <c r="L46" s="65"/>
      <c r="M46" s="65"/>
      <c r="N46" s="65"/>
      <c r="O46" s="65"/>
      <c r="P46" s="65"/>
      <c r="Q46" s="65"/>
      <c r="R46" s="65"/>
    </row>
    <row r="47" spans="1:18">
      <c r="A47" s="65"/>
      <c r="B47" s="78" t="s">
        <v>20</v>
      </c>
      <c r="C47" s="118" t="s">
        <v>133</v>
      </c>
      <c r="D47" s="255"/>
      <c r="E47" s="121"/>
      <c r="F47" s="121"/>
      <c r="G47" s="121"/>
      <c r="H47" s="126"/>
      <c r="I47" s="187"/>
      <c r="J47" s="119" t="s">
        <v>114</v>
      </c>
      <c r="K47" s="244"/>
      <c r="L47" s="65"/>
      <c r="M47" s="65"/>
      <c r="N47" s="65"/>
      <c r="O47" s="65"/>
      <c r="P47" s="65"/>
      <c r="Q47" s="65"/>
      <c r="R47" s="65"/>
    </row>
    <row r="48" spans="1:18">
      <c r="A48" s="65"/>
      <c r="B48" s="78" t="s">
        <v>21</v>
      </c>
      <c r="C48" s="118" t="s">
        <v>133</v>
      </c>
      <c r="D48" s="124">
        <f t="shared" ref="D48:G52" si="0">D78/D$75</f>
        <v>5.70067229895981E-4</v>
      </c>
      <c r="E48" s="124">
        <f t="shared" si="0"/>
        <v>1.6299243669067753E-4</v>
      </c>
      <c r="F48" s="124">
        <f t="shared" si="0"/>
        <v>1.6299243669067753E-4</v>
      </c>
      <c r="G48" s="124">
        <f t="shared" si="0"/>
        <v>1.6299243669067753E-4</v>
      </c>
      <c r="H48" s="120"/>
      <c r="I48" s="187"/>
      <c r="J48" s="74"/>
      <c r="K48" s="244"/>
      <c r="L48" s="65"/>
      <c r="M48" s="65"/>
      <c r="N48" s="65"/>
      <c r="O48" s="65"/>
      <c r="P48" s="65"/>
      <c r="Q48" s="65"/>
      <c r="R48" s="65"/>
    </row>
    <row r="49" spans="1:18">
      <c r="A49" s="65"/>
      <c r="B49" s="78" t="s">
        <v>22</v>
      </c>
      <c r="C49" s="118" t="s">
        <v>133</v>
      </c>
      <c r="D49" s="124">
        <f t="shared" si="0"/>
        <v>3.3862691824031407E-3</v>
      </c>
      <c r="E49" s="124">
        <f t="shared" si="0"/>
        <v>3.3862691824031407E-3</v>
      </c>
      <c r="F49" s="124">
        <f t="shared" si="0"/>
        <v>3.3862691824031407E-3</v>
      </c>
      <c r="G49" s="124">
        <f t="shared" si="0"/>
        <v>3.3862691824031407E-3</v>
      </c>
      <c r="H49" s="98"/>
      <c r="I49" s="187"/>
      <c r="J49" s="74"/>
      <c r="K49" s="244"/>
      <c r="L49" s="65"/>
      <c r="M49" s="65"/>
      <c r="N49" s="65"/>
      <c r="O49" s="65"/>
      <c r="P49" s="65"/>
      <c r="Q49" s="65"/>
      <c r="R49" s="65"/>
    </row>
    <row r="50" spans="1:18">
      <c r="A50" s="65"/>
      <c r="B50" s="78" t="s">
        <v>23</v>
      </c>
      <c r="C50" s="118" t="s">
        <v>133</v>
      </c>
      <c r="D50" s="124">
        <f t="shared" si="0"/>
        <v>4.2579461839753469E-4</v>
      </c>
      <c r="E50" s="124">
        <f t="shared" si="0"/>
        <v>4.2579461839753463E-4</v>
      </c>
      <c r="F50" s="124">
        <f t="shared" si="0"/>
        <v>4.2579461839753469E-4</v>
      </c>
      <c r="G50" s="124">
        <f t="shared" si="0"/>
        <v>4.2579461839753474E-4</v>
      </c>
      <c r="H50" s="125"/>
      <c r="I50" s="187"/>
      <c r="J50" s="74"/>
      <c r="K50" s="244"/>
      <c r="L50" s="65"/>
      <c r="M50" s="65"/>
      <c r="N50" s="65"/>
      <c r="O50" s="65"/>
      <c r="P50" s="65"/>
      <c r="Q50" s="65"/>
      <c r="R50" s="65"/>
    </row>
    <row r="51" spans="1:18">
      <c r="A51" s="65"/>
      <c r="B51" s="78" t="s">
        <v>115</v>
      </c>
      <c r="C51" s="118" t="s">
        <v>133</v>
      </c>
      <c r="D51" s="124">
        <f t="shared" si="0"/>
        <v>0.41867908999831532</v>
      </c>
      <c r="E51" s="124">
        <f t="shared" si="0"/>
        <v>4.3735563529504119E-2</v>
      </c>
      <c r="F51" s="124">
        <f t="shared" si="0"/>
        <v>4.3735563529504119E-2</v>
      </c>
      <c r="G51" s="124">
        <f t="shared" si="0"/>
        <v>4.3735563529504119E-2</v>
      </c>
      <c r="H51" s="98"/>
      <c r="I51" s="187"/>
      <c r="J51" s="74"/>
      <c r="K51" s="244"/>
      <c r="L51" s="65"/>
      <c r="M51" s="65"/>
      <c r="N51" s="65"/>
      <c r="O51" s="65"/>
      <c r="P51" s="65"/>
      <c r="Q51" s="65"/>
      <c r="R51" s="65"/>
    </row>
    <row r="52" spans="1:18">
      <c r="A52" s="65"/>
      <c r="B52" s="78" t="s">
        <v>24</v>
      </c>
      <c r="C52" s="118" t="s">
        <v>133</v>
      </c>
      <c r="D52" s="124">
        <f t="shared" si="0"/>
        <v>3.2979813853448933E-3</v>
      </c>
      <c r="E52" s="124">
        <f t="shared" si="0"/>
        <v>3.6064433411829615E-4</v>
      </c>
      <c r="F52" s="124">
        <f t="shared" si="0"/>
        <v>3.6064433411829615E-4</v>
      </c>
      <c r="G52" s="124">
        <f t="shared" si="0"/>
        <v>3.6064433411829615E-4</v>
      </c>
      <c r="H52" s="98"/>
      <c r="I52" s="187"/>
      <c r="J52" s="74"/>
      <c r="K52" s="244"/>
      <c r="L52" s="65"/>
      <c r="M52" s="65"/>
      <c r="N52" s="65"/>
      <c r="O52" s="65"/>
      <c r="P52" s="65"/>
      <c r="Q52" s="65"/>
      <c r="R52" s="65"/>
    </row>
    <row r="53" spans="1:18">
      <c r="A53" s="65"/>
      <c r="B53" s="78"/>
      <c r="C53" s="118"/>
      <c r="D53" s="122"/>
      <c r="E53" s="77"/>
      <c r="F53" s="77"/>
      <c r="G53" s="77"/>
      <c r="H53" s="98"/>
      <c r="I53" s="187"/>
      <c r="J53" s="74"/>
      <c r="K53" s="244"/>
      <c r="L53" s="65"/>
      <c r="M53" s="65"/>
      <c r="N53" s="65"/>
      <c r="O53" s="65"/>
      <c r="P53" s="65"/>
      <c r="Q53" s="65"/>
      <c r="R53" s="65"/>
    </row>
    <row r="54" spans="1:18">
      <c r="A54" s="65"/>
      <c r="B54" s="123" t="s">
        <v>31</v>
      </c>
      <c r="C54" s="118"/>
      <c r="D54" s="134"/>
      <c r="E54" s="98"/>
      <c r="F54" s="98"/>
      <c r="G54" s="98"/>
      <c r="H54" s="120"/>
      <c r="I54" s="187"/>
      <c r="J54" s="74"/>
      <c r="K54" s="244"/>
      <c r="L54" s="65"/>
      <c r="M54" s="65"/>
      <c r="N54" s="65"/>
      <c r="O54" s="65"/>
      <c r="P54" s="65"/>
      <c r="Q54" s="65"/>
      <c r="R54" s="65"/>
    </row>
    <row r="55" spans="1:18">
      <c r="A55" s="65"/>
      <c r="B55" s="78" t="s">
        <v>20</v>
      </c>
      <c r="C55" s="118" t="s">
        <v>133</v>
      </c>
      <c r="D55" s="255"/>
      <c r="E55" s="121"/>
      <c r="F55" s="121"/>
      <c r="G55" s="121"/>
      <c r="H55" s="197"/>
      <c r="I55" s="187"/>
      <c r="J55" s="119" t="s">
        <v>114</v>
      </c>
      <c r="K55" s="244"/>
      <c r="L55" s="65"/>
      <c r="M55" s="65"/>
      <c r="N55" s="65"/>
      <c r="O55" s="65"/>
      <c r="P55" s="65"/>
      <c r="Q55" s="65"/>
      <c r="R55" s="65"/>
    </row>
    <row r="56" spans="1:18">
      <c r="A56" s="65"/>
      <c r="B56" s="78" t="s">
        <v>21</v>
      </c>
      <c r="C56" s="118" t="s">
        <v>133</v>
      </c>
      <c r="D56" s="117">
        <f t="shared" ref="D56:G60" si="1">D48</f>
        <v>5.70067229895981E-4</v>
      </c>
      <c r="E56" s="117">
        <f t="shared" si="1"/>
        <v>1.6299243669067753E-4</v>
      </c>
      <c r="F56" s="117">
        <f t="shared" si="1"/>
        <v>1.6299243669067753E-4</v>
      </c>
      <c r="G56" s="117">
        <f t="shared" si="1"/>
        <v>1.6299243669067753E-4</v>
      </c>
      <c r="H56" s="197"/>
      <c r="I56" s="187"/>
      <c r="J56" s="74"/>
      <c r="K56" s="244"/>
      <c r="L56" s="65"/>
      <c r="M56" s="65"/>
      <c r="N56" s="65"/>
      <c r="O56" s="65"/>
      <c r="P56" s="65"/>
      <c r="Q56" s="65"/>
      <c r="R56" s="65"/>
    </row>
    <row r="57" spans="1:18">
      <c r="A57" s="65"/>
      <c r="B57" s="78" t="s">
        <v>22</v>
      </c>
      <c r="C57" s="118" t="s">
        <v>133</v>
      </c>
      <c r="D57" s="117">
        <f t="shared" si="1"/>
        <v>3.3862691824031407E-3</v>
      </c>
      <c r="E57" s="117">
        <f t="shared" si="1"/>
        <v>3.3862691824031407E-3</v>
      </c>
      <c r="F57" s="117">
        <f t="shared" si="1"/>
        <v>3.3862691824031407E-3</v>
      </c>
      <c r="G57" s="117">
        <f t="shared" si="1"/>
        <v>3.3862691824031407E-3</v>
      </c>
      <c r="H57" s="197"/>
      <c r="I57" s="187"/>
      <c r="J57" s="74"/>
      <c r="K57" s="244"/>
      <c r="L57" s="65"/>
      <c r="M57" s="65"/>
      <c r="N57" s="65"/>
      <c r="O57" s="65"/>
      <c r="P57" s="65"/>
      <c r="Q57" s="65"/>
      <c r="R57" s="65"/>
    </row>
    <row r="58" spans="1:18">
      <c r="A58" s="65"/>
      <c r="B58" s="78" t="s">
        <v>23</v>
      </c>
      <c r="C58" s="118" t="s">
        <v>133</v>
      </c>
      <c r="D58" s="117">
        <f t="shared" si="1"/>
        <v>4.2579461839753469E-4</v>
      </c>
      <c r="E58" s="117">
        <f t="shared" si="1"/>
        <v>4.2579461839753463E-4</v>
      </c>
      <c r="F58" s="117">
        <f t="shared" si="1"/>
        <v>4.2579461839753469E-4</v>
      </c>
      <c r="G58" s="117">
        <f t="shared" si="1"/>
        <v>4.2579461839753474E-4</v>
      </c>
      <c r="H58" s="197"/>
      <c r="I58" s="187"/>
      <c r="J58" s="74"/>
      <c r="K58" s="244"/>
      <c r="L58" s="65"/>
      <c r="M58" s="65"/>
      <c r="N58" s="65"/>
      <c r="O58" s="65"/>
      <c r="P58" s="65"/>
      <c r="Q58" s="65"/>
      <c r="R58" s="65"/>
    </row>
    <row r="59" spans="1:18">
      <c r="A59" s="65"/>
      <c r="B59" s="78" t="s">
        <v>115</v>
      </c>
      <c r="C59" s="118" t="s">
        <v>133</v>
      </c>
      <c r="D59" s="117">
        <f t="shared" si="1"/>
        <v>0.41867908999831532</v>
      </c>
      <c r="E59" s="117">
        <f t="shared" si="1"/>
        <v>4.3735563529504119E-2</v>
      </c>
      <c r="F59" s="117">
        <f t="shared" si="1"/>
        <v>4.3735563529504119E-2</v>
      </c>
      <c r="G59" s="117">
        <f t="shared" si="1"/>
        <v>4.3735563529504119E-2</v>
      </c>
      <c r="H59" s="197"/>
      <c r="I59" s="187"/>
      <c r="J59" s="74"/>
      <c r="K59" s="244"/>
      <c r="L59" s="65"/>
      <c r="M59" s="65"/>
      <c r="N59" s="65"/>
      <c r="O59" s="65"/>
      <c r="P59" s="65"/>
      <c r="Q59" s="65"/>
      <c r="R59" s="65"/>
    </row>
    <row r="60" spans="1:18">
      <c r="A60" s="65"/>
      <c r="B60" s="78" t="s">
        <v>24</v>
      </c>
      <c r="C60" s="118" t="s">
        <v>133</v>
      </c>
      <c r="D60" s="117">
        <f t="shared" si="1"/>
        <v>3.2979813853448933E-3</v>
      </c>
      <c r="E60" s="117">
        <f t="shared" si="1"/>
        <v>3.6064433411829615E-4</v>
      </c>
      <c r="F60" s="117">
        <f t="shared" si="1"/>
        <v>3.6064433411829615E-4</v>
      </c>
      <c r="G60" s="117">
        <f t="shared" si="1"/>
        <v>3.6064433411829615E-4</v>
      </c>
      <c r="H60" s="135"/>
      <c r="I60" s="187"/>
      <c r="J60" s="74"/>
      <c r="K60" s="244"/>
      <c r="L60" s="65"/>
      <c r="M60" s="65"/>
      <c r="N60" s="65"/>
      <c r="O60" s="65"/>
      <c r="P60" s="65"/>
      <c r="Q60" s="65"/>
      <c r="R60" s="65"/>
    </row>
    <row r="61" spans="1:18" ht="14.4" thickBot="1">
      <c r="A61" s="65"/>
      <c r="B61" s="115"/>
      <c r="C61" s="114"/>
      <c r="D61" s="113"/>
      <c r="E61" s="72"/>
      <c r="F61" s="72"/>
      <c r="G61" s="72"/>
      <c r="H61" s="72"/>
      <c r="I61" s="193"/>
      <c r="J61" s="90"/>
      <c r="K61" s="244"/>
      <c r="L61" s="65"/>
      <c r="M61" s="65"/>
      <c r="N61" s="65"/>
      <c r="O61" s="65"/>
      <c r="P61" s="65"/>
      <c r="Q61" s="65"/>
      <c r="R61" s="65"/>
    </row>
    <row r="62" spans="1:18">
      <c r="A62" s="65"/>
      <c r="B62" s="65"/>
      <c r="C62" s="65"/>
      <c r="D62" s="65"/>
      <c r="E62" s="65"/>
      <c r="F62" s="65"/>
      <c r="G62" s="65"/>
      <c r="I62" s="65"/>
      <c r="J62" s="65"/>
      <c r="K62" s="244"/>
      <c r="L62" s="65"/>
      <c r="M62" s="65"/>
      <c r="N62" s="65"/>
      <c r="O62" s="65"/>
      <c r="P62" s="65"/>
      <c r="Q62" s="65"/>
      <c r="R62" s="65"/>
    </row>
    <row r="63" spans="1:18">
      <c r="A63" s="65"/>
      <c r="B63" s="65"/>
      <c r="C63" s="65"/>
      <c r="D63" s="65"/>
      <c r="E63" s="65"/>
      <c r="F63" s="65"/>
      <c r="G63" s="65"/>
      <c r="I63" s="65"/>
      <c r="J63" s="65"/>
      <c r="K63" s="244"/>
      <c r="L63" s="65"/>
      <c r="M63" s="65"/>
      <c r="N63" s="65"/>
      <c r="O63" s="65"/>
      <c r="P63" s="65"/>
      <c r="Q63" s="65"/>
      <c r="R63" s="65"/>
    </row>
    <row r="64" spans="1:18" ht="16.2" thickBot="1">
      <c r="A64" s="65"/>
      <c r="B64" s="89" t="s">
        <v>116</v>
      </c>
      <c r="C64" s="65"/>
      <c r="D64" s="65"/>
      <c r="E64" s="65"/>
      <c r="F64" s="65"/>
      <c r="G64" s="65"/>
      <c r="I64" s="65"/>
      <c r="J64" s="65"/>
      <c r="K64" s="244"/>
      <c r="L64" s="65"/>
      <c r="M64" s="65"/>
      <c r="N64" s="65"/>
      <c r="O64" s="65"/>
      <c r="P64" s="65"/>
      <c r="Q64" s="65"/>
      <c r="R64" s="65"/>
    </row>
    <row r="65" spans="1:18">
      <c r="A65" s="65"/>
      <c r="B65" s="88"/>
      <c r="C65" s="110"/>
      <c r="D65" s="85"/>
      <c r="E65" s="85"/>
      <c r="F65" s="85"/>
      <c r="G65" s="85"/>
      <c r="H65" s="85"/>
      <c r="I65" s="85"/>
      <c r="J65" s="83"/>
      <c r="K65" s="244"/>
      <c r="L65" s="65"/>
      <c r="M65" s="65"/>
      <c r="N65" s="65"/>
      <c r="O65" s="65"/>
      <c r="P65" s="65"/>
      <c r="Q65" s="65"/>
      <c r="R65" s="65"/>
    </row>
    <row r="66" spans="1:18">
      <c r="A66" s="65"/>
      <c r="B66" s="109"/>
      <c r="C66" s="108" t="s">
        <v>98</v>
      </c>
      <c r="D66" s="107">
        <v>2015</v>
      </c>
      <c r="E66" s="106">
        <v>2020</v>
      </c>
      <c r="F66" s="106">
        <v>2035</v>
      </c>
      <c r="G66" s="106">
        <v>2050</v>
      </c>
      <c r="H66" s="106"/>
      <c r="I66" s="152"/>
      <c r="J66" s="104"/>
      <c r="K66" s="244"/>
      <c r="L66" s="65"/>
      <c r="M66" s="65"/>
      <c r="N66" s="65"/>
      <c r="O66" s="65"/>
      <c r="P66" s="65"/>
      <c r="Q66" s="65"/>
      <c r="R66" s="65"/>
    </row>
    <row r="67" spans="1:18">
      <c r="A67" s="65"/>
      <c r="B67" s="78" t="s">
        <v>25</v>
      </c>
      <c r="C67" s="95" t="s">
        <v>151</v>
      </c>
      <c r="D67" s="254">
        <f>'EU Lastbil'!D67</f>
        <v>2.5327000000000002</v>
      </c>
      <c r="E67" s="254">
        <f>'EU Lastbil'!E67</f>
        <v>2.4180000000000001</v>
      </c>
      <c r="F67" s="254">
        <f>'EU Lastbil'!F67</f>
        <v>2.3034000000000003</v>
      </c>
      <c r="G67" s="254">
        <f>'EU Lastbil'!G67</f>
        <v>2.2607999999999997</v>
      </c>
      <c r="H67" s="254"/>
      <c r="I67" s="79" t="s">
        <v>643</v>
      </c>
      <c r="J67" s="74"/>
      <c r="K67" s="244"/>
      <c r="L67" s="65"/>
      <c r="M67" s="65"/>
      <c r="N67" s="65"/>
      <c r="O67" s="65"/>
      <c r="P67" s="65"/>
      <c r="Q67" s="65"/>
      <c r="R67" s="65"/>
    </row>
    <row r="68" spans="1:18">
      <c r="A68" s="65"/>
      <c r="B68" s="78" t="s">
        <v>120</v>
      </c>
      <c r="C68" s="95" t="s">
        <v>121</v>
      </c>
      <c r="D68" s="253">
        <f>'EU Lastbil'!D68</f>
        <v>50000</v>
      </c>
      <c r="E68" s="253">
        <f>'EU Lastbil'!E68</f>
        <v>50000</v>
      </c>
      <c r="F68" s="253">
        <f>'EU Lastbil'!F68</f>
        <v>50000</v>
      </c>
      <c r="G68" s="253">
        <f>'EU Lastbil'!G68</f>
        <v>50000</v>
      </c>
      <c r="H68" s="253"/>
      <c r="I68" s="99" t="s">
        <v>271</v>
      </c>
      <c r="J68" s="74"/>
      <c r="K68" s="244"/>
      <c r="L68" s="65"/>
      <c r="M68" s="65"/>
      <c r="N68" s="65"/>
      <c r="O68" s="65"/>
      <c r="P68" s="65"/>
      <c r="Q68" s="65"/>
      <c r="R68" s="65"/>
    </row>
    <row r="69" spans="1:18">
      <c r="A69" s="65"/>
      <c r="B69" s="78" t="s">
        <v>123</v>
      </c>
      <c r="C69" s="202" t="s">
        <v>36</v>
      </c>
      <c r="D69" s="251">
        <f>'EU Lastbil'!D69</f>
        <v>3.12</v>
      </c>
      <c r="E69" s="251">
        <f>'EU Lastbil'!E69</f>
        <v>3.12</v>
      </c>
      <c r="F69" s="251">
        <f>'EU Lastbil'!F69</f>
        <v>3.12</v>
      </c>
      <c r="G69" s="251">
        <f>'EU Lastbil'!G69</f>
        <v>3.12</v>
      </c>
      <c r="H69" s="252"/>
      <c r="I69" s="99" t="s">
        <v>271</v>
      </c>
      <c r="J69" s="119"/>
      <c r="K69" s="244"/>
      <c r="L69" s="65"/>
      <c r="M69" s="65"/>
      <c r="N69" s="65"/>
      <c r="O69" s="65"/>
      <c r="P69" s="65"/>
      <c r="Q69" s="65"/>
      <c r="R69" s="65"/>
    </row>
    <row r="70" spans="1:18">
      <c r="A70" s="65"/>
      <c r="B70" s="165" t="s">
        <v>162</v>
      </c>
      <c r="C70" s="202" t="s">
        <v>163</v>
      </c>
      <c r="D70" s="266">
        <v>2.4703675918979746</v>
      </c>
      <c r="E70" s="266">
        <v>2.7237386269644333</v>
      </c>
      <c r="F70" s="266">
        <v>3.1451766953199614</v>
      </c>
      <c r="G70" s="266">
        <v>3.4957537154989384</v>
      </c>
      <c r="H70" s="250"/>
      <c r="I70" s="99"/>
      <c r="J70" s="119"/>
      <c r="K70" s="244"/>
      <c r="L70" s="65"/>
      <c r="M70" s="67"/>
      <c r="N70" s="188"/>
      <c r="O70" s="188"/>
      <c r="P70" s="65"/>
      <c r="Q70" s="65"/>
      <c r="R70" s="65"/>
    </row>
    <row r="71" spans="1:18">
      <c r="A71" s="65"/>
      <c r="B71" s="165" t="s">
        <v>164</v>
      </c>
      <c r="C71" s="202" t="s">
        <v>26</v>
      </c>
      <c r="D71" s="249">
        <v>0.19</v>
      </c>
      <c r="E71" s="249">
        <v>0.2</v>
      </c>
      <c r="F71" s="249">
        <v>0.22</v>
      </c>
      <c r="G71" s="249">
        <v>0.24</v>
      </c>
      <c r="H71" s="249"/>
      <c r="I71" s="79" t="s">
        <v>643</v>
      </c>
      <c r="J71" s="119"/>
      <c r="K71" s="244"/>
      <c r="L71" s="65"/>
      <c r="M71" s="65"/>
      <c r="N71" s="65"/>
      <c r="O71" s="65"/>
      <c r="P71" s="65"/>
      <c r="Q71" s="65"/>
      <c r="R71" s="65"/>
    </row>
    <row r="72" spans="1:18" ht="14.4" thickBot="1">
      <c r="A72" s="65"/>
      <c r="B72" s="248"/>
      <c r="C72" s="247"/>
      <c r="D72" s="246"/>
      <c r="E72" s="246"/>
      <c r="F72" s="246"/>
      <c r="G72" s="246"/>
      <c r="H72" s="246"/>
      <c r="I72" s="99"/>
      <c r="J72" s="90"/>
      <c r="K72" s="244"/>
      <c r="L72" s="65"/>
      <c r="M72" s="65"/>
      <c r="N72" s="65"/>
      <c r="O72" s="65"/>
      <c r="P72" s="65"/>
      <c r="Q72" s="65"/>
      <c r="R72" s="65"/>
    </row>
    <row r="73" spans="1:18">
      <c r="A73" s="65"/>
      <c r="B73" s="65"/>
      <c r="C73" s="65"/>
      <c r="D73" s="192"/>
      <c r="E73" s="192"/>
      <c r="F73" s="192"/>
      <c r="G73" s="192"/>
      <c r="H73" s="192"/>
      <c r="I73" s="65"/>
      <c r="J73" s="65"/>
      <c r="K73" s="244"/>
      <c r="L73" s="65"/>
      <c r="M73" s="65"/>
      <c r="N73" s="65"/>
      <c r="O73" s="65"/>
      <c r="P73" s="65"/>
      <c r="Q73" s="65"/>
      <c r="R73" s="65"/>
    </row>
    <row r="74" spans="1:18" ht="16.2" thickBot="1">
      <c r="A74" s="65"/>
      <c r="B74" s="89" t="s">
        <v>125</v>
      </c>
      <c r="C74" s="65"/>
      <c r="D74" s="65"/>
      <c r="E74" s="65"/>
      <c r="F74" s="65"/>
      <c r="G74" s="65"/>
      <c r="I74" s="65"/>
      <c r="J74" s="65"/>
      <c r="K74" s="244"/>
      <c r="L74" s="65"/>
      <c r="M74" s="65"/>
      <c r="N74" s="65"/>
      <c r="O74" s="65"/>
      <c r="P74" s="65"/>
      <c r="Q74" s="65"/>
      <c r="R74" s="65"/>
    </row>
    <row r="75" spans="1:18">
      <c r="A75" s="65"/>
      <c r="B75" s="88" t="s">
        <v>149</v>
      </c>
      <c r="C75" s="85"/>
      <c r="D75" s="182">
        <f>D67/D71</f>
        <v>13.33</v>
      </c>
      <c r="E75" s="182">
        <f>E67/E71</f>
        <v>12.09</v>
      </c>
      <c r="F75" s="182">
        <f>F67/F71</f>
        <v>10.47</v>
      </c>
      <c r="G75" s="182">
        <f>G67/G71</f>
        <v>9.42</v>
      </c>
      <c r="H75" s="182"/>
      <c r="I75" s="79"/>
      <c r="J75" s="83"/>
      <c r="K75" s="244"/>
      <c r="L75" s="65"/>
      <c r="M75" s="65"/>
      <c r="N75" s="65"/>
      <c r="O75" s="65"/>
      <c r="P75" s="65"/>
      <c r="Q75" s="65"/>
      <c r="R75" s="65"/>
    </row>
    <row r="76" spans="1:18">
      <c r="A76" s="65"/>
      <c r="B76" s="78"/>
      <c r="C76" s="77"/>
      <c r="D76" s="272"/>
      <c r="E76" s="272"/>
      <c r="F76" s="272"/>
      <c r="G76" s="272"/>
      <c r="H76" s="245"/>
      <c r="I76" s="77"/>
      <c r="J76" s="74"/>
      <c r="K76" s="244"/>
      <c r="L76" s="65"/>
      <c r="M76" s="65"/>
      <c r="N76" s="65"/>
      <c r="O76" s="65"/>
      <c r="P76" s="65"/>
      <c r="Q76" s="65"/>
      <c r="R76" s="65"/>
    </row>
    <row r="77" spans="1:18">
      <c r="A77" s="65"/>
      <c r="B77" s="78" t="s">
        <v>20</v>
      </c>
      <c r="C77" s="77" t="s">
        <v>27</v>
      </c>
      <c r="D77" s="270"/>
      <c r="E77" s="270"/>
      <c r="F77" s="270"/>
      <c r="G77" s="270"/>
      <c r="H77" s="270"/>
      <c r="I77" s="77"/>
      <c r="J77" s="74"/>
      <c r="K77" s="244"/>
      <c r="L77" s="65"/>
      <c r="M77" s="65"/>
      <c r="N77" s="65"/>
      <c r="O77" s="65"/>
      <c r="P77" s="65"/>
      <c r="Q77" s="65"/>
      <c r="R77" s="65"/>
    </row>
    <row r="78" spans="1:18">
      <c r="A78" s="65"/>
      <c r="B78" s="78" t="s">
        <v>21</v>
      </c>
      <c r="C78" s="77" t="s">
        <v>27</v>
      </c>
      <c r="D78" s="270">
        <f t="shared" ref="D78:G79" si="2">D88/1000*D$75</f>
        <v>7.5989961745134265E-3</v>
      </c>
      <c r="E78" s="270">
        <f t="shared" si="2"/>
        <v>1.9705785595902914E-3</v>
      </c>
      <c r="F78" s="270">
        <f t="shared" si="2"/>
        <v>1.7065308121513938E-3</v>
      </c>
      <c r="G78" s="270">
        <f t="shared" si="2"/>
        <v>1.5353887536261822E-3</v>
      </c>
      <c r="H78" s="270"/>
      <c r="I78" s="77"/>
      <c r="J78" s="74"/>
      <c r="K78" s="244"/>
      <c r="L78" s="65"/>
      <c r="M78" s="65"/>
      <c r="N78" s="65"/>
      <c r="O78" s="65"/>
      <c r="P78" s="65"/>
      <c r="Q78" s="65"/>
      <c r="R78" s="65"/>
    </row>
    <row r="79" spans="1:18">
      <c r="A79" s="65"/>
      <c r="B79" s="78" t="s">
        <v>22</v>
      </c>
      <c r="C79" s="77" t="s">
        <v>27</v>
      </c>
      <c r="D79" s="270">
        <f t="shared" si="2"/>
        <v>4.5138968201433864E-2</v>
      </c>
      <c r="E79" s="270">
        <f t="shared" si="2"/>
        <v>4.093999441525397E-2</v>
      </c>
      <c r="F79" s="270">
        <f t="shared" si="2"/>
        <v>3.5454238339760885E-2</v>
      </c>
      <c r="G79" s="270">
        <f t="shared" si="2"/>
        <v>3.1898655698237584E-2</v>
      </c>
      <c r="H79" s="270"/>
      <c r="I79" s="77"/>
      <c r="J79" s="74"/>
      <c r="K79" s="244"/>
      <c r="L79" s="65"/>
      <c r="M79" s="65"/>
      <c r="N79" s="65"/>
      <c r="O79" s="65"/>
      <c r="P79" s="65"/>
      <c r="Q79" s="65"/>
      <c r="R79" s="65"/>
    </row>
    <row r="80" spans="1:18">
      <c r="A80" s="65"/>
      <c r="B80" s="78" t="s">
        <v>23</v>
      </c>
      <c r="C80" s="77" t="s">
        <v>27</v>
      </c>
      <c r="D80" s="271">
        <f>D90/1000*D$75/1.1</f>
        <v>5.6758422632391375E-3</v>
      </c>
      <c r="E80" s="271">
        <f>E90/1000*E$75/1.1</f>
        <v>5.1478569364261937E-3</v>
      </c>
      <c r="F80" s="271">
        <f>F90/1000*F$75/1.1</f>
        <v>4.4580696546221883E-3</v>
      </c>
      <c r="G80" s="271">
        <f>G90/1000*G$75/1.1</f>
        <v>4.010985305304777E-3</v>
      </c>
      <c r="H80" s="271"/>
      <c r="I80" s="99" t="s">
        <v>654</v>
      </c>
      <c r="J80" s="119" t="s">
        <v>276</v>
      </c>
      <c r="K80" s="269"/>
      <c r="L80" s="65"/>
      <c r="M80" s="65"/>
      <c r="N80" s="65"/>
      <c r="O80" s="65"/>
      <c r="P80" s="65"/>
      <c r="Q80" s="65"/>
      <c r="R80" s="65"/>
    </row>
    <row r="81" spans="1:21">
      <c r="A81" s="65"/>
      <c r="B81" s="165" t="s">
        <v>37</v>
      </c>
      <c r="C81" s="77" t="s">
        <v>27</v>
      </c>
      <c r="D81" s="271">
        <f>1.2*$D91/1000*D$75</f>
        <v>5.5809922696775436</v>
      </c>
      <c r="E81" s="271">
        <f>1.2*$E91/1000*E$75</f>
        <v>0.52876296307170478</v>
      </c>
      <c r="F81" s="271">
        <f>1.2*$F91/1000*F$75</f>
        <v>0.45791135015390816</v>
      </c>
      <c r="G81" s="271">
        <f>1.2*$F91/1000*G$75</f>
        <v>0.4119890084479288</v>
      </c>
      <c r="H81" s="271"/>
      <c r="I81" s="99" t="s">
        <v>654</v>
      </c>
      <c r="J81" s="119" t="s">
        <v>275</v>
      </c>
      <c r="K81" s="244"/>
      <c r="L81" s="65"/>
      <c r="M81" s="65"/>
      <c r="N81" s="65"/>
      <c r="O81" s="65"/>
      <c r="P81" s="65"/>
      <c r="Q81" s="65"/>
      <c r="R81" s="65"/>
    </row>
    <row r="82" spans="1:21">
      <c r="A82" s="65"/>
      <c r="B82" s="78" t="s">
        <v>24</v>
      </c>
      <c r="C82" s="77" t="s">
        <v>27</v>
      </c>
      <c r="D82" s="270">
        <f>D92/1000*D$75</f>
        <v>4.3962091866647429E-2</v>
      </c>
      <c r="E82" s="270">
        <f>E92/1000*E$75</f>
        <v>4.3601899994902002E-3</v>
      </c>
      <c r="F82" s="270">
        <f>F92/1000*F$75</f>
        <v>3.7759461782185611E-3</v>
      </c>
      <c r="G82" s="270">
        <f>G92/1000*G$75</f>
        <v>3.3972696273943497E-3</v>
      </c>
      <c r="H82" s="270"/>
      <c r="I82" s="77"/>
      <c r="J82" s="119"/>
      <c r="K82" s="269"/>
      <c r="L82" s="65"/>
      <c r="M82" s="65"/>
      <c r="N82" s="65"/>
      <c r="O82" s="65"/>
      <c r="P82" s="65"/>
      <c r="Q82" s="65"/>
      <c r="R82" s="65"/>
    </row>
    <row r="83" spans="1:21" ht="14.4" thickBot="1">
      <c r="A83" s="65"/>
      <c r="B83" s="73"/>
      <c r="C83" s="72"/>
      <c r="D83" s="242"/>
      <c r="E83" s="242"/>
      <c r="F83" s="242"/>
      <c r="G83" s="242"/>
      <c r="H83" s="242"/>
      <c r="I83" s="72"/>
      <c r="J83" s="90"/>
      <c r="K83" s="65"/>
      <c r="L83" s="65"/>
      <c r="M83" s="65"/>
      <c r="N83" s="65"/>
      <c r="O83" s="65"/>
      <c r="P83" s="65"/>
      <c r="Q83" s="65"/>
      <c r="R83" s="65"/>
    </row>
    <row r="84" spans="1:21">
      <c r="A84" s="65"/>
      <c r="B84" s="65"/>
      <c r="C84" s="65"/>
      <c r="D84" s="65"/>
      <c r="E84" s="65"/>
      <c r="F84" s="65"/>
      <c r="G84" s="65"/>
      <c r="I84" s="65"/>
      <c r="J84" s="65"/>
      <c r="K84" s="65"/>
      <c r="L84" s="65"/>
      <c r="M84" s="65"/>
      <c r="N84" s="65"/>
      <c r="O84" s="65"/>
      <c r="P84" s="65"/>
      <c r="Q84" s="65"/>
      <c r="R84" s="65"/>
    </row>
    <row r="85" spans="1:21" ht="14.4" thickBot="1">
      <c r="A85" s="65"/>
      <c r="B85" s="154" t="s">
        <v>171</v>
      </c>
      <c r="C85" s="65"/>
      <c r="D85" s="65"/>
      <c r="E85" s="65"/>
      <c r="F85" s="65"/>
      <c r="G85" s="65"/>
      <c r="I85" s="65"/>
      <c r="J85" s="65"/>
      <c r="K85" s="65"/>
      <c r="L85" s="65"/>
      <c r="M85" s="65"/>
      <c r="N85" s="65"/>
      <c r="O85" s="65"/>
      <c r="P85" s="65"/>
      <c r="Q85" s="65"/>
      <c r="R85" s="65"/>
    </row>
    <row r="86" spans="1:21">
      <c r="A86" s="65"/>
      <c r="B86" s="88"/>
      <c r="C86" s="85"/>
      <c r="D86" s="241">
        <v>2015</v>
      </c>
      <c r="E86" s="241">
        <v>2020</v>
      </c>
      <c r="F86" s="241">
        <v>2035</v>
      </c>
      <c r="G86" s="241">
        <v>2050</v>
      </c>
      <c r="H86" s="241"/>
      <c r="I86" s="65"/>
      <c r="J86" s="65"/>
      <c r="K86" s="65"/>
      <c r="L86" s="65"/>
      <c r="M86" s="65"/>
      <c r="N86" s="65"/>
      <c r="O86" s="65"/>
      <c r="P86" s="65"/>
      <c r="Q86" s="65"/>
      <c r="R86" s="65"/>
    </row>
    <row r="87" spans="1:21">
      <c r="A87" s="65"/>
      <c r="B87" s="240" t="s">
        <v>20</v>
      </c>
      <c r="C87" s="135" t="s">
        <v>172</v>
      </c>
      <c r="D87" s="238"/>
      <c r="E87" s="238"/>
      <c r="F87" s="238"/>
      <c r="G87" s="238"/>
      <c r="H87" s="238"/>
      <c r="I87" s="65"/>
      <c r="J87" s="65"/>
      <c r="K87" s="65"/>
      <c r="L87" s="65"/>
      <c r="M87" s="65"/>
      <c r="N87" s="65"/>
      <c r="O87" s="65"/>
      <c r="P87" s="65"/>
      <c r="Q87" s="65"/>
      <c r="R87" s="65"/>
    </row>
    <row r="88" spans="1:21">
      <c r="A88" s="65"/>
      <c r="B88" s="240" t="s">
        <v>21</v>
      </c>
      <c r="C88" s="77" t="s">
        <v>172</v>
      </c>
      <c r="D88" s="239">
        <f>'EU Lastbil'!D88</f>
        <v>0.57006722989598102</v>
      </c>
      <c r="E88" s="239">
        <f>'EU Lastbil'!E88</f>
        <v>0.16299243669067753</v>
      </c>
      <c r="F88" s="239">
        <f>'EU Lastbil'!F88</f>
        <v>0.16299243669067753</v>
      </c>
      <c r="G88" s="239">
        <f>'EU Lastbil'!G88</f>
        <v>0.16299243669067753</v>
      </c>
      <c r="H88" s="239"/>
      <c r="I88" s="65"/>
      <c r="J88" s="65"/>
      <c r="K88" s="65"/>
      <c r="L88" s="65"/>
      <c r="M88" s="65"/>
      <c r="N88" s="65"/>
      <c r="O88" s="65"/>
      <c r="P88" s="65"/>
      <c r="Q88" s="65"/>
      <c r="R88" s="65"/>
    </row>
    <row r="89" spans="1:21">
      <c r="A89" s="65"/>
      <c r="B89" s="240" t="s">
        <v>22</v>
      </c>
      <c r="C89" s="77" t="s">
        <v>172</v>
      </c>
      <c r="D89" s="239">
        <f>'EU Lastbil'!D89</f>
        <v>3.3862691824031406</v>
      </c>
      <c r="E89" s="239">
        <f>'EU Lastbil'!E89</f>
        <v>3.3862691824031406</v>
      </c>
      <c r="F89" s="239">
        <f>'EU Lastbil'!F89</f>
        <v>3.3862691824031406</v>
      </c>
      <c r="G89" s="239">
        <f>'EU Lastbil'!G89</f>
        <v>3.3862691824031406</v>
      </c>
      <c r="H89" s="239"/>
      <c r="I89" s="65"/>
      <c r="J89" s="65"/>
      <c r="K89" s="65"/>
      <c r="L89" s="65"/>
      <c r="M89" s="65"/>
      <c r="N89" s="65"/>
      <c r="O89" s="65"/>
      <c r="P89" s="65"/>
      <c r="Q89" s="65"/>
      <c r="R89" s="65"/>
    </row>
    <row r="90" spans="1:21">
      <c r="A90" s="65"/>
      <c r="B90" s="240" t="s">
        <v>23</v>
      </c>
      <c r="C90" s="77" t="s">
        <v>172</v>
      </c>
      <c r="D90" s="239">
        <f>'EU Lastbil'!D90</f>
        <v>0.46837408023728822</v>
      </c>
      <c r="E90" s="239">
        <f>'EU Lastbil'!E90</f>
        <v>0.46837408023728822</v>
      </c>
      <c r="F90" s="239">
        <f>'EU Lastbil'!F90</f>
        <v>0.46837408023728822</v>
      </c>
      <c r="G90" s="239">
        <f>'EU Lastbil'!G90</f>
        <v>0.46837408023728822</v>
      </c>
      <c r="H90" s="239"/>
      <c r="I90" s="65"/>
      <c r="J90" s="65"/>
      <c r="K90" s="65"/>
      <c r="L90" s="65"/>
      <c r="M90" s="65"/>
      <c r="N90" s="65"/>
      <c r="O90" s="65"/>
      <c r="P90" s="65"/>
      <c r="Q90" s="65"/>
      <c r="R90" s="65"/>
      <c r="T90" s="268"/>
      <c r="U90" s="268"/>
    </row>
    <row r="91" spans="1:21">
      <c r="A91" s="65"/>
      <c r="B91" s="133" t="s">
        <v>37</v>
      </c>
      <c r="C91" s="77" t="s">
        <v>172</v>
      </c>
      <c r="D91" s="238">
        <f>'EU Lastbil'!D91</f>
        <v>348.89924166526276</v>
      </c>
      <c r="E91" s="238">
        <f>'EU Lastbil'!E91</f>
        <v>36.446302941253435</v>
      </c>
      <c r="F91" s="238">
        <f>'EU Lastbil'!F91</f>
        <v>36.446302941253435</v>
      </c>
      <c r="G91" s="238">
        <f>'EU Lastbil'!G91</f>
        <v>36.446302941253435</v>
      </c>
      <c r="H91" s="238"/>
      <c r="I91" s="65"/>
      <c r="J91" s="65"/>
      <c r="K91" s="65"/>
      <c r="L91" s="65"/>
      <c r="M91" s="65"/>
      <c r="N91" s="65"/>
      <c r="O91" s="65"/>
      <c r="P91" s="65"/>
      <c r="Q91" s="65"/>
      <c r="R91" s="65"/>
    </row>
    <row r="92" spans="1:21" ht="14.4" thickBot="1">
      <c r="A92" s="65"/>
      <c r="B92" s="237" t="s">
        <v>24</v>
      </c>
      <c r="C92" s="72" t="s">
        <v>172</v>
      </c>
      <c r="D92" s="236">
        <f>'EU Lastbil'!D92</f>
        <v>3.2979813853448934</v>
      </c>
      <c r="E92" s="236">
        <f>'EU Lastbil'!E92</f>
        <v>0.36064433411829616</v>
      </c>
      <c r="F92" s="236">
        <f>'EU Lastbil'!F92</f>
        <v>0.36064433411829616</v>
      </c>
      <c r="G92" s="236">
        <f>'EU Lastbil'!G92</f>
        <v>0.36064433411829616</v>
      </c>
      <c r="H92" s="236"/>
      <c r="I92" s="65"/>
      <c r="J92" s="65"/>
      <c r="K92" s="65"/>
      <c r="L92" s="65"/>
      <c r="M92" s="65"/>
      <c r="N92" s="65"/>
      <c r="O92" s="65"/>
      <c r="P92" s="65"/>
      <c r="Q92" s="65"/>
      <c r="R92" s="65"/>
      <c r="T92" s="268"/>
    </row>
    <row r="93" spans="1:21">
      <c r="A93" s="65"/>
      <c r="B93" s="65"/>
      <c r="C93" s="65"/>
      <c r="D93" s="65"/>
      <c r="E93" s="65"/>
      <c r="F93" s="65"/>
      <c r="G93" s="65"/>
      <c r="I93" s="65"/>
      <c r="J93" s="65"/>
      <c r="K93" s="65"/>
      <c r="L93" s="65"/>
      <c r="M93" s="65"/>
      <c r="N93" s="65"/>
      <c r="O93" s="65"/>
      <c r="P93" s="65"/>
      <c r="Q93" s="65"/>
      <c r="R93" s="65"/>
      <c r="T93" s="268"/>
    </row>
    <row r="94" spans="1:21">
      <c r="A94" s="65"/>
      <c r="B94" s="65"/>
      <c r="C94" s="65"/>
      <c r="D94" s="65"/>
      <c r="E94" s="65"/>
      <c r="F94" s="65"/>
      <c r="G94" s="65"/>
      <c r="I94" s="65"/>
      <c r="J94" s="65"/>
      <c r="K94" s="65"/>
      <c r="L94" s="65"/>
      <c r="M94" s="65"/>
      <c r="N94" s="65"/>
      <c r="O94" s="65"/>
      <c r="P94" s="65"/>
      <c r="Q94" s="65"/>
      <c r="R94" s="65"/>
    </row>
    <row r="95" spans="1:21">
      <c r="A95" s="65"/>
      <c r="B95" s="65"/>
      <c r="C95" s="65"/>
      <c r="D95" s="65"/>
      <c r="E95" s="65"/>
      <c r="F95" s="65"/>
      <c r="G95" s="65"/>
      <c r="H95" s="68"/>
      <c r="I95" s="65"/>
      <c r="J95" s="65"/>
      <c r="K95" s="65"/>
      <c r="L95" s="65"/>
      <c r="M95" s="65"/>
      <c r="N95" s="65"/>
      <c r="O95" s="65"/>
      <c r="P95" s="65"/>
      <c r="Q95" s="65"/>
      <c r="R95" s="65"/>
    </row>
    <row r="96" spans="1:21">
      <c r="A96" s="65"/>
      <c r="B96" s="65"/>
      <c r="C96" s="65"/>
      <c r="D96" s="65"/>
      <c r="E96" s="65"/>
      <c r="F96" s="65"/>
      <c r="G96" s="65"/>
      <c r="H96" s="68"/>
      <c r="I96" s="65"/>
      <c r="J96" s="65"/>
      <c r="K96" s="65"/>
      <c r="L96" s="65"/>
      <c r="M96" s="65"/>
      <c r="N96" s="65"/>
      <c r="O96" s="65"/>
      <c r="P96" s="65"/>
      <c r="Q96" s="65"/>
      <c r="R96" s="65"/>
    </row>
    <row r="97" spans="1:18">
      <c r="A97" s="65"/>
      <c r="B97" s="65"/>
      <c r="C97" s="65"/>
      <c r="D97" s="65"/>
      <c r="E97" s="65"/>
      <c r="F97" s="65"/>
      <c r="G97" s="65"/>
      <c r="H97" s="68"/>
      <c r="I97" s="65"/>
      <c r="J97" s="65"/>
      <c r="K97" s="65"/>
      <c r="L97" s="65"/>
      <c r="M97" s="65"/>
      <c r="N97" s="65"/>
      <c r="O97" s="65"/>
      <c r="P97" s="65"/>
      <c r="Q97" s="65"/>
      <c r="R97" s="65"/>
    </row>
    <row r="98" spans="1:18">
      <c r="A98" s="65"/>
      <c r="B98" s="65"/>
      <c r="C98" s="65"/>
      <c r="D98" s="65"/>
      <c r="E98" s="65"/>
      <c r="F98" s="65"/>
      <c r="G98" s="65"/>
      <c r="H98" s="68"/>
      <c r="I98" s="65"/>
      <c r="J98" s="65"/>
      <c r="K98" s="65"/>
      <c r="L98" s="65"/>
      <c r="M98" s="65"/>
      <c r="N98" s="65"/>
      <c r="O98" s="65"/>
      <c r="P98" s="65"/>
      <c r="Q98" s="65"/>
      <c r="R98" s="65"/>
    </row>
    <row r="99" spans="1:18">
      <c r="A99" s="65"/>
      <c r="B99" s="65"/>
      <c r="C99" s="65"/>
      <c r="D99" s="65"/>
      <c r="E99" s="65"/>
      <c r="F99" s="65"/>
      <c r="G99" s="65"/>
      <c r="H99" s="68"/>
      <c r="I99" s="65"/>
      <c r="J99" s="65"/>
      <c r="K99" s="65"/>
      <c r="L99" s="65"/>
      <c r="M99" s="65"/>
      <c r="N99" s="65"/>
      <c r="O99" s="65"/>
      <c r="P99" s="65"/>
      <c r="Q99" s="65"/>
      <c r="R99" s="65"/>
    </row>
    <row r="100" spans="1:18">
      <c r="A100" s="65"/>
      <c r="B100" s="65"/>
      <c r="C100" s="65"/>
      <c r="D100" s="65"/>
      <c r="E100" s="65"/>
      <c r="F100" s="65"/>
      <c r="G100" s="65"/>
      <c r="I100" s="65"/>
      <c r="J100" s="65"/>
      <c r="K100" s="65"/>
      <c r="L100" s="65"/>
      <c r="M100" s="65"/>
      <c r="N100" s="65"/>
      <c r="O100" s="65"/>
      <c r="P100" s="65"/>
      <c r="Q100" s="65"/>
      <c r="R100" s="65"/>
    </row>
    <row r="101" spans="1:18">
      <c r="A101" s="65"/>
      <c r="B101" s="65"/>
      <c r="C101" s="65"/>
      <c r="D101" s="65"/>
      <c r="E101" s="65"/>
      <c r="F101" s="65"/>
      <c r="G101" s="65"/>
      <c r="I101" s="65"/>
      <c r="J101" s="65"/>
      <c r="K101" s="65"/>
      <c r="L101" s="65"/>
      <c r="M101" s="65"/>
      <c r="N101" s="65"/>
      <c r="O101" s="65"/>
      <c r="P101" s="65"/>
      <c r="Q101" s="65"/>
      <c r="R101" s="65"/>
    </row>
    <row r="102" spans="1:18">
      <c r="A102" s="65"/>
      <c r="B102" s="65"/>
      <c r="C102" s="65"/>
      <c r="D102" s="65"/>
      <c r="E102" s="65"/>
      <c r="F102" s="65"/>
      <c r="G102" s="65"/>
      <c r="I102" s="65"/>
      <c r="J102" s="65"/>
      <c r="K102" s="65"/>
      <c r="L102" s="65"/>
      <c r="M102" s="65"/>
      <c r="N102" s="65"/>
      <c r="O102" s="65"/>
      <c r="P102" s="65"/>
      <c r="Q102" s="65"/>
      <c r="R102" s="65"/>
    </row>
    <row r="103" spans="1:18">
      <c r="A103" s="65"/>
      <c r="B103" s="65"/>
      <c r="C103" s="65"/>
      <c r="D103" s="65"/>
      <c r="E103" s="65"/>
      <c r="F103" s="65"/>
      <c r="G103" s="65"/>
      <c r="I103" s="65"/>
      <c r="J103" s="65"/>
      <c r="K103" s="65"/>
      <c r="L103" s="65"/>
      <c r="M103" s="65"/>
      <c r="N103" s="65"/>
      <c r="O103" s="65"/>
      <c r="P103" s="65"/>
      <c r="Q103" s="65"/>
      <c r="R103" s="65"/>
    </row>
    <row r="104" spans="1:18">
      <c r="A104" s="65"/>
      <c r="B104" s="65"/>
      <c r="C104" s="65"/>
      <c r="D104" s="65"/>
      <c r="E104" s="65"/>
      <c r="F104" s="65"/>
      <c r="G104" s="65"/>
      <c r="I104" s="65"/>
      <c r="J104" s="65"/>
      <c r="K104" s="65"/>
      <c r="L104" s="65"/>
      <c r="M104" s="65"/>
      <c r="N104" s="65"/>
      <c r="O104" s="65"/>
      <c r="P104" s="65"/>
      <c r="Q104" s="65"/>
      <c r="R104" s="65"/>
    </row>
    <row r="105" spans="1:18">
      <c r="A105" s="65"/>
      <c r="B105" s="65"/>
      <c r="C105" s="65"/>
      <c r="D105" s="65"/>
      <c r="E105" s="65"/>
      <c r="F105" s="65"/>
      <c r="G105" s="65"/>
      <c r="I105" s="65"/>
      <c r="J105" s="65"/>
      <c r="K105" s="65"/>
      <c r="L105" s="65"/>
      <c r="M105" s="65"/>
      <c r="N105" s="65"/>
      <c r="O105" s="65"/>
      <c r="P105" s="65"/>
      <c r="Q105" s="65"/>
      <c r="R105" s="65"/>
    </row>
    <row r="106" spans="1:18">
      <c r="A106" s="65"/>
      <c r="B106" s="65"/>
      <c r="C106" s="65"/>
      <c r="D106" s="65"/>
      <c r="E106" s="65"/>
      <c r="F106" s="65"/>
      <c r="G106" s="65"/>
      <c r="I106" s="65"/>
      <c r="J106" s="65"/>
      <c r="K106" s="65"/>
      <c r="L106" s="65"/>
      <c r="M106" s="65"/>
      <c r="N106" s="65"/>
      <c r="O106" s="65"/>
      <c r="P106" s="65"/>
      <c r="Q106" s="65"/>
      <c r="R106" s="65"/>
    </row>
    <row r="107" spans="1:18">
      <c r="A107" s="65"/>
      <c r="B107" s="65"/>
      <c r="C107" s="65"/>
      <c r="D107" s="65"/>
      <c r="E107" s="65"/>
      <c r="F107" s="65"/>
      <c r="G107" s="65"/>
      <c r="I107" s="65"/>
      <c r="J107" s="65"/>
      <c r="K107" s="65"/>
      <c r="L107" s="65"/>
      <c r="M107" s="65"/>
      <c r="N107" s="65"/>
      <c r="O107" s="65"/>
      <c r="P107" s="65"/>
      <c r="Q107" s="65"/>
      <c r="R107" s="65"/>
    </row>
    <row r="108" spans="1:18">
      <c r="A108" s="65"/>
      <c r="B108" s="65"/>
      <c r="C108" s="65"/>
      <c r="D108" s="65"/>
      <c r="E108" s="65"/>
      <c r="F108" s="65"/>
      <c r="G108" s="65"/>
      <c r="I108" s="65"/>
      <c r="J108" s="65"/>
      <c r="K108" s="65"/>
      <c r="L108" s="65"/>
      <c r="M108" s="65"/>
      <c r="N108" s="65"/>
      <c r="O108" s="65"/>
      <c r="P108" s="65"/>
      <c r="Q108" s="65"/>
      <c r="R108" s="65"/>
    </row>
    <row r="109" spans="1:18">
      <c r="A109" s="65"/>
      <c r="B109" s="65"/>
      <c r="C109" s="65"/>
      <c r="D109" s="65"/>
      <c r="E109" s="65"/>
      <c r="F109" s="65"/>
      <c r="G109" s="65"/>
      <c r="I109" s="65"/>
      <c r="J109" s="65"/>
      <c r="K109" s="65"/>
      <c r="L109" s="65"/>
      <c r="M109" s="65"/>
      <c r="N109" s="65"/>
      <c r="O109" s="65"/>
      <c r="P109" s="65"/>
      <c r="Q109" s="65"/>
      <c r="R109" s="65"/>
    </row>
    <row r="110" spans="1:18">
      <c r="A110" s="65"/>
      <c r="B110" s="65"/>
      <c r="C110" s="65"/>
      <c r="D110" s="65"/>
      <c r="E110" s="65"/>
      <c r="F110" s="65"/>
      <c r="G110" s="65"/>
      <c r="I110" s="65"/>
      <c r="J110" s="65"/>
      <c r="K110" s="65"/>
      <c r="L110" s="65"/>
      <c r="M110" s="65"/>
      <c r="N110" s="65"/>
      <c r="O110" s="65"/>
      <c r="P110" s="65"/>
      <c r="Q110" s="65"/>
      <c r="R110" s="65"/>
    </row>
    <row r="111" spans="1:18">
      <c r="A111" s="65"/>
      <c r="B111" s="65"/>
      <c r="C111" s="65"/>
      <c r="D111" s="65"/>
      <c r="E111" s="65"/>
      <c r="F111" s="65"/>
      <c r="G111" s="65"/>
      <c r="I111" s="65"/>
      <c r="J111" s="65"/>
      <c r="K111" s="65"/>
      <c r="L111" s="65"/>
      <c r="M111" s="65"/>
      <c r="N111" s="65"/>
      <c r="O111" s="65"/>
      <c r="P111" s="65"/>
      <c r="Q111" s="65"/>
      <c r="R111" s="65"/>
    </row>
    <row r="112" spans="1:18">
      <c r="A112" s="65"/>
      <c r="B112" s="65"/>
      <c r="C112" s="65"/>
      <c r="D112" s="65"/>
      <c r="E112" s="65"/>
      <c r="F112" s="65"/>
      <c r="G112" s="65"/>
      <c r="I112" s="65"/>
      <c r="J112" s="65"/>
      <c r="K112" s="65"/>
      <c r="L112" s="65"/>
      <c r="M112" s="65"/>
      <c r="N112" s="65"/>
      <c r="O112" s="65"/>
      <c r="P112" s="65"/>
      <c r="Q112" s="65"/>
    </row>
    <row r="113" spans="1:17">
      <c r="A113" s="65"/>
      <c r="B113" s="65"/>
      <c r="C113" s="65"/>
      <c r="D113" s="65"/>
      <c r="E113" s="65"/>
      <c r="F113" s="65"/>
      <c r="G113" s="65"/>
      <c r="I113" s="65"/>
      <c r="J113" s="65"/>
      <c r="K113" s="65"/>
      <c r="L113" s="65"/>
      <c r="M113" s="65"/>
      <c r="N113" s="65"/>
      <c r="O113" s="65"/>
      <c r="P113" s="65"/>
      <c r="Q113" s="65"/>
    </row>
    <row r="114" spans="1:17">
      <c r="A114" s="65"/>
      <c r="B114" s="65"/>
      <c r="C114" s="65"/>
      <c r="D114" s="65"/>
      <c r="E114" s="65"/>
      <c r="F114" s="65"/>
      <c r="G114" s="65"/>
      <c r="I114" s="65"/>
      <c r="J114" s="65"/>
      <c r="K114" s="65"/>
      <c r="L114" s="65"/>
      <c r="M114" s="65"/>
      <c r="N114" s="65"/>
      <c r="O114" s="65"/>
      <c r="P114" s="65"/>
      <c r="Q114" s="65"/>
    </row>
    <row r="115" spans="1:17">
      <c r="A115" s="65"/>
      <c r="B115" s="65"/>
      <c r="C115" s="65"/>
      <c r="D115" s="65"/>
      <c r="E115" s="65"/>
      <c r="F115" s="65"/>
      <c r="G115" s="65"/>
      <c r="I115" s="65"/>
      <c r="J115" s="65"/>
      <c r="K115" s="65"/>
      <c r="L115" s="65"/>
      <c r="M115" s="65"/>
      <c r="N115" s="65"/>
      <c r="O115" s="65"/>
      <c r="P115" s="65"/>
      <c r="Q115" s="65"/>
    </row>
    <row r="116" spans="1:17">
      <c r="A116" s="65"/>
      <c r="B116" s="65"/>
      <c r="C116" s="65"/>
      <c r="D116" s="65"/>
      <c r="E116" s="65"/>
      <c r="F116" s="65"/>
      <c r="G116" s="65"/>
      <c r="I116" s="65"/>
      <c r="J116" s="65"/>
      <c r="K116" s="65"/>
      <c r="L116" s="65"/>
      <c r="M116" s="65"/>
      <c r="N116" s="65"/>
      <c r="O116" s="65"/>
      <c r="P116" s="65"/>
      <c r="Q116" s="65"/>
    </row>
    <row r="117" spans="1:17">
      <c r="A117" s="65"/>
      <c r="B117" s="65"/>
      <c r="C117" s="65"/>
      <c r="D117" s="65"/>
      <c r="E117" s="65"/>
      <c r="F117" s="65"/>
      <c r="G117" s="65"/>
      <c r="I117" s="65"/>
      <c r="J117" s="65"/>
      <c r="K117" s="65"/>
      <c r="L117" s="65"/>
      <c r="M117" s="65"/>
      <c r="N117" s="65"/>
      <c r="O117" s="65"/>
      <c r="P117" s="65"/>
      <c r="Q117" s="65"/>
    </row>
    <row r="118" spans="1:17">
      <c r="A118" s="65"/>
      <c r="B118" s="65"/>
      <c r="C118" s="65"/>
      <c r="D118" s="65"/>
      <c r="E118" s="65"/>
      <c r="F118" s="65"/>
      <c r="G118" s="65"/>
      <c r="I118" s="65"/>
      <c r="J118" s="65"/>
      <c r="K118" s="65"/>
      <c r="L118" s="65"/>
      <c r="M118" s="65"/>
      <c r="N118" s="65"/>
      <c r="O118" s="65"/>
      <c r="P118" s="65"/>
      <c r="Q118" s="65"/>
    </row>
    <row r="119" spans="1:17">
      <c r="A119" s="65"/>
      <c r="B119" s="65"/>
      <c r="C119" s="65"/>
      <c r="D119" s="65"/>
      <c r="E119" s="65"/>
      <c r="F119" s="65"/>
      <c r="G119" s="65"/>
      <c r="I119" s="65"/>
      <c r="J119" s="65"/>
      <c r="K119" s="65"/>
      <c r="L119" s="65"/>
      <c r="M119" s="65"/>
      <c r="N119" s="65"/>
      <c r="O119" s="65"/>
      <c r="P119" s="65"/>
      <c r="Q119" s="65"/>
    </row>
    <row r="120" spans="1:17">
      <c r="A120" s="65"/>
      <c r="B120" s="65"/>
      <c r="C120" s="65"/>
      <c r="D120" s="65"/>
      <c r="E120" s="65"/>
      <c r="F120" s="65"/>
      <c r="G120" s="65"/>
      <c r="I120" s="65"/>
      <c r="J120" s="65"/>
      <c r="K120" s="65"/>
      <c r="L120" s="65"/>
      <c r="M120" s="65"/>
      <c r="N120" s="65"/>
      <c r="O120" s="65"/>
      <c r="P120" s="65"/>
      <c r="Q120" s="65"/>
    </row>
    <row r="121" spans="1:17">
      <c r="A121" s="65"/>
      <c r="B121" s="65"/>
      <c r="C121" s="65"/>
      <c r="D121" s="65"/>
      <c r="E121" s="65"/>
      <c r="F121" s="65"/>
      <c r="G121" s="65"/>
      <c r="I121" s="65"/>
      <c r="J121" s="65"/>
      <c r="K121" s="65"/>
      <c r="L121" s="65"/>
      <c r="M121" s="65"/>
      <c r="N121" s="65"/>
      <c r="O121" s="65"/>
      <c r="P121" s="65"/>
      <c r="Q121" s="65"/>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'C:\Users\B003920\Desktop\[Kopi af alternativ_drivmiddelmodel_3.0_2.xlsm]Sheet1'!#REF!</xm:f>
          </x14:formula1>
          <xm:sqref>C9</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rgb="FF002060"/>
    <pageSetUpPr fitToPage="1"/>
  </sheetPr>
  <dimension ref="A1:S102"/>
  <sheetViews>
    <sheetView topLeftCell="A10" zoomScale="80" zoomScaleNormal="80" workbookViewId="0">
      <selection activeCell="F25" sqref="F25"/>
    </sheetView>
  </sheetViews>
  <sheetFormatPr defaultColWidth="8.88671875" defaultRowHeight="13.8"/>
  <cols>
    <col min="1" max="1" width="2.88671875" style="65" customWidth="1"/>
    <col min="2" max="2" width="35" style="65" customWidth="1"/>
    <col min="3" max="3" width="18" style="65" customWidth="1"/>
    <col min="4" max="8" width="15.88671875" style="65" customWidth="1"/>
    <col min="9" max="9" width="12.33203125" style="65" customWidth="1"/>
    <col min="10" max="10" width="37.44140625" style="65" customWidth="1"/>
    <col min="11" max="11" width="9" style="65" customWidth="1"/>
    <col min="12" max="12" width="10.88671875" style="65" customWidth="1"/>
    <col min="13" max="13" width="9.109375" style="65" customWidth="1"/>
    <col min="14" max="14" width="9" style="65" customWidth="1"/>
    <col min="15" max="15" width="8.88671875" style="65"/>
    <col min="16" max="16" width="37.88671875" style="65" customWidth="1"/>
    <col min="17" max="18" width="8.88671875" style="65"/>
    <col min="19" max="19" width="9.109375" style="65" customWidth="1"/>
    <col min="20" max="16384" width="8.88671875" style="65"/>
  </cols>
  <sheetData>
    <row r="1" spans="2:19" s="62" customFormat="1" ht="21">
      <c r="B1" s="62" t="s">
        <v>34</v>
      </c>
      <c r="Q1" s="62">
        <v>0</v>
      </c>
      <c r="R1" s="64">
        <v>0</v>
      </c>
      <c r="S1" s="63"/>
    </row>
    <row r="2" spans="2:19">
      <c r="R2" s="158"/>
      <c r="S2" s="158"/>
    </row>
    <row r="4" spans="2:19" ht="14.4" thickBot="1">
      <c r="B4" s="154" t="s">
        <v>91</v>
      </c>
    </row>
    <row r="5" spans="2:19">
      <c r="B5" s="157" t="s">
        <v>92</v>
      </c>
      <c r="C5" s="85"/>
      <c r="D5" s="85"/>
      <c r="E5" s="85"/>
      <c r="F5" s="85"/>
      <c r="G5" s="85"/>
      <c r="H5" s="85"/>
      <c r="I5" s="85"/>
      <c r="J5" s="85"/>
      <c r="K5" s="85"/>
      <c r="L5" s="85"/>
      <c r="M5" s="85"/>
      <c r="N5" s="85"/>
      <c r="O5" s="83"/>
    </row>
    <row r="6" spans="2:19">
      <c r="B6" s="133" t="s">
        <v>294</v>
      </c>
      <c r="C6" s="77"/>
      <c r="D6" s="77"/>
      <c r="E6" s="77"/>
      <c r="F6" s="77"/>
      <c r="G6" s="77"/>
      <c r="H6" s="77"/>
      <c r="I6" s="77"/>
      <c r="J6" s="77"/>
      <c r="K6" s="77"/>
      <c r="L6" s="77"/>
      <c r="M6" s="77"/>
      <c r="N6" s="77"/>
      <c r="O6" s="74"/>
    </row>
    <row r="7" spans="2:19">
      <c r="B7" s="133"/>
      <c r="C7" s="77"/>
      <c r="D7" s="77"/>
      <c r="E7" s="77"/>
      <c r="F7" s="77"/>
      <c r="G7" s="77"/>
      <c r="H7" s="77"/>
      <c r="I7" s="77"/>
      <c r="J7" s="77"/>
      <c r="K7" s="77"/>
      <c r="L7" s="77"/>
      <c r="M7" s="77"/>
      <c r="N7" s="77"/>
      <c r="O7" s="74"/>
    </row>
    <row r="8" spans="2:19">
      <c r="B8" s="133"/>
      <c r="C8" s="77"/>
      <c r="D8" s="77"/>
      <c r="E8" s="77"/>
      <c r="F8" s="77"/>
      <c r="G8" s="77"/>
      <c r="H8" s="77"/>
      <c r="I8" s="77"/>
      <c r="J8" s="77"/>
      <c r="K8" s="77"/>
      <c r="L8" s="77"/>
      <c r="M8" s="77"/>
      <c r="N8" s="77"/>
      <c r="O8" s="74"/>
    </row>
    <row r="9" spans="2:19">
      <c r="B9" s="156" t="s">
        <v>232</v>
      </c>
      <c r="C9" s="61" t="s">
        <v>235</v>
      </c>
      <c r="D9" s="77"/>
      <c r="E9" s="77"/>
      <c r="F9" s="77"/>
      <c r="G9" s="77"/>
      <c r="H9" s="77"/>
      <c r="I9" s="77"/>
      <c r="J9" s="77"/>
      <c r="K9" s="77"/>
      <c r="L9" s="77"/>
      <c r="M9" s="77"/>
      <c r="N9" s="77"/>
      <c r="O9" s="74"/>
    </row>
    <row r="10" spans="2:19">
      <c r="B10" s="133"/>
      <c r="C10" s="77"/>
      <c r="D10" s="77"/>
      <c r="E10" s="77"/>
      <c r="F10" s="77"/>
      <c r="G10" s="77"/>
      <c r="H10" s="77"/>
      <c r="I10" s="77"/>
      <c r="J10" s="77"/>
      <c r="K10" s="77"/>
      <c r="L10" s="77"/>
      <c r="M10" s="77"/>
      <c r="N10" s="77"/>
      <c r="O10" s="74"/>
    </row>
    <row r="11" spans="2:19">
      <c r="B11" s="155" t="s">
        <v>93</v>
      </c>
      <c r="C11" s="77"/>
      <c r="D11" s="77"/>
      <c r="E11" s="77"/>
      <c r="F11" s="77"/>
      <c r="G11" s="77"/>
      <c r="H11" s="77"/>
      <c r="I11" s="77"/>
      <c r="J11" s="77"/>
      <c r="K11" s="77"/>
      <c r="L11" s="77"/>
      <c r="M11" s="77"/>
      <c r="N11" s="77"/>
      <c r="O11" s="74"/>
    </row>
    <row r="12" spans="2:19">
      <c r="B12" s="133"/>
      <c r="C12" s="77"/>
      <c r="D12" s="77"/>
      <c r="E12" s="77"/>
      <c r="F12" s="77"/>
      <c r="G12" s="77"/>
      <c r="H12" s="77"/>
      <c r="I12" s="77"/>
      <c r="J12" s="77"/>
      <c r="K12" s="77"/>
      <c r="L12" s="77"/>
      <c r="M12" s="77"/>
      <c r="N12" s="77"/>
      <c r="O12" s="74"/>
    </row>
    <row r="13" spans="2:19">
      <c r="B13" s="133"/>
      <c r="C13" s="77"/>
      <c r="D13" s="77"/>
      <c r="E13" s="77"/>
      <c r="F13" s="77"/>
      <c r="G13" s="77"/>
      <c r="H13" s="77"/>
      <c r="I13" s="77"/>
      <c r="J13" s="77"/>
      <c r="K13" s="77"/>
      <c r="L13" s="77"/>
      <c r="M13" s="77"/>
      <c r="N13" s="77"/>
      <c r="O13" s="74"/>
    </row>
    <row r="14" spans="2:19">
      <c r="B14" s="155" t="s">
        <v>94</v>
      </c>
      <c r="C14" s="77"/>
      <c r="D14" s="77"/>
      <c r="E14" s="77"/>
      <c r="F14" s="77"/>
      <c r="G14" s="77"/>
      <c r="H14" s="77"/>
      <c r="I14" s="77"/>
      <c r="J14" s="77"/>
      <c r="K14" s="77"/>
      <c r="L14" s="77"/>
      <c r="M14" s="77"/>
      <c r="N14" s="77"/>
      <c r="O14" s="74"/>
    </row>
    <row r="15" spans="2:19">
      <c r="B15" s="133"/>
      <c r="C15" s="77"/>
      <c r="D15" s="77"/>
      <c r="E15" s="77"/>
      <c r="F15" s="77"/>
      <c r="G15" s="77"/>
      <c r="H15" s="77"/>
      <c r="I15" s="77"/>
      <c r="J15" s="77"/>
      <c r="K15" s="77"/>
      <c r="L15" s="77"/>
      <c r="M15" s="77"/>
      <c r="N15" s="77"/>
      <c r="O15" s="74"/>
    </row>
    <row r="16" spans="2:19">
      <c r="B16" s="128"/>
      <c r="C16" s="77"/>
      <c r="D16" s="77"/>
      <c r="E16" s="77"/>
      <c r="F16" s="77"/>
      <c r="G16" s="77"/>
      <c r="H16" s="77"/>
      <c r="I16" s="77"/>
      <c r="J16" s="77"/>
      <c r="K16" s="77"/>
      <c r="L16" s="77"/>
      <c r="M16" s="77"/>
      <c r="N16" s="77"/>
      <c r="O16" s="74"/>
    </row>
    <row r="17" spans="2:15" ht="14.4" thickBot="1">
      <c r="B17" s="73"/>
      <c r="C17" s="72"/>
      <c r="D17" s="72"/>
      <c r="E17" s="72"/>
      <c r="F17" s="72"/>
      <c r="G17" s="72"/>
      <c r="H17" s="72"/>
      <c r="I17" s="72"/>
      <c r="J17" s="72"/>
      <c r="K17" s="72"/>
      <c r="L17" s="72"/>
      <c r="M17" s="72"/>
      <c r="N17" s="72"/>
      <c r="O17" s="90"/>
    </row>
    <row r="19" spans="2:15" ht="14.4" thickBot="1">
      <c r="B19" s="154" t="s">
        <v>95</v>
      </c>
      <c r="E19" s="153"/>
      <c r="F19" s="153"/>
      <c r="G19" s="153"/>
    </row>
    <row r="20" spans="2:15">
      <c r="B20" s="88"/>
      <c r="C20" s="110"/>
      <c r="D20" s="168"/>
      <c r="E20" s="85"/>
      <c r="F20" s="85"/>
      <c r="G20" s="85"/>
      <c r="H20" s="85"/>
      <c r="I20" s="85" t="s">
        <v>96</v>
      </c>
      <c r="J20" s="83" t="s">
        <v>97</v>
      </c>
    </row>
    <row r="21" spans="2:15">
      <c r="B21" s="109"/>
      <c r="C21" s="108" t="s">
        <v>98</v>
      </c>
      <c r="D21" s="107">
        <v>2015</v>
      </c>
      <c r="E21" s="106">
        <v>2020</v>
      </c>
      <c r="F21" s="106">
        <v>2035</v>
      </c>
      <c r="G21" s="106"/>
      <c r="H21" s="106" t="s">
        <v>99</v>
      </c>
      <c r="I21" s="152"/>
      <c r="J21" s="104"/>
    </row>
    <row r="22" spans="2:15">
      <c r="B22" s="128" t="s">
        <v>100</v>
      </c>
      <c r="C22" s="118"/>
      <c r="D22" s="180"/>
      <c r="E22" s="151"/>
      <c r="F22" s="151"/>
      <c r="G22" s="151"/>
      <c r="H22" s="151"/>
      <c r="I22" s="77"/>
      <c r="J22" s="74"/>
    </row>
    <row r="23" spans="2:15">
      <c r="B23" s="145" t="s">
        <v>101</v>
      </c>
      <c r="C23" s="118" t="s">
        <v>173</v>
      </c>
      <c r="D23" s="260">
        <f>D72</f>
        <v>0.16</v>
      </c>
      <c r="E23" s="259">
        <f>E72</f>
        <v>0.17699999999999999</v>
      </c>
      <c r="F23" s="259">
        <f>F72</f>
        <v>0.20599999999999999</v>
      </c>
      <c r="G23" s="259">
        <f>G72</f>
        <v>0.23200000000000001</v>
      </c>
      <c r="H23" s="147"/>
      <c r="I23" s="187"/>
      <c r="J23" s="74"/>
      <c r="K23" s="244"/>
    </row>
    <row r="24" spans="2:15">
      <c r="B24" s="145" t="s">
        <v>102</v>
      </c>
      <c r="C24" s="118" t="s">
        <v>173</v>
      </c>
      <c r="D24" s="144">
        <f>D23</f>
        <v>0.16</v>
      </c>
      <c r="E24" s="143">
        <f>E23</f>
        <v>0.17699999999999999</v>
      </c>
      <c r="F24" s="143">
        <f>F23</f>
        <v>0.20599999999999999</v>
      </c>
      <c r="G24" s="143">
        <f>G23</f>
        <v>0.23200000000000001</v>
      </c>
      <c r="H24" s="147"/>
      <c r="I24" s="187"/>
      <c r="J24" s="74"/>
      <c r="K24" s="244"/>
    </row>
    <row r="25" spans="2:15">
      <c r="B25" s="145" t="s">
        <v>103</v>
      </c>
      <c r="C25" s="118" t="s">
        <v>104</v>
      </c>
      <c r="D25" s="144">
        <f>D76</f>
        <v>15.829375000000001</v>
      </c>
      <c r="E25" s="143">
        <f>E76</f>
        <v>13.661016949152543</v>
      </c>
      <c r="F25" s="143">
        <f>F76</f>
        <v>11.181553398058254</v>
      </c>
      <c r="G25" s="143">
        <f>G76</f>
        <v>9.7448275862068954</v>
      </c>
      <c r="H25" s="142"/>
      <c r="I25" s="187"/>
      <c r="J25" s="74"/>
      <c r="K25" s="244"/>
    </row>
    <row r="26" spans="2:15">
      <c r="B26" s="145" t="s">
        <v>105</v>
      </c>
      <c r="C26" s="118" t="s">
        <v>104</v>
      </c>
      <c r="D26" s="144"/>
      <c r="E26" s="143"/>
      <c r="F26" s="143"/>
      <c r="G26" s="143"/>
      <c r="H26" s="142"/>
      <c r="I26" s="187"/>
      <c r="J26" s="74"/>
      <c r="K26" s="244"/>
    </row>
    <row r="27" spans="2:15">
      <c r="B27" s="133" t="s">
        <v>106</v>
      </c>
      <c r="C27" s="118" t="s">
        <v>107</v>
      </c>
      <c r="D27" s="140">
        <v>6</v>
      </c>
      <c r="E27" s="125">
        <v>6</v>
      </c>
      <c r="F27" s="125">
        <v>6</v>
      </c>
      <c r="G27" s="125">
        <v>6</v>
      </c>
      <c r="H27" s="125"/>
      <c r="I27" s="77" t="s">
        <v>645</v>
      </c>
      <c r="J27" s="74"/>
      <c r="K27" s="244"/>
    </row>
    <row r="28" spans="2:15">
      <c r="B28" s="133" t="s">
        <v>108</v>
      </c>
      <c r="C28" s="118" t="s">
        <v>109</v>
      </c>
      <c r="D28" s="177">
        <f>+D67*D69/1000</f>
        <v>126.63500000000002</v>
      </c>
      <c r="E28" s="139">
        <f>+E67*E69/1000</f>
        <v>120.90000000000002</v>
      </c>
      <c r="F28" s="139">
        <f>+F67*F69/1000</f>
        <v>115.17000000000002</v>
      </c>
      <c r="G28" s="139">
        <f>+G67*G69/1000</f>
        <v>113.03999999999999</v>
      </c>
      <c r="H28" s="138"/>
      <c r="I28" s="187"/>
      <c r="J28" s="74"/>
      <c r="K28" s="244"/>
    </row>
    <row r="29" spans="2:15">
      <c r="B29" s="78"/>
      <c r="C29" s="137"/>
      <c r="D29" s="134"/>
      <c r="E29" s="98"/>
      <c r="F29" s="98"/>
      <c r="G29" s="98"/>
      <c r="H29" s="98"/>
      <c r="I29" s="77"/>
      <c r="J29" s="74"/>
      <c r="K29" s="244"/>
    </row>
    <row r="30" spans="2:15">
      <c r="B30" s="128" t="s">
        <v>110</v>
      </c>
      <c r="C30" s="118"/>
      <c r="D30" s="134"/>
      <c r="E30" s="98"/>
      <c r="F30" s="98"/>
      <c r="G30" s="98"/>
      <c r="H30" s="98"/>
      <c r="I30" s="77"/>
      <c r="J30" s="74"/>
      <c r="K30" s="244"/>
    </row>
    <row r="31" spans="2:15">
      <c r="B31" s="133" t="s">
        <v>111</v>
      </c>
      <c r="C31" s="118" t="s">
        <v>15</v>
      </c>
      <c r="D31" s="136">
        <v>861886.33721906622</v>
      </c>
      <c r="E31" s="136">
        <v>861886.33721906622</v>
      </c>
      <c r="F31" s="136">
        <v>861886.33721906622</v>
      </c>
      <c r="G31" s="136">
        <v>861886.33721906622</v>
      </c>
      <c r="H31" s="135">
        <v>2015</v>
      </c>
      <c r="I31" s="79"/>
      <c r="J31" s="74"/>
    </row>
    <row r="32" spans="2:15">
      <c r="B32" s="78" t="s">
        <v>16</v>
      </c>
      <c r="C32" s="118" t="s">
        <v>17</v>
      </c>
      <c r="D32" s="136">
        <v>2669.3662884351793</v>
      </c>
      <c r="E32" s="136">
        <v>2795.9900739122327</v>
      </c>
      <c r="F32" s="136">
        <v>2935.097681132143</v>
      </c>
      <c r="G32" s="136">
        <v>2990.4033964613322</v>
      </c>
      <c r="H32" s="135">
        <v>2015</v>
      </c>
      <c r="I32" s="79"/>
      <c r="J32" s="74"/>
    </row>
    <row r="33" spans="2:11">
      <c r="B33" s="129" t="s">
        <v>18</v>
      </c>
      <c r="C33" s="118" t="s">
        <v>17</v>
      </c>
      <c r="D33" s="136">
        <v>1340.9141545201908</v>
      </c>
      <c r="E33" s="136">
        <v>1404.5216208243535</v>
      </c>
      <c r="F33" s="136">
        <v>1474.4001385574745</v>
      </c>
      <c r="G33" s="136">
        <v>1502.1820944591684</v>
      </c>
      <c r="H33" s="135">
        <v>2015</v>
      </c>
      <c r="I33" s="79"/>
      <c r="J33" s="74"/>
    </row>
    <row r="34" spans="2:11">
      <c r="B34" s="129" t="s">
        <v>19</v>
      </c>
      <c r="C34" s="118" t="s">
        <v>17</v>
      </c>
      <c r="D34" s="136">
        <v>1328.4521339149887</v>
      </c>
      <c r="E34" s="136">
        <v>1391.468453087879</v>
      </c>
      <c r="F34" s="136">
        <v>1460.6975425746687</v>
      </c>
      <c r="G34" s="136">
        <v>1488.2213020021638</v>
      </c>
      <c r="H34" s="135">
        <v>2015</v>
      </c>
      <c r="I34" s="79"/>
      <c r="J34" s="74"/>
    </row>
    <row r="35" spans="2:11">
      <c r="B35" s="129"/>
      <c r="C35" s="118"/>
      <c r="D35" s="136"/>
      <c r="E35" s="136"/>
      <c r="F35" s="136"/>
      <c r="G35" s="136"/>
      <c r="H35" s="135"/>
      <c r="I35" s="79"/>
      <c r="J35" s="74"/>
    </row>
    <row r="36" spans="2:11">
      <c r="B36" s="129" t="s">
        <v>112</v>
      </c>
      <c r="C36" s="118" t="s">
        <v>17</v>
      </c>
      <c r="D36" s="136">
        <v>0</v>
      </c>
      <c r="E36" s="136">
        <v>0</v>
      </c>
      <c r="F36" s="136">
        <v>0</v>
      </c>
      <c r="G36" s="136">
        <v>0</v>
      </c>
      <c r="H36" s="135">
        <v>2015</v>
      </c>
      <c r="I36" s="79"/>
      <c r="J36" s="74"/>
    </row>
    <row r="37" spans="2:11">
      <c r="B37" s="128"/>
      <c r="C37" s="118"/>
      <c r="D37" s="134"/>
      <c r="E37" s="98"/>
      <c r="F37" s="98"/>
      <c r="G37" s="98"/>
      <c r="H37" s="98"/>
      <c r="I37" s="79"/>
      <c r="J37" s="74"/>
    </row>
    <row r="38" spans="2:11">
      <c r="B38" s="133" t="s">
        <v>111</v>
      </c>
      <c r="C38" s="118" t="s">
        <v>15</v>
      </c>
      <c r="D38" s="253">
        <v>829975.63889802131</v>
      </c>
      <c r="E38" s="253">
        <v>829975.63889802131</v>
      </c>
      <c r="F38" s="253">
        <v>829975.63889802131</v>
      </c>
      <c r="G38" s="253">
        <v>829975.63889802131</v>
      </c>
      <c r="H38" s="130">
        <v>2013</v>
      </c>
      <c r="I38" s="77" t="s">
        <v>645</v>
      </c>
      <c r="J38" s="119"/>
      <c r="K38" s="244"/>
    </row>
    <row r="39" spans="2:11">
      <c r="B39" s="78" t="s">
        <v>16</v>
      </c>
      <c r="C39" s="118" t="s">
        <v>17</v>
      </c>
      <c r="D39" s="257">
        <f>+SUM(D40:D43)</f>
        <v>2570.5349940286969</v>
      </c>
      <c r="E39" s="258">
        <f>+SUM(E40:E43)</f>
        <v>2692.470628360827</v>
      </c>
      <c r="F39" s="258">
        <f>+SUM(F40:F43)</f>
        <v>2826.4278802537465</v>
      </c>
      <c r="G39" s="258">
        <f>+SUM(G40:G43)</f>
        <v>2879.6859427532208</v>
      </c>
      <c r="H39" s="130">
        <v>2013</v>
      </c>
      <c r="I39" s="187"/>
      <c r="J39" s="74"/>
      <c r="K39" s="244"/>
    </row>
    <row r="40" spans="2:11">
      <c r="B40" s="129" t="s">
        <v>18</v>
      </c>
      <c r="C40" s="118" t="s">
        <v>17</v>
      </c>
      <c r="D40" s="257">
        <v>1291.26780881134</v>
      </c>
      <c r="E40" s="258">
        <v>1352.5202561523906</v>
      </c>
      <c r="F40" s="258">
        <v>1419.8115739239736</v>
      </c>
      <c r="G40" s="258">
        <v>1446.5649236449406</v>
      </c>
      <c r="H40" s="130">
        <v>2013</v>
      </c>
      <c r="I40" s="187"/>
      <c r="J40" s="74"/>
      <c r="K40" s="244"/>
    </row>
    <row r="41" spans="2:11">
      <c r="B41" s="129" t="s">
        <v>19</v>
      </c>
      <c r="C41" s="118" t="s">
        <v>17</v>
      </c>
      <c r="D41" s="257">
        <f>(D69*D70)/D28</f>
        <v>1279.2671852173569</v>
      </c>
      <c r="E41" s="258">
        <f>(E69*E70)/E28</f>
        <v>1339.9503722084364</v>
      </c>
      <c r="F41" s="258">
        <f>(F69*F70)/F28</f>
        <v>1406.6163063297731</v>
      </c>
      <c r="G41" s="258">
        <f>(G69*G70)/G28</f>
        <v>1433.1210191082803</v>
      </c>
      <c r="H41" s="130">
        <v>2013</v>
      </c>
      <c r="I41" s="187"/>
      <c r="J41" s="119" t="s">
        <v>155</v>
      </c>
      <c r="K41" s="244"/>
    </row>
    <row r="42" spans="2:11">
      <c r="B42" s="129"/>
      <c r="C42" s="118"/>
      <c r="D42" s="134"/>
      <c r="E42" s="98"/>
      <c r="F42" s="98"/>
      <c r="G42" s="98"/>
      <c r="H42" s="130"/>
      <c r="I42" s="187"/>
      <c r="J42" s="74"/>
      <c r="K42" s="244"/>
    </row>
    <row r="43" spans="2:11">
      <c r="B43" s="129" t="s">
        <v>112</v>
      </c>
      <c r="C43" s="118" t="s">
        <v>17</v>
      </c>
      <c r="D43" s="257">
        <v>0</v>
      </c>
      <c r="E43" s="256">
        <v>0</v>
      </c>
      <c r="F43" s="256">
        <v>0</v>
      </c>
      <c r="G43" s="256">
        <v>0</v>
      </c>
      <c r="H43" s="130">
        <v>2013</v>
      </c>
      <c r="I43" s="187"/>
      <c r="J43" s="119"/>
      <c r="K43" s="244"/>
    </row>
    <row r="44" spans="2:11">
      <c r="B44" s="129"/>
      <c r="C44" s="118"/>
      <c r="D44" s="134"/>
      <c r="E44" s="98"/>
      <c r="F44" s="98"/>
      <c r="G44" s="98"/>
      <c r="H44" s="98"/>
      <c r="I44" s="187"/>
      <c r="J44" s="74"/>
      <c r="K44" s="244"/>
    </row>
    <row r="45" spans="2:11">
      <c r="B45" s="128" t="s">
        <v>113</v>
      </c>
      <c r="C45" s="118"/>
      <c r="D45" s="134"/>
      <c r="E45" s="98"/>
      <c r="F45" s="98"/>
      <c r="G45" s="98"/>
      <c r="H45" s="127"/>
      <c r="I45" s="187"/>
      <c r="J45" s="74"/>
      <c r="K45" s="244"/>
    </row>
    <row r="46" spans="2:11">
      <c r="B46" s="123" t="s">
        <v>30</v>
      </c>
      <c r="C46" s="118"/>
      <c r="D46" s="134"/>
      <c r="E46" s="98"/>
      <c r="F46" s="98"/>
      <c r="G46" s="98"/>
      <c r="H46" s="126"/>
      <c r="I46" s="187"/>
      <c r="J46" s="74"/>
      <c r="K46" s="244"/>
    </row>
    <row r="47" spans="2:11">
      <c r="B47" s="78" t="s">
        <v>20</v>
      </c>
      <c r="C47" s="118" t="s">
        <v>174</v>
      </c>
      <c r="D47" s="255"/>
      <c r="E47" s="121"/>
      <c r="F47" s="121"/>
      <c r="G47" s="121"/>
      <c r="H47" s="126"/>
      <c r="I47" s="187"/>
      <c r="J47" s="119" t="s">
        <v>114</v>
      </c>
      <c r="K47" s="244"/>
    </row>
    <row r="48" spans="2:11">
      <c r="B48" s="78" t="s">
        <v>21</v>
      </c>
      <c r="C48" s="118" t="s">
        <v>174</v>
      </c>
      <c r="D48" s="124">
        <f t="shared" ref="D48:G52" si="0">D79/D$76</f>
        <v>4.8888888888888898E-2</v>
      </c>
      <c r="E48" s="124">
        <f t="shared" si="0"/>
        <v>2.4583333333333336E-2</v>
      </c>
      <c r="F48" s="124">
        <f t="shared" si="0"/>
        <v>2.8611111111111115E-2</v>
      </c>
      <c r="G48" s="124">
        <f t="shared" si="0"/>
        <v>3.2222222222222222E-2</v>
      </c>
      <c r="H48" s="120"/>
      <c r="I48" s="187"/>
      <c r="J48" s="74"/>
      <c r="K48" s="244"/>
    </row>
    <row r="49" spans="2:11">
      <c r="B49" s="78" t="s">
        <v>22</v>
      </c>
      <c r="C49" s="118" t="s">
        <v>174</v>
      </c>
      <c r="D49" s="124">
        <f t="shared" si="0"/>
        <v>3.3862691824031407E-3</v>
      </c>
      <c r="E49" s="124">
        <f t="shared" si="0"/>
        <v>3.3862691824031407E-3</v>
      </c>
      <c r="F49" s="124">
        <f t="shared" si="0"/>
        <v>3.3862691824031411E-3</v>
      </c>
      <c r="G49" s="124">
        <f t="shared" si="0"/>
        <v>3.3862691824031407E-3</v>
      </c>
      <c r="H49" s="98"/>
      <c r="I49" s="187"/>
      <c r="J49" s="74"/>
      <c r="K49" s="244"/>
    </row>
    <row r="50" spans="2:11">
      <c r="B50" s="78" t="s">
        <v>23</v>
      </c>
      <c r="C50" s="118" t="s">
        <v>174</v>
      </c>
      <c r="D50" s="124">
        <f t="shared" si="0"/>
        <v>4.6837408023728819E-4</v>
      </c>
      <c r="E50" s="124">
        <f t="shared" si="0"/>
        <v>4.6837408023728819E-4</v>
      </c>
      <c r="F50" s="124">
        <f t="shared" si="0"/>
        <v>4.6837408023728819E-4</v>
      </c>
      <c r="G50" s="124">
        <f t="shared" si="0"/>
        <v>4.6837408023728819E-4</v>
      </c>
      <c r="H50" s="125"/>
      <c r="I50" s="187"/>
      <c r="J50" s="74"/>
      <c r="K50" s="244"/>
    </row>
    <row r="51" spans="2:11">
      <c r="B51" s="78" t="s">
        <v>115</v>
      </c>
      <c r="C51" s="118" t="s">
        <v>174</v>
      </c>
      <c r="D51" s="124">
        <f t="shared" si="0"/>
        <v>0.34889924166526276</v>
      </c>
      <c r="E51" s="124">
        <f t="shared" si="0"/>
        <v>3.6446302941253436E-2</v>
      </c>
      <c r="F51" s="124">
        <f t="shared" si="0"/>
        <v>3.6446302941253436E-2</v>
      </c>
      <c r="G51" s="124">
        <f t="shared" si="0"/>
        <v>3.6446302941253436E-2</v>
      </c>
      <c r="H51" s="98"/>
      <c r="I51" s="187"/>
      <c r="J51" s="74"/>
      <c r="K51" s="244"/>
    </row>
    <row r="52" spans="2:11">
      <c r="B52" s="78" t="s">
        <v>24</v>
      </c>
      <c r="C52" s="118" t="s">
        <v>174</v>
      </c>
      <c r="D52" s="124">
        <f t="shared" si="0"/>
        <v>3.2979813853448933E-3</v>
      </c>
      <c r="E52" s="124">
        <f t="shared" si="0"/>
        <v>3.6064433411829615E-4</v>
      </c>
      <c r="F52" s="124">
        <f t="shared" si="0"/>
        <v>3.6064433411829615E-4</v>
      </c>
      <c r="G52" s="124">
        <f t="shared" si="0"/>
        <v>3.6064433411829615E-4</v>
      </c>
      <c r="H52" s="98"/>
      <c r="I52" s="187"/>
      <c r="J52" s="74"/>
      <c r="K52" s="244"/>
    </row>
    <row r="53" spans="2:11">
      <c r="B53" s="78"/>
      <c r="C53" s="118"/>
      <c r="D53" s="122"/>
      <c r="E53" s="77"/>
      <c r="F53" s="77"/>
      <c r="G53" s="77"/>
      <c r="H53" s="98"/>
      <c r="I53" s="187"/>
      <c r="J53" s="74"/>
      <c r="K53" s="244"/>
    </row>
    <row r="54" spans="2:11">
      <c r="B54" s="123" t="s">
        <v>31</v>
      </c>
      <c r="C54" s="118"/>
      <c r="D54" s="134"/>
      <c r="E54" s="98"/>
      <c r="F54" s="98"/>
      <c r="G54" s="98"/>
      <c r="H54" s="120"/>
      <c r="I54" s="187"/>
      <c r="J54" s="74"/>
      <c r="K54" s="244"/>
    </row>
    <row r="55" spans="2:11">
      <c r="B55" s="78" t="s">
        <v>20</v>
      </c>
      <c r="C55" s="118" t="s">
        <v>174</v>
      </c>
      <c r="D55" s="255"/>
      <c r="E55" s="121"/>
      <c r="F55" s="121"/>
      <c r="G55" s="121"/>
      <c r="H55" s="305"/>
      <c r="I55" s="187"/>
      <c r="J55" s="119" t="s">
        <v>114</v>
      </c>
      <c r="K55" s="244"/>
    </row>
    <row r="56" spans="2:11">
      <c r="B56" s="78" t="s">
        <v>21</v>
      </c>
      <c r="C56" s="118" t="s">
        <v>174</v>
      </c>
      <c r="D56" s="117">
        <f t="shared" ref="D56:G60" si="1">D48</f>
        <v>4.8888888888888898E-2</v>
      </c>
      <c r="E56" s="117">
        <f t="shared" si="1"/>
        <v>2.4583333333333336E-2</v>
      </c>
      <c r="F56" s="117">
        <f t="shared" si="1"/>
        <v>2.8611111111111115E-2</v>
      </c>
      <c r="G56" s="117">
        <f t="shared" si="1"/>
        <v>3.2222222222222222E-2</v>
      </c>
      <c r="H56" s="117"/>
      <c r="I56" s="187"/>
      <c r="J56" s="74"/>
      <c r="K56" s="244"/>
    </row>
    <row r="57" spans="2:11">
      <c r="B57" s="78" t="s">
        <v>22</v>
      </c>
      <c r="C57" s="118" t="s">
        <v>174</v>
      </c>
      <c r="D57" s="117">
        <f t="shared" si="1"/>
        <v>3.3862691824031407E-3</v>
      </c>
      <c r="E57" s="117">
        <f t="shared" si="1"/>
        <v>3.3862691824031407E-3</v>
      </c>
      <c r="F57" s="117">
        <f t="shared" si="1"/>
        <v>3.3862691824031411E-3</v>
      </c>
      <c r="G57" s="117">
        <f t="shared" si="1"/>
        <v>3.3862691824031407E-3</v>
      </c>
      <c r="H57" s="117"/>
      <c r="I57" s="187"/>
      <c r="J57" s="74"/>
      <c r="K57" s="244"/>
    </row>
    <row r="58" spans="2:11">
      <c r="B58" s="78" t="s">
        <v>23</v>
      </c>
      <c r="C58" s="118" t="s">
        <v>174</v>
      </c>
      <c r="D58" s="117">
        <f t="shared" si="1"/>
        <v>4.6837408023728819E-4</v>
      </c>
      <c r="E58" s="117">
        <f t="shared" si="1"/>
        <v>4.6837408023728819E-4</v>
      </c>
      <c r="F58" s="117">
        <f t="shared" si="1"/>
        <v>4.6837408023728819E-4</v>
      </c>
      <c r="G58" s="117">
        <f t="shared" si="1"/>
        <v>4.6837408023728819E-4</v>
      </c>
      <c r="H58" s="117"/>
      <c r="I58" s="187"/>
      <c r="J58" s="74"/>
      <c r="K58" s="244"/>
    </row>
    <row r="59" spans="2:11">
      <c r="B59" s="78" t="s">
        <v>115</v>
      </c>
      <c r="C59" s="118" t="s">
        <v>174</v>
      </c>
      <c r="D59" s="117">
        <f t="shared" si="1"/>
        <v>0.34889924166526276</v>
      </c>
      <c r="E59" s="117">
        <f t="shared" si="1"/>
        <v>3.6446302941253436E-2</v>
      </c>
      <c r="F59" s="117">
        <f t="shared" si="1"/>
        <v>3.6446302941253436E-2</v>
      </c>
      <c r="G59" s="117">
        <f t="shared" si="1"/>
        <v>3.6446302941253436E-2</v>
      </c>
      <c r="H59" s="117"/>
      <c r="I59" s="187"/>
      <c r="J59" s="74"/>
      <c r="K59" s="244"/>
    </row>
    <row r="60" spans="2:11">
      <c r="B60" s="78" t="s">
        <v>24</v>
      </c>
      <c r="C60" s="118" t="s">
        <v>174</v>
      </c>
      <c r="D60" s="117">
        <f t="shared" si="1"/>
        <v>3.2979813853448933E-3</v>
      </c>
      <c r="E60" s="117">
        <f t="shared" si="1"/>
        <v>3.6064433411829615E-4</v>
      </c>
      <c r="F60" s="117">
        <f t="shared" si="1"/>
        <v>3.6064433411829615E-4</v>
      </c>
      <c r="G60" s="117">
        <f t="shared" si="1"/>
        <v>3.6064433411829615E-4</v>
      </c>
      <c r="H60" s="117"/>
      <c r="I60" s="187"/>
      <c r="J60" s="74"/>
      <c r="K60" s="244"/>
    </row>
    <row r="61" spans="2:11" ht="14.4" thickBot="1">
      <c r="B61" s="115"/>
      <c r="C61" s="114"/>
      <c r="D61" s="113"/>
      <c r="E61" s="72"/>
      <c r="F61" s="72"/>
      <c r="G61" s="72"/>
      <c r="H61" s="72"/>
      <c r="I61" s="193"/>
      <c r="J61" s="90"/>
      <c r="K61" s="244"/>
    </row>
    <row r="62" spans="2:11">
      <c r="K62" s="244"/>
    </row>
    <row r="63" spans="2:11">
      <c r="K63" s="244"/>
    </row>
    <row r="64" spans="2:11" ht="16.2" thickBot="1">
      <c r="B64" s="89" t="s">
        <v>116</v>
      </c>
      <c r="K64" s="244"/>
    </row>
    <row r="65" spans="1:11">
      <c r="B65" s="88"/>
      <c r="C65" s="110"/>
      <c r="D65" s="85"/>
      <c r="E65" s="85"/>
      <c r="F65" s="85"/>
      <c r="G65" s="85"/>
      <c r="H65" s="85"/>
      <c r="I65" s="85"/>
      <c r="J65" s="83"/>
      <c r="K65" s="244"/>
    </row>
    <row r="66" spans="1:11">
      <c r="B66" s="109"/>
      <c r="C66" s="108" t="s">
        <v>98</v>
      </c>
      <c r="D66" s="107">
        <v>2015</v>
      </c>
      <c r="E66" s="106">
        <v>2020</v>
      </c>
      <c r="F66" s="106">
        <v>2035</v>
      </c>
      <c r="G66" s="106">
        <v>2050</v>
      </c>
      <c r="H66" s="106"/>
      <c r="I66" s="152"/>
      <c r="J66" s="104"/>
      <c r="K66" s="244"/>
    </row>
    <row r="67" spans="1:11">
      <c r="B67" s="78" t="s">
        <v>25</v>
      </c>
      <c r="C67" s="95" t="s">
        <v>151</v>
      </c>
      <c r="D67" s="304">
        <f>'EU Lastbil'!D67</f>
        <v>2.5327000000000002</v>
      </c>
      <c r="E67" s="304">
        <f>'EU Lastbil'!E67</f>
        <v>2.4180000000000001</v>
      </c>
      <c r="F67" s="304">
        <f>'EU Lastbil'!F67</f>
        <v>2.3034000000000003</v>
      </c>
      <c r="G67" s="304">
        <f>'EU Lastbil'!G67</f>
        <v>2.2607999999999997</v>
      </c>
      <c r="H67" s="254"/>
      <c r="I67" s="77" t="s">
        <v>643</v>
      </c>
      <c r="J67" s="74"/>
      <c r="K67" s="244"/>
    </row>
    <row r="68" spans="1:11">
      <c r="B68" s="78" t="s">
        <v>175</v>
      </c>
      <c r="C68" s="95" t="s">
        <v>26</v>
      </c>
      <c r="D68" s="303">
        <f>D76/'EU Lastbil'!D75-1</f>
        <v>0.1875</v>
      </c>
      <c r="E68" s="303">
        <f>E76/'EU Lastbil'!E75-1</f>
        <v>0.12994350282485878</v>
      </c>
      <c r="F68" s="303">
        <f>F76/'EU Lastbil'!F75-1</f>
        <v>6.7961165048543881E-2</v>
      </c>
      <c r="G68" s="303">
        <f>G76/'EU Lastbil'!G75-1</f>
        <v>3.4482758620689502E-2</v>
      </c>
      <c r="H68" s="249"/>
      <c r="I68" s="77"/>
      <c r="J68" s="119"/>
      <c r="K68" s="244"/>
    </row>
    <row r="69" spans="1:11">
      <c r="B69" s="78" t="s">
        <v>120</v>
      </c>
      <c r="C69" s="95" t="s">
        <v>121</v>
      </c>
      <c r="D69" s="253">
        <v>50000</v>
      </c>
      <c r="E69" s="253">
        <v>50000</v>
      </c>
      <c r="F69" s="253">
        <v>50000</v>
      </c>
      <c r="G69" s="253">
        <v>50000</v>
      </c>
      <c r="H69" s="253"/>
      <c r="I69" s="77" t="s">
        <v>645</v>
      </c>
      <c r="J69" s="74"/>
      <c r="K69" s="244"/>
    </row>
    <row r="70" spans="1:11">
      <c r="B70" s="78" t="s">
        <v>123</v>
      </c>
      <c r="C70" s="202" t="s">
        <v>36</v>
      </c>
      <c r="D70" s="252">
        <f>162000/D69</f>
        <v>3.24</v>
      </c>
      <c r="E70" s="252">
        <f>162000/E69</f>
        <v>3.24</v>
      </c>
      <c r="F70" s="252">
        <f>162000/F69</f>
        <v>3.24</v>
      </c>
      <c r="G70" s="252">
        <f>162000/G69</f>
        <v>3.24</v>
      </c>
      <c r="H70" s="252"/>
      <c r="I70" s="77" t="s">
        <v>645</v>
      </c>
      <c r="J70" s="119"/>
      <c r="K70" s="244"/>
    </row>
    <row r="71" spans="1:11">
      <c r="B71" s="165" t="s">
        <v>162</v>
      </c>
      <c r="C71" s="202" t="s">
        <v>177</v>
      </c>
      <c r="D71" s="250">
        <v>2.4928337347494769</v>
      </c>
      <c r="E71" s="250">
        <v>2.8885111662531018</v>
      </c>
      <c r="F71" s="250">
        <v>3.5290266562472863</v>
      </c>
      <c r="G71" s="250">
        <v>4.0493276716206656</v>
      </c>
      <c r="H71" s="250"/>
      <c r="I71" s="77"/>
      <c r="J71" s="74"/>
      <c r="K71" s="244"/>
    </row>
    <row r="72" spans="1:11">
      <c r="B72" s="165" t="s">
        <v>164</v>
      </c>
      <c r="C72" s="202" t="s">
        <v>26</v>
      </c>
      <c r="D72" s="302">
        <v>0.16</v>
      </c>
      <c r="E72" s="302">
        <v>0.17699999999999999</v>
      </c>
      <c r="F72" s="302">
        <v>0.20599999999999999</v>
      </c>
      <c r="G72" s="302">
        <v>0.23200000000000001</v>
      </c>
      <c r="H72" s="302"/>
      <c r="I72" s="79" t="s">
        <v>643</v>
      </c>
      <c r="J72" s="119"/>
      <c r="K72" s="244"/>
    </row>
    <row r="73" spans="1:11" ht="14.4" thickBot="1">
      <c r="B73" s="248"/>
      <c r="C73" s="247"/>
      <c r="D73" s="246"/>
      <c r="E73" s="246"/>
      <c r="F73" s="246"/>
      <c r="G73" s="246"/>
      <c r="H73" s="246"/>
      <c r="I73" s="246"/>
      <c r="J73" s="90"/>
      <c r="K73" s="244"/>
    </row>
    <row r="74" spans="1:11">
      <c r="D74" s="192"/>
      <c r="E74" s="192"/>
      <c r="F74" s="192"/>
      <c r="G74" s="192"/>
      <c r="H74" s="192"/>
      <c r="I74" s="192"/>
      <c r="K74" s="244"/>
    </row>
    <row r="75" spans="1:11" ht="16.2" thickBot="1">
      <c r="B75" s="89" t="s">
        <v>125</v>
      </c>
      <c r="K75" s="244"/>
    </row>
    <row r="76" spans="1:11">
      <c r="A76" s="65" t="s">
        <v>182</v>
      </c>
      <c r="B76" s="88" t="s">
        <v>149</v>
      </c>
      <c r="C76" s="85"/>
      <c r="D76" s="182">
        <f>D67/D72</f>
        <v>15.829375000000001</v>
      </c>
      <c r="E76" s="182">
        <f>E67/E72</f>
        <v>13.661016949152543</v>
      </c>
      <c r="F76" s="182">
        <f>F67/F72</f>
        <v>11.181553398058254</v>
      </c>
      <c r="G76" s="182">
        <f>G67/G72</f>
        <v>9.7448275862068954</v>
      </c>
      <c r="H76" s="182"/>
      <c r="I76" s="79"/>
      <c r="J76" s="83"/>
      <c r="K76" s="244"/>
    </row>
    <row r="77" spans="1:11">
      <c r="B77" s="78"/>
      <c r="C77" s="77"/>
      <c r="D77" s="245"/>
      <c r="E77" s="245"/>
      <c r="F77" s="245"/>
      <c r="G77" s="245"/>
      <c r="H77" s="245"/>
      <c r="I77" s="77"/>
      <c r="J77" s="74"/>
      <c r="K77" s="244"/>
    </row>
    <row r="78" spans="1:11">
      <c r="B78" s="78" t="s">
        <v>20</v>
      </c>
      <c r="C78" s="77" t="s">
        <v>27</v>
      </c>
      <c r="D78" s="301"/>
      <c r="E78" s="301"/>
      <c r="F78" s="301"/>
      <c r="G78" s="301"/>
      <c r="H78" s="265"/>
      <c r="I78" s="77"/>
      <c r="J78" s="74"/>
      <c r="K78" s="244"/>
    </row>
    <row r="79" spans="1:11">
      <c r="B79" s="78" t="s">
        <v>21</v>
      </c>
      <c r="C79" s="77" t="s">
        <v>27</v>
      </c>
      <c r="D79" s="300">
        <f>D89/1000*D$67</f>
        <v>0.77388055555555568</v>
      </c>
      <c r="E79" s="300">
        <f>E89/1000*E$67</f>
        <v>0.33583333333333337</v>
      </c>
      <c r="F79" s="300">
        <f>F89/1000*F$67</f>
        <v>0.31991666666666674</v>
      </c>
      <c r="G79" s="300">
        <f>G89/1000*G$67</f>
        <v>0.31399999999999995</v>
      </c>
      <c r="H79" s="300"/>
      <c r="I79" s="77"/>
      <c r="J79" s="74" t="s">
        <v>178</v>
      </c>
      <c r="K79" s="244"/>
    </row>
    <row r="80" spans="1:11">
      <c r="B80" s="78" t="s">
        <v>22</v>
      </c>
      <c r="C80" s="77" t="s">
        <v>27</v>
      </c>
      <c r="D80" s="265">
        <f t="shared" ref="D80:G83" si="2">D90/1000*D$76</f>
        <v>5.3602524739202718E-2</v>
      </c>
      <c r="E80" s="265">
        <f t="shared" si="2"/>
        <v>4.6259880695202232E-2</v>
      </c>
      <c r="F80" s="265">
        <f t="shared" si="2"/>
        <v>3.7863749683239786E-2</v>
      </c>
      <c r="G80" s="265">
        <f t="shared" si="2"/>
        <v>3.2998609343004394E-2</v>
      </c>
      <c r="H80" s="265"/>
      <c r="I80" s="77"/>
      <c r="J80" s="74"/>
      <c r="K80" s="244"/>
    </row>
    <row r="81" spans="2:11">
      <c r="B81" s="78" t="s">
        <v>23</v>
      </c>
      <c r="C81" s="77" t="s">
        <v>27</v>
      </c>
      <c r="D81" s="265">
        <f t="shared" si="2"/>
        <v>7.4140689563561239E-3</v>
      </c>
      <c r="E81" s="265">
        <f t="shared" si="2"/>
        <v>6.3984662486653273E-3</v>
      </c>
      <c r="F81" s="265">
        <f t="shared" si="2"/>
        <v>5.237149788439659E-3</v>
      </c>
      <c r="G81" s="265">
        <f t="shared" si="2"/>
        <v>4.5642246577606077E-3</v>
      </c>
      <c r="H81" s="265"/>
      <c r="I81" s="77"/>
      <c r="J81" s="74"/>
      <c r="K81" s="244"/>
    </row>
    <row r="82" spans="2:11">
      <c r="B82" s="165" t="s">
        <v>37</v>
      </c>
      <c r="C82" s="77" t="s">
        <v>27</v>
      </c>
      <c r="D82" s="265">
        <f t="shared" si="2"/>
        <v>5.5228569335350688</v>
      </c>
      <c r="E82" s="265">
        <f t="shared" si="2"/>
        <v>0.49789356221441139</v>
      </c>
      <c r="F82" s="265">
        <f t="shared" si="2"/>
        <v>0.4075262824994329</v>
      </c>
      <c r="G82" s="265">
        <f t="shared" si="2"/>
        <v>0.35516293831717999</v>
      </c>
      <c r="H82" s="265"/>
      <c r="I82" s="77"/>
      <c r="J82" s="119"/>
      <c r="K82" s="244"/>
    </row>
    <row r="83" spans="2:11">
      <c r="B83" s="78" t="s">
        <v>24</v>
      </c>
      <c r="C83" s="77" t="s">
        <v>27</v>
      </c>
      <c r="D83" s="265">
        <f t="shared" si="2"/>
        <v>5.220498409164382E-2</v>
      </c>
      <c r="E83" s="265">
        <f t="shared" si="2"/>
        <v>4.9267683610058769E-3</v>
      </c>
      <c r="F83" s="265">
        <f t="shared" si="2"/>
        <v>4.0325638796508906E-3</v>
      </c>
      <c r="G83" s="265">
        <f t="shared" si="2"/>
        <v>3.514416855925189E-3</v>
      </c>
      <c r="H83" s="265"/>
      <c r="I83" s="77"/>
      <c r="J83" s="119"/>
    </row>
    <row r="84" spans="2:11" ht="14.4" thickBot="1">
      <c r="B84" s="73"/>
      <c r="C84" s="72"/>
      <c r="D84" s="242"/>
      <c r="E84" s="242"/>
      <c r="F84" s="242"/>
      <c r="G84" s="242"/>
      <c r="H84" s="242"/>
      <c r="I84" s="72"/>
      <c r="J84" s="90"/>
    </row>
    <row r="86" spans="2:11" ht="14.4" thickBot="1">
      <c r="B86" s="154" t="s">
        <v>171</v>
      </c>
    </row>
    <row r="87" spans="2:11">
      <c r="B87" s="88"/>
      <c r="C87" s="85"/>
      <c r="D87" s="241">
        <v>2015</v>
      </c>
      <c r="E87" s="241">
        <v>2020</v>
      </c>
      <c r="F87" s="241">
        <v>2035</v>
      </c>
      <c r="G87" s="241"/>
      <c r="H87" s="241"/>
      <c r="I87" s="85"/>
      <c r="J87" s="83"/>
    </row>
    <row r="88" spans="2:11">
      <c r="B88" s="240" t="s">
        <v>20</v>
      </c>
      <c r="C88" s="135" t="s">
        <v>172</v>
      </c>
      <c r="D88" s="299"/>
      <c r="E88" s="299"/>
      <c r="F88" s="299"/>
      <c r="G88" s="299"/>
      <c r="H88" s="238"/>
      <c r="I88" s="77"/>
      <c r="J88" s="74"/>
    </row>
    <row r="89" spans="2:11">
      <c r="B89" s="240" t="s">
        <v>21</v>
      </c>
      <c r="C89" s="77" t="s">
        <v>172</v>
      </c>
      <c r="D89" s="298">
        <f>'EU Lastbil Gas'!$G$101</f>
        <v>305.5555555555556</v>
      </c>
      <c r="E89" s="298">
        <f>'EU Lastbil Gas'!$I$101</f>
        <v>138.88888888888889</v>
      </c>
      <c r="F89" s="298">
        <f>'EU Lastbil Gas'!$I$101</f>
        <v>138.88888888888889</v>
      </c>
      <c r="G89" s="298">
        <f>F89</f>
        <v>138.88888888888889</v>
      </c>
      <c r="H89" s="298"/>
      <c r="I89" s="77" t="s">
        <v>646</v>
      </c>
      <c r="J89" s="119" t="s">
        <v>179</v>
      </c>
    </row>
    <row r="90" spans="2:11">
      <c r="B90" s="240" t="s">
        <v>22</v>
      </c>
      <c r="C90" s="77" t="s">
        <v>172</v>
      </c>
      <c r="D90" s="239">
        <f>'EU Lastbil'!D89</f>
        <v>3.3862691824031406</v>
      </c>
      <c r="E90" s="239">
        <f>'EU Lastbil'!E89</f>
        <v>3.3862691824031406</v>
      </c>
      <c r="F90" s="239">
        <f>'EU Lastbil'!F89</f>
        <v>3.3862691824031406</v>
      </c>
      <c r="G90" s="239">
        <f>'EU Lastbil'!G89</f>
        <v>3.3862691824031406</v>
      </c>
      <c r="H90" s="239"/>
      <c r="I90" s="77"/>
      <c r="J90" s="74"/>
    </row>
    <row r="91" spans="2:11">
      <c r="B91" s="240" t="s">
        <v>23</v>
      </c>
      <c r="C91" s="77" t="s">
        <v>172</v>
      </c>
      <c r="D91" s="239">
        <f>'EU Lastbil'!D90</f>
        <v>0.46837408023728822</v>
      </c>
      <c r="E91" s="239">
        <f>'EU Lastbil'!E90</f>
        <v>0.46837408023728822</v>
      </c>
      <c r="F91" s="239">
        <f>'EU Lastbil'!F90</f>
        <v>0.46837408023728822</v>
      </c>
      <c r="G91" s="239">
        <f>'EU Lastbil'!G90</f>
        <v>0.46837408023728822</v>
      </c>
      <c r="H91" s="239"/>
      <c r="I91" s="77"/>
      <c r="J91" s="74"/>
    </row>
    <row r="92" spans="2:11">
      <c r="B92" s="133" t="s">
        <v>37</v>
      </c>
      <c r="C92" s="77" t="s">
        <v>172</v>
      </c>
      <c r="D92" s="238">
        <f>'EU Lastbil'!D91</f>
        <v>348.89924166526276</v>
      </c>
      <c r="E92" s="238">
        <f>'EU Lastbil'!E91</f>
        <v>36.446302941253435</v>
      </c>
      <c r="F92" s="238">
        <f>'EU Lastbil'!F91</f>
        <v>36.446302941253435</v>
      </c>
      <c r="G92" s="238">
        <f>'EU Lastbil'!G91</f>
        <v>36.446302941253435</v>
      </c>
      <c r="H92" s="238"/>
      <c r="I92" s="77"/>
      <c r="J92" s="74"/>
    </row>
    <row r="93" spans="2:11" ht="14.4" thickBot="1">
      <c r="B93" s="237" t="s">
        <v>24</v>
      </c>
      <c r="C93" s="72" t="s">
        <v>172</v>
      </c>
      <c r="D93" s="236">
        <f>'EU Lastbil'!D92</f>
        <v>3.2979813853448934</v>
      </c>
      <c r="E93" s="236">
        <f>'EU Lastbil'!E92</f>
        <v>0.36064433411829616</v>
      </c>
      <c r="F93" s="236">
        <f>'EU Lastbil'!F92</f>
        <v>0.36064433411829616</v>
      </c>
      <c r="G93" s="236">
        <f>'EU Lastbil'!G92</f>
        <v>0.36064433411829616</v>
      </c>
      <c r="H93" s="236"/>
      <c r="I93" s="72"/>
      <c r="J93" s="90"/>
    </row>
    <row r="95" spans="2:11">
      <c r="B95" s="297" t="s">
        <v>293</v>
      </c>
      <c r="C95" s="296"/>
      <c r="D95" s="296"/>
      <c r="E95" s="296"/>
      <c r="F95" s="296"/>
      <c r="G95" s="296"/>
      <c r="H95" s="296"/>
      <c r="I95" s="296"/>
      <c r="J95" s="221"/>
    </row>
    <row r="96" spans="2:11">
      <c r="B96" s="295"/>
      <c r="C96" s="295"/>
      <c r="D96" s="294" t="s">
        <v>292</v>
      </c>
      <c r="E96" s="294" t="s">
        <v>291</v>
      </c>
      <c r="F96" s="294" t="s">
        <v>290</v>
      </c>
      <c r="G96" s="294" t="s">
        <v>289</v>
      </c>
      <c r="H96" s="294" t="s">
        <v>288</v>
      </c>
      <c r="I96" s="294" t="s">
        <v>287</v>
      </c>
      <c r="J96" s="294" t="s">
        <v>286</v>
      </c>
    </row>
    <row r="97" spans="2:10">
      <c r="B97" s="285" t="s">
        <v>37</v>
      </c>
      <c r="C97" s="285" t="s">
        <v>284</v>
      </c>
      <c r="D97" s="293"/>
      <c r="E97" s="293"/>
      <c r="F97" s="292">
        <v>5</v>
      </c>
      <c r="G97" s="292">
        <v>3.5</v>
      </c>
      <c r="H97" s="292">
        <v>2</v>
      </c>
      <c r="I97" s="292">
        <v>0.4</v>
      </c>
      <c r="J97" s="292">
        <v>2</v>
      </c>
    </row>
    <row r="98" spans="2:10">
      <c r="B98" s="282" t="s">
        <v>21</v>
      </c>
      <c r="C98" s="282" t="s">
        <v>184</v>
      </c>
      <c r="D98" s="291"/>
      <c r="E98" s="291"/>
      <c r="F98" s="290">
        <v>1.6</v>
      </c>
      <c r="G98" s="290">
        <v>1.1000000000000001</v>
      </c>
      <c r="H98" s="290">
        <v>1.1000000000000001</v>
      </c>
      <c r="I98" s="289">
        <v>0.5</v>
      </c>
      <c r="J98" s="288">
        <v>0.65</v>
      </c>
    </row>
    <row r="99" spans="2:10">
      <c r="B99" s="279" t="s">
        <v>285</v>
      </c>
      <c r="C99" s="279" t="s">
        <v>284</v>
      </c>
      <c r="D99" s="287"/>
      <c r="E99" s="287"/>
      <c r="F99" s="286">
        <v>0.15</v>
      </c>
      <c r="G99" s="286">
        <v>0.03</v>
      </c>
      <c r="H99" s="286">
        <v>0.01</v>
      </c>
      <c r="I99" s="286">
        <v>0.01</v>
      </c>
      <c r="J99" s="286">
        <v>0.02</v>
      </c>
    </row>
    <row r="100" spans="2:10">
      <c r="B100" s="285" t="str">
        <f>B97</f>
        <v>NOx</v>
      </c>
      <c r="C100" s="285" t="s">
        <v>172</v>
      </c>
      <c r="D100" s="284"/>
      <c r="E100" s="284"/>
      <c r="F100" s="283">
        <v>1388.8888888888889</v>
      </c>
      <c r="G100" s="283">
        <v>972.22222222222217</v>
      </c>
      <c r="H100" s="283">
        <v>555.55555555555554</v>
      </c>
      <c r="I100" s="283">
        <v>111.11111111111111</v>
      </c>
      <c r="J100" s="283">
        <v>555.55555555555554</v>
      </c>
    </row>
    <row r="101" spans="2:10">
      <c r="B101" s="282" t="s">
        <v>21</v>
      </c>
      <c r="C101" s="282" t="s">
        <v>172</v>
      </c>
      <c r="D101" s="281"/>
      <c r="E101" s="281"/>
      <c r="F101" s="280">
        <v>444.44444444444446</v>
      </c>
      <c r="G101" s="280">
        <v>305.5555555555556</v>
      </c>
      <c r="H101" s="280">
        <v>305.5555555555556</v>
      </c>
      <c r="I101" s="280">
        <v>138.88888888888889</v>
      </c>
      <c r="J101" s="280">
        <v>180.55555555555557</v>
      </c>
    </row>
    <row r="102" spans="2:10">
      <c r="B102" s="279" t="str">
        <f>B99</f>
        <v>PM</v>
      </c>
      <c r="C102" s="279" t="s">
        <v>172</v>
      </c>
      <c r="D102" s="278"/>
      <c r="E102" s="278"/>
      <c r="F102" s="277">
        <v>41.666666666666664</v>
      </c>
      <c r="G102" s="276">
        <v>8.3333333333333321</v>
      </c>
      <c r="H102" s="276">
        <v>2.7777777777777777</v>
      </c>
      <c r="I102" s="276">
        <v>2.7777777777777777</v>
      </c>
      <c r="J102" s="276">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'C:\Users\B003920\Desktop\[Kopi af alternativ_drivmiddelmodel_3.0_2.xlsm]Sheet1'!#REF!</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E1034-E05F-4F67-BDEA-F165FEE7D50E}">
  <dimension ref="B1:AH127"/>
  <sheetViews>
    <sheetView zoomScale="90" zoomScaleNormal="90" workbookViewId="0">
      <selection activeCell="D10" sqref="D10"/>
    </sheetView>
  </sheetViews>
  <sheetFormatPr defaultColWidth="9.33203125" defaultRowHeight="13.2"/>
  <cols>
    <col min="1" max="1" width="6.33203125" style="570" customWidth="1"/>
    <col min="2" max="2" width="18.44140625" style="570" customWidth="1"/>
    <col min="3" max="3" width="16.6640625" style="570" customWidth="1"/>
    <col min="4" max="4" width="75.5546875" style="570" bestFit="1" customWidth="1"/>
    <col min="5" max="5" width="51.33203125" style="570" customWidth="1"/>
    <col min="6" max="6" width="10" style="570" customWidth="1"/>
    <col min="7" max="7" width="51.33203125" style="570" customWidth="1"/>
    <col min="8" max="8" width="13.33203125" style="570" customWidth="1"/>
    <col min="9" max="9" width="18" style="570" customWidth="1"/>
    <col min="10" max="10" width="17" style="570" customWidth="1"/>
    <col min="11" max="11" width="12.5546875" style="570" customWidth="1"/>
    <col min="12" max="12" width="11.44140625" style="570" customWidth="1"/>
    <col min="13" max="13" width="12.44140625" style="570" customWidth="1"/>
    <col min="14" max="14" width="13.33203125" style="570" customWidth="1"/>
    <col min="15" max="15" width="9.6640625" style="570" customWidth="1"/>
    <col min="16" max="16" width="10.33203125" style="570" customWidth="1"/>
    <col min="17" max="18" width="10.44140625" style="570" customWidth="1"/>
    <col min="19" max="19" width="11.6640625" style="570" customWidth="1"/>
    <col min="20" max="20" width="10" style="570" customWidth="1"/>
    <col min="21" max="28" width="9.33203125" style="570" customWidth="1"/>
    <col min="29" max="16384" width="9.33203125" style="570"/>
  </cols>
  <sheetData>
    <row r="1" spans="2:31">
      <c r="R1" s="548" t="s">
        <v>1228</v>
      </c>
    </row>
    <row r="2" spans="2:31">
      <c r="R2" s="548"/>
    </row>
    <row r="3" spans="2:31">
      <c r="H3" s="2" t="s">
        <v>1482</v>
      </c>
      <c r="I3" s="2"/>
      <c r="J3" s="2"/>
      <c r="K3" s="2"/>
      <c r="P3" s="1149"/>
      <c r="Q3" s="1149"/>
    </row>
    <row r="4" spans="2:31" ht="27.6">
      <c r="B4" s="1391" t="s">
        <v>1</v>
      </c>
      <c r="C4" s="1367" t="s">
        <v>8</v>
      </c>
      <c r="D4" s="1391" t="s">
        <v>2</v>
      </c>
      <c r="E4" s="1391" t="s">
        <v>3</v>
      </c>
      <c r="F4" s="1391" t="s">
        <v>989</v>
      </c>
      <c r="G4" s="1391" t="s">
        <v>1227</v>
      </c>
      <c r="H4" s="1394" t="s">
        <v>218</v>
      </c>
      <c r="I4" s="1394" t="s">
        <v>1226</v>
      </c>
      <c r="J4" s="1394" t="s">
        <v>1226</v>
      </c>
      <c r="K4" s="1394" t="s">
        <v>1225</v>
      </c>
      <c r="L4" s="1394" t="s">
        <v>1224</v>
      </c>
      <c r="M4" s="1394" t="s">
        <v>1223</v>
      </c>
      <c r="N4" s="1394" t="s">
        <v>1222</v>
      </c>
      <c r="O4" s="1394" t="s">
        <v>10</v>
      </c>
      <c r="P4" s="1396" t="s">
        <v>6</v>
      </c>
      <c r="Q4" s="1395" t="s">
        <v>4</v>
      </c>
      <c r="R4" s="1393" t="s">
        <v>7</v>
      </c>
      <c r="S4" s="1393" t="s">
        <v>1221</v>
      </c>
      <c r="T4" s="1393" t="s">
        <v>1220</v>
      </c>
      <c r="U4" s="1394" t="s">
        <v>1219</v>
      </c>
      <c r="V4" s="1394" t="s">
        <v>5</v>
      </c>
      <c r="W4" s="1393" t="s">
        <v>1218</v>
      </c>
      <c r="X4" s="1393" t="s">
        <v>1217</v>
      </c>
      <c r="Y4" s="1392" t="s">
        <v>984</v>
      </c>
      <c r="Z4" s="1391" t="s">
        <v>1216</v>
      </c>
      <c r="AA4" s="1391" t="s">
        <v>531</v>
      </c>
    </row>
    <row r="5" spans="2:31" ht="41.4" thickBot="1">
      <c r="B5" s="572" t="s">
        <v>1215</v>
      </c>
      <c r="C5" s="20" t="s">
        <v>72</v>
      </c>
      <c r="D5" s="572"/>
      <c r="E5" s="572"/>
      <c r="F5" s="572"/>
      <c r="G5" s="572"/>
      <c r="H5" s="1389" t="s">
        <v>1214</v>
      </c>
      <c r="I5" s="572" t="s">
        <v>1213</v>
      </c>
      <c r="J5" s="572" t="s">
        <v>1213</v>
      </c>
      <c r="K5" s="572" t="s">
        <v>1212</v>
      </c>
      <c r="L5" s="572" t="s">
        <v>1212</v>
      </c>
      <c r="M5" s="572" t="s">
        <v>1002</v>
      </c>
      <c r="N5" s="572" t="s">
        <v>1002</v>
      </c>
      <c r="O5" s="572" t="s">
        <v>14</v>
      </c>
      <c r="P5" s="572" t="s">
        <v>1211</v>
      </c>
      <c r="Q5" s="572" t="s">
        <v>1210</v>
      </c>
      <c r="R5" s="572" t="s">
        <v>1209</v>
      </c>
      <c r="S5" s="572" t="s">
        <v>1207</v>
      </c>
      <c r="T5" s="572" t="s">
        <v>1207</v>
      </c>
      <c r="U5" s="572" t="s">
        <v>1208</v>
      </c>
      <c r="V5" s="572"/>
      <c r="W5" s="572" t="s">
        <v>1207</v>
      </c>
      <c r="X5" s="572" t="s">
        <v>1207</v>
      </c>
      <c r="Y5" s="572" t="s">
        <v>985</v>
      </c>
      <c r="Z5" s="572" t="s">
        <v>90</v>
      </c>
      <c r="AA5" s="572" t="s">
        <v>90</v>
      </c>
      <c r="AC5" s="1390" t="s">
        <v>1206</v>
      </c>
      <c r="AD5" s="1390" t="s">
        <v>1206</v>
      </c>
      <c r="AE5" s="1390" t="s">
        <v>864</v>
      </c>
    </row>
    <row r="6" spans="2:31" ht="24.75" customHeight="1" thickBot="1">
      <c r="B6" s="572" t="s">
        <v>11</v>
      </c>
      <c r="C6" s="572"/>
      <c r="D6" s="572"/>
      <c r="E6" s="572"/>
      <c r="F6" s="572"/>
      <c r="G6" s="572"/>
      <c r="H6" s="1389" t="s">
        <v>1205</v>
      </c>
      <c r="I6" s="572" t="s">
        <v>1204</v>
      </c>
      <c r="J6" s="572" t="s">
        <v>1204</v>
      </c>
      <c r="K6" s="572" t="s">
        <v>1203</v>
      </c>
      <c r="L6" s="572" t="s">
        <v>1203</v>
      </c>
      <c r="M6" s="572" t="s">
        <v>1202</v>
      </c>
      <c r="N6" s="572" t="s">
        <v>1202</v>
      </c>
      <c r="O6" s="572"/>
      <c r="P6" s="572" t="s">
        <v>1201</v>
      </c>
      <c r="Q6" s="572" t="s">
        <v>1200</v>
      </c>
      <c r="R6" s="572" t="s">
        <v>1200</v>
      </c>
      <c r="S6" s="572"/>
      <c r="T6" s="572"/>
      <c r="U6" s="572" t="s">
        <v>1199</v>
      </c>
      <c r="V6" s="572"/>
      <c r="W6" s="572"/>
      <c r="X6" s="572"/>
    </row>
    <row r="7" spans="2:31">
      <c r="B7" s="1248" t="str">
        <f>"TPS"&amp;LEFT(AD7,1)&amp;AE7&amp;RIGHT(E7,1)&amp;MID(G7,3,1)&amp;"N"</f>
        <v>TPSSFOICS1N</v>
      </c>
      <c r="D7" s="555" t="s">
        <v>1185</v>
      </c>
      <c r="E7" s="548" t="s">
        <v>1179</v>
      </c>
      <c r="F7" s="548"/>
      <c r="G7" s="548">
        <v>2010</v>
      </c>
      <c r="H7" s="1362" t="s">
        <v>1175</v>
      </c>
      <c r="I7" s="1362">
        <v>10.68</v>
      </c>
      <c r="J7" s="1362">
        <v>42.83</v>
      </c>
      <c r="K7" s="1362">
        <v>43203</v>
      </c>
      <c r="L7" s="1362">
        <v>21526</v>
      </c>
      <c r="M7" s="1362">
        <v>5.4</v>
      </c>
      <c r="N7" s="1362">
        <v>8.3000000000000007</v>
      </c>
      <c r="O7" s="1362">
        <v>25</v>
      </c>
      <c r="P7" s="1363"/>
      <c r="Q7" s="1363">
        <f>0.035*R7</f>
        <v>761.03230000000019</v>
      </c>
      <c r="R7" s="1362">
        <f>41.026*530</f>
        <v>21743.780000000002</v>
      </c>
      <c r="S7" s="1362"/>
      <c r="T7" s="1362"/>
      <c r="U7" s="1362">
        <v>1E-3</v>
      </c>
      <c r="V7" s="548"/>
      <c r="W7" s="1362"/>
      <c r="AB7" s="1366"/>
      <c r="AD7" s="548" t="s">
        <v>1178</v>
      </c>
      <c r="AE7" s="548" t="s">
        <v>1167</v>
      </c>
    </row>
    <row r="8" spans="2:31">
      <c r="D8" s="555" t="s">
        <v>1197</v>
      </c>
      <c r="E8" s="548"/>
      <c r="F8" s="548"/>
      <c r="G8" s="548">
        <v>2030</v>
      </c>
      <c r="H8" s="1362"/>
      <c r="I8" s="1362">
        <v>10.68</v>
      </c>
      <c r="J8" s="1362">
        <v>42.83</v>
      </c>
      <c r="K8" s="1362">
        <v>43203</v>
      </c>
      <c r="L8" s="1362">
        <v>21526</v>
      </c>
      <c r="M8" s="1362">
        <v>5.4</v>
      </c>
      <c r="N8" s="1362">
        <v>8.3000000000000007</v>
      </c>
      <c r="O8" s="1362">
        <v>25</v>
      </c>
      <c r="P8" s="1363"/>
      <c r="Q8" s="1363">
        <v>722.98068500000011</v>
      </c>
      <c r="R8" s="1362">
        <v>20656.591</v>
      </c>
      <c r="S8" s="1362"/>
      <c r="U8" s="1362">
        <v>1E-3</v>
      </c>
      <c r="V8" s="1362"/>
      <c r="W8" s="1362"/>
      <c r="AB8" s="1366"/>
      <c r="AD8" s="548" t="s">
        <v>1178</v>
      </c>
      <c r="AE8" s="548" t="s">
        <v>1167</v>
      </c>
    </row>
    <row r="9" spans="2:31">
      <c r="B9" s="570" t="str">
        <f>"TPS"&amp;LEFT(AD9,1)&amp;AE9&amp;RIGHT(E9,1)&amp;MID(G9,3,1)&amp;"N"</f>
        <v>TPSMFOICM1N</v>
      </c>
      <c r="D9" s="555" t="s">
        <v>1185</v>
      </c>
      <c r="E9" s="548" t="s">
        <v>1176</v>
      </c>
      <c r="F9" s="548"/>
      <c r="G9" s="548">
        <v>2010</v>
      </c>
      <c r="H9" s="1362" t="s">
        <v>1175</v>
      </c>
      <c r="I9" s="1362">
        <v>66.36</v>
      </c>
      <c r="J9" s="1362">
        <v>34.69</v>
      </c>
      <c r="K9" s="1362">
        <v>57461</v>
      </c>
      <c r="L9" s="1362">
        <v>50445</v>
      </c>
      <c r="M9" s="1362">
        <v>1.54</v>
      </c>
      <c r="N9" s="1362">
        <v>1.62</v>
      </c>
      <c r="O9" s="1362">
        <v>25</v>
      </c>
      <c r="P9" s="1363"/>
      <c r="Q9" s="1363">
        <f>0.035*R9</f>
        <v>2004.5303600000002</v>
      </c>
      <c r="R9" s="1362">
        <f>41.026*1396</f>
        <v>57272.296000000002</v>
      </c>
      <c r="S9" s="1362"/>
      <c r="T9" s="1362"/>
      <c r="U9" s="1362">
        <v>1E-3</v>
      </c>
      <c r="V9" s="548"/>
      <c r="W9" s="1362"/>
      <c r="AB9" s="1366"/>
      <c r="AD9" s="548" t="s">
        <v>1174</v>
      </c>
      <c r="AE9" s="548" t="s">
        <v>1167</v>
      </c>
    </row>
    <row r="10" spans="2:31">
      <c r="D10" s="555" t="s">
        <v>1197</v>
      </c>
      <c r="E10" s="548"/>
      <c r="F10" s="548"/>
      <c r="G10" s="548">
        <v>2030</v>
      </c>
      <c r="H10" s="1362"/>
      <c r="I10" s="1362">
        <v>66.36</v>
      </c>
      <c r="J10" s="1362">
        <v>34.69</v>
      </c>
      <c r="K10" s="1362">
        <v>57461</v>
      </c>
      <c r="L10" s="1362">
        <v>50445</v>
      </c>
      <c r="M10" s="1362">
        <v>1.54</v>
      </c>
      <c r="N10" s="1362">
        <v>1.62</v>
      </c>
      <c r="O10" s="1362">
        <v>25</v>
      </c>
      <c r="P10" s="1363"/>
      <c r="Q10" s="1363">
        <v>1904.3038420000003</v>
      </c>
      <c r="R10" s="1362">
        <v>54408.681199999999</v>
      </c>
      <c r="S10" s="1362"/>
      <c r="U10" s="1362">
        <v>1E-3</v>
      </c>
      <c r="V10" s="1362"/>
      <c r="W10" s="1362"/>
      <c r="AB10" s="1366"/>
      <c r="AD10" s="548" t="s">
        <v>1174</v>
      </c>
      <c r="AE10" s="548" t="s">
        <v>1167</v>
      </c>
    </row>
    <row r="11" spans="2:31">
      <c r="B11" s="570" t="str">
        <f>"TPS"&amp;LEFT(AD11,1)&amp;AE11&amp;RIGHT(E11,1)&amp;MID(G11,3,1)&amp;"N"</f>
        <v>TPSLFOICL1N</v>
      </c>
      <c r="D11" s="555" t="s">
        <v>1185</v>
      </c>
      <c r="E11" s="548" t="s">
        <v>1191</v>
      </c>
      <c r="F11" s="548"/>
      <c r="G11" s="548">
        <v>2010</v>
      </c>
      <c r="H11" s="1362" t="s">
        <v>1175</v>
      </c>
      <c r="I11" s="1362">
        <v>41.87</v>
      </c>
      <c r="J11" s="1362">
        <v>38.56</v>
      </c>
      <c r="K11" s="1362">
        <v>83713</v>
      </c>
      <c r="L11" s="1362">
        <v>52608</v>
      </c>
      <c r="M11" s="1362">
        <v>0.99</v>
      </c>
      <c r="N11" s="1362">
        <v>0.81</v>
      </c>
      <c r="O11" s="1362">
        <v>25</v>
      </c>
      <c r="P11" s="1363"/>
      <c r="Q11" s="1363">
        <f>0.035*R11</f>
        <v>4923.7353900000007</v>
      </c>
      <c r="R11" s="1362">
        <f>41.026*3429</f>
        <v>140678.15400000001</v>
      </c>
      <c r="S11" s="1362"/>
      <c r="T11" s="1362"/>
      <c r="U11" s="1362">
        <v>1E-3</v>
      </c>
      <c r="V11" s="548"/>
      <c r="W11" s="1362"/>
      <c r="AB11" s="1366"/>
      <c r="AD11" s="548" t="s">
        <v>1190</v>
      </c>
      <c r="AE11" s="548" t="s">
        <v>1167</v>
      </c>
    </row>
    <row r="12" spans="2:31">
      <c r="D12" s="555" t="s">
        <v>1197</v>
      </c>
      <c r="E12" s="548"/>
      <c r="F12" s="548"/>
      <c r="G12" s="548">
        <v>2030</v>
      </c>
      <c r="H12" s="1362"/>
      <c r="I12" s="1362">
        <v>41.87</v>
      </c>
      <c r="J12" s="1362">
        <v>38.56</v>
      </c>
      <c r="K12" s="1362">
        <v>83713</v>
      </c>
      <c r="L12" s="1362">
        <v>52608</v>
      </c>
      <c r="M12" s="1362">
        <v>0.99</v>
      </c>
      <c r="N12" s="1362">
        <v>0.81</v>
      </c>
      <c r="O12" s="1362">
        <v>25</v>
      </c>
      <c r="P12" s="1363"/>
      <c r="Q12" s="1363">
        <v>4677.5486205000007</v>
      </c>
      <c r="R12" s="1362">
        <v>133644.2463</v>
      </c>
      <c r="S12" s="1362"/>
      <c r="U12" s="1362">
        <v>1E-3</v>
      </c>
      <c r="V12" s="1362"/>
      <c r="W12" s="1362"/>
      <c r="AB12" s="1366"/>
      <c r="AD12" s="548" t="s">
        <v>1190</v>
      </c>
      <c r="AE12" s="548" t="s">
        <v>1167</v>
      </c>
    </row>
    <row r="13" spans="2:31">
      <c r="B13" s="570" t="str">
        <f>"TPS"&amp;LEFT(AD13,1)&amp;AE13&amp;RIGHT(E13,1)&amp;MID(G13,3,1)&amp;"N"</f>
        <v>TPSXFOICL1N</v>
      </c>
      <c r="D13" s="555" t="s">
        <v>1185</v>
      </c>
      <c r="E13" s="548" t="s">
        <v>1189</v>
      </c>
      <c r="F13" s="548"/>
      <c r="G13" s="548">
        <v>2010</v>
      </c>
      <c r="H13" s="1362" t="s">
        <v>1175</v>
      </c>
      <c r="I13" s="1362">
        <v>213.92</v>
      </c>
      <c r="J13" s="1362">
        <v>213.92</v>
      </c>
      <c r="K13" s="1362">
        <v>140122</v>
      </c>
      <c r="L13" s="1362">
        <v>140122</v>
      </c>
      <c r="M13" s="1362">
        <v>0.215</v>
      </c>
      <c r="N13" s="1362">
        <v>0.215</v>
      </c>
      <c r="O13" s="1362">
        <v>25</v>
      </c>
      <c r="P13" s="1364"/>
      <c r="Q13" s="1363">
        <f>0.035*R13</f>
        <v>44281.104000000007</v>
      </c>
      <c r="R13" s="1362">
        <f>39.34*32160</f>
        <v>1265174.4000000001</v>
      </c>
      <c r="S13" s="1362"/>
      <c r="T13" s="1362"/>
      <c r="U13" s="1362">
        <v>1E-3</v>
      </c>
      <c r="V13" s="548"/>
      <c r="W13" s="1362"/>
      <c r="AB13" s="1366"/>
      <c r="AD13" s="570" t="s">
        <v>1188</v>
      </c>
      <c r="AE13" s="548" t="s">
        <v>1167</v>
      </c>
    </row>
    <row r="14" spans="2:31">
      <c r="B14" s="1149"/>
      <c r="C14" s="1149"/>
      <c r="D14" s="1387" t="s">
        <v>1197</v>
      </c>
      <c r="E14" s="1386"/>
      <c r="F14" s="1386"/>
      <c r="G14" s="1386">
        <v>2030</v>
      </c>
      <c r="H14" s="1374"/>
      <c r="I14" s="1374">
        <v>213.92</v>
      </c>
      <c r="J14" s="1374">
        <v>213.92</v>
      </c>
      <c r="K14" s="1374">
        <v>140122</v>
      </c>
      <c r="L14" s="1374">
        <v>140122</v>
      </c>
      <c r="M14" s="1374">
        <v>0.215</v>
      </c>
      <c r="N14" s="1374">
        <v>0.215</v>
      </c>
      <c r="O14" s="1374">
        <v>25</v>
      </c>
      <c r="P14" s="1376"/>
      <c r="Q14" s="1375">
        <v>42067.048800000011</v>
      </c>
      <c r="R14" s="1374">
        <v>1201915.6800000002</v>
      </c>
      <c r="S14" s="1374"/>
      <c r="T14" s="1149"/>
      <c r="U14" s="1374">
        <v>1E-3</v>
      </c>
      <c r="V14" s="1374"/>
      <c r="W14" s="1374"/>
      <c r="X14" s="1149"/>
      <c r="AB14" s="1366"/>
      <c r="AD14" s="570" t="s">
        <v>1188</v>
      </c>
      <c r="AE14" s="548" t="s">
        <v>1167</v>
      </c>
    </row>
    <row r="15" spans="2:31">
      <c r="B15" s="570" t="str">
        <f t="shared" ref="B15:B23" si="0">"TPS"&amp;LEFT(AD15,1)&amp;AE15&amp;RIGHT(E15,1)&amp;MID(G15,3,1)&amp;"N"</f>
        <v>TPSSFOICS1N</v>
      </c>
      <c r="D15" s="555" t="s">
        <v>486</v>
      </c>
      <c r="E15" s="548" t="s">
        <v>1179</v>
      </c>
      <c r="F15" s="548"/>
      <c r="G15" s="548">
        <v>2010</v>
      </c>
      <c r="H15" s="1362" t="s">
        <v>1175</v>
      </c>
      <c r="I15" s="1362">
        <v>10.68</v>
      </c>
      <c r="J15" s="1362">
        <v>42.83</v>
      </c>
      <c r="K15" s="1362">
        <v>43203</v>
      </c>
      <c r="L15" s="1362">
        <v>21526</v>
      </c>
      <c r="M15" s="1362">
        <v>5.4</v>
      </c>
      <c r="N15" s="1362">
        <v>8.3000000000000007</v>
      </c>
      <c r="O15" s="1362">
        <v>25</v>
      </c>
      <c r="P15" s="1363"/>
      <c r="Q15" s="1363">
        <f t="shared" ref="Q15:Q23" si="1">0.035*R15</f>
        <v>761.03230000000019</v>
      </c>
      <c r="R15" s="1362">
        <f>41.026*530</f>
        <v>21743.780000000002</v>
      </c>
      <c r="S15" s="1362"/>
      <c r="T15" s="1362"/>
      <c r="U15" s="1362">
        <v>1E-3</v>
      </c>
      <c r="V15" s="548"/>
      <c r="W15" s="1362"/>
      <c r="AB15" s="1366"/>
      <c r="AD15" s="548" t="s">
        <v>1178</v>
      </c>
      <c r="AE15" s="548" t="s">
        <v>1167</v>
      </c>
    </row>
    <row r="16" spans="2:31">
      <c r="B16" s="570" t="str">
        <f t="shared" si="0"/>
        <v>TPSMFOICM1N</v>
      </c>
      <c r="D16" s="555" t="s">
        <v>486</v>
      </c>
      <c r="E16" s="548" t="s">
        <v>1176</v>
      </c>
      <c r="F16" s="548"/>
      <c r="G16" s="548">
        <v>2010</v>
      </c>
      <c r="H16" s="1362" t="s">
        <v>1175</v>
      </c>
      <c r="I16" s="1362">
        <v>66.36</v>
      </c>
      <c r="J16" s="1362">
        <v>34.69</v>
      </c>
      <c r="K16" s="1362">
        <v>57461</v>
      </c>
      <c r="L16" s="1362">
        <v>50445</v>
      </c>
      <c r="M16" s="1362">
        <v>1.54</v>
      </c>
      <c r="N16" s="1362">
        <v>1.62</v>
      </c>
      <c r="O16" s="1362">
        <v>25</v>
      </c>
      <c r="P16" s="1363"/>
      <c r="Q16" s="1363">
        <f t="shared" si="1"/>
        <v>2004.5303600000002</v>
      </c>
      <c r="R16" s="1362">
        <f>41.026*1396</f>
        <v>57272.296000000002</v>
      </c>
      <c r="S16" s="1362"/>
      <c r="T16" s="1362"/>
      <c r="U16" s="1362">
        <v>1E-3</v>
      </c>
      <c r="V16" s="548"/>
      <c r="W16" s="1362"/>
      <c r="AB16" s="1366"/>
      <c r="AD16" s="548" t="s">
        <v>1174</v>
      </c>
      <c r="AE16" s="548" t="s">
        <v>1167</v>
      </c>
    </row>
    <row r="17" spans="2:31">
      <c r="B17" s="570" t="str">
        <f t="shared" si="0"/>
        <v>TPSLFOICL1N</v>
      </c>
      <c r="D17" s="555" t="s">
        <v>486</v>
      </c>
      <c r="E17" s="548" t="s">
        <v>1191</v>
      </c>
      <c r="F17" s="548"/>
      <c r="G17" s="548">
        <v>2010</v>
      </c>
      <c r="H17" s="1362" t="s">
        <v>1175</v>
      </c>
      <c r="I17" s="1362">
        <v>41.87</v>
      </c>
      <c r="J17" s="1362">
        <v>38.56</v>
      </c>
      <c r="K17" s="1362">
        <v>83713</v>
      </c>
      <c r="L17" s="1362">
        <v>52608</v>
      </c>
      <c r="M17" s="1362">
        <v>0.99</v>
      </c>
      <c r="N17" s="1362">
        <v>0.81</v>
      </c>
      <c r="O17" s="1362">
        <v>25</v>
      </c>
      <c r="P17" s="1363"/>
      <c r="Q17" s="1363">
        <f t="shared" si="1"/>
        <v>4923.7353900000007</v>
      </c>
      <c r="R17" s="1362">
        <f>41.026*3429</f>
        <v>140678.15400000001</v>
      </c>
      <c r="S17" s="1362"/>
      <c r="T17" s="1362"/>
      <c r="U17" s="1362">
        <v>1E-3</v>
      </c>
      <c r="V17" s="548"/>
      <c r="W17" s="1362"/>
      <c r="AB17" s="1366"/>
      <c r="AD17" s="548" t="s">
        <v>1190</v>
      </c>
      <c r="AE17" s="548" t="s">
        <v>1167</v>
      </c>
    </row>
    <row r="18" spans="2:31">
      <c r="B18" s="1149" t="str">
        <f t="shared" si="0"/>
        <v>TPSXFOICL1N</v>
      </c>
      <c r="C18" s="1149"/>
      <c r="D18" s="1387" t="s">
        <v>486</v>
      </c>
      <c r="E18" s="1386" t="s">
        <v>1189</v>
      </c>
      <c r="F18" s="1386"/>
      <c r="G18" s="548">
        <v>2010</v>
      </c>
      <c r="H18" s="1374" t="s">
        <v>1175</v>
      </c>
      <c r="I18" s="1374">
        <v>213.92</v>
      </c>
      <c r="J18" s="1374">
        <v>213.92</v>
      </c>
      <c r="K18" s="1374">
        <v>140122</v>
      </c>
      <c r="L18" s="1374">
        <v>140122</v>
      </c>
      <c r="M18" s="1374">
        <v>0.215</v>
      </c>
      <c r="N18" s="1374">
        <v>0.215</v>
      </c>
      <c r="O18" s="1374">
        <v>25</v>
      </c>
      <c r="P18" s="1376"/>
      <c r="Q18" s="1375">
        <f t="shared" si="1"/>
        <v>44281.104000000007</v>
      </c>
      <c r="R18" s="1374">
        <f>39.34*32160</f>
        <v>1265174.4000000001</v>
      </c>
      <c r="S18" s="1374"/>
      <c r="T18" s="1374"/>
      <c r="U18" s="1374">
        <v>1E-3</v>
      </c>
      <c r="V18" s="548"/>
      <c r="W18" s="1374"/>
      <c r="X18" s="1149"/>
      <c r="AB18" s="1366"/>
      <c r="AD18" s="570" t="s">
        <v>1188</v>
      </c>
      <c r="AE18" s="548" t="s">
        <v>1167</v>
      </c>
    </row>
    <row r="19" spans="2:31">
      <c r="B19" s="570" t="str">
        <f t="shared" si="0"/>
        <v>TPSSNGICS1N</v>
      </c>
      <c r="D19" s="555" t="s">
        <v>1177</v>
      </c>
      <c r="E19" s="548" t="s">
        <v>1179</v>
      </c>
      <c r="F19" s="548"/>
      <c r="G19" s="548">
        <v>2010</v>
      </c>
      <c r="H19" s="1362" t="s">
        <v>1175</v>
      </c>
      <c r="I19" s="1362">
        <v>10.68</v>
      </c>
      <c r="J19" s="1362">
        <v>42.83</v>
      </c>
      <c r="K19" s="1362">
        <v>43203</v>
      </c>
      <c r="L19" s="1362">
        <v>21526</v>
      </c>
      <c r="M19" s="1362">
        <v>5.4</v>
      </c>
      <c r="N19" s="1362">
        <v>8.3000000000000007</v>
      </c>
      <c r="O19" s="1362">
        <v>25</v>
      </c>
      <c r="P19" s="1365"/>
      <c r="Q19" s="1363">
        <f t="shared" si="1"/>
        <v>837.13553000000024</v>
      </c>
      <c r="R19" s="1362">
        <f>1.1*R7</f>
        <v>23918.158000000003</v>
      </c>
      <c r="S19" s="1362"/>
      <c r="T19" s="1362"/>
      <c r="U19" s="1362">
        <v>1E-3</v>
      </c>
      <c r="V19" s="1362"/>
      <c r="W19" s="1362"/>
      <c r="AB19" s="1366"/>
      <c r="AD19" s="548" t="s">
        <v>1178</v>
      </c>
      <c r="AE19" s="548" t="s">
        <v>1198</v>
      </c>
    </row>
    <row r="20" spans="2:31">
      <c r="B20" s="570" t="str">
        <f t="shared" si="0"/>
        <v>TPSMNGICM1N</v>
      </c>
      <c r="D20" s="555" t="s">
        <v>1177</v>
      </c>
      <c r="E20" s="548" t="s">
        <v>1176</v>
      </c>
      <c r="F20" s="548"/>
      <c r="G20" s="548">
        <v>2010</v>
      </c>
      <c r="H20" s="1362" t="s">
        <v>1175</v>
      </c>
      <c r="I20" s="1362">
        <v>66.36</v>
      </c>
      <c r="J20" s="1362">
        <v>34.69</v>
      </c>
      <c r="K20" s="1362">
        <v>57461</v>
      </c>
      <c r="L20" s="1362">
        <v>50445</v>
      </c>
      <c r="M20" s="1362">
        <v>1.54</v>
      </c>
      <c r="N20" s="1362">
        <v>1.62</v>
      </c>
      <c r="O20" s="1362">
        <v>25</v>
      </c>
      <c r="P20" s="1365"/>
      <c r="Q20" s="1363">
        <f t="shared" si="1"/>
        <v>2204.9833960000005</v>
      </c>
      <c r="R20" s="1362">
        <f>1.1*R9</f>
        <v>62999.525600000008</v>
      </c>
      <c r="S20" s="1362"/>
      <c r="T20" s="1362"/>
      <c r="U20" s="1362">
        <v>1E-3</v>
      </c>
      <c r="V20" s="1362"/>
      <c r="W20" s="1362"/>
      <c r="AD20" s="548" t="s">
        <v>1174</v>
      </c>
      <c r="AE20" s="548" t="s">
        <v>1198</v>
      </c>
    </row>
    <row r="21" spans="2:31">
      <c r="B21" s="570" t="str">
        <f t="shared" si="0"/>
        <v>TPSLNGICL1N</v>
      </c>
      <c r="D21" s="555" t="s">
        <v>1177</v>
      </c>
      <c r="E21" s="548" t="s">
        <v>1191</v>
      </c>
      <c r="F21" s="548"/>
      <c r="G21" s="548">
        <v>2010</v>
      </c>
      <c r="H21" s="1362" t="s">
        <v>1175</v>
      </c>
      <c r="I21" s="1362">
        <v>41.87</v>
      </c>
      <c r="J21" s="1362">
        <v>38.56</v>
      </c>
      <c r="K21" s="1362">
        <v>83713</v>
      </c>
      <c r="L21" s="1362">
        <v>52608</v>
      </c>
      <c r="M21" s="1362">
        <v>0.99</v>
      </c>
      <c r="N21" s="1362">
        <v>0.81</v>
      </c>
      <c r="O21" s="1362">
        <v>25</v>
      </c>
      <c r="P21" s="1365"/>
      <c r="Q21" s="1363">
        <f t="shared" si="1"/>
        <v>5416.1089290000018</v>
      </c>
      <c r="R21" s="1362">
        <f>1.1*R11</f>
        <v>154745.96940000003</v>
      </c>
      <c r="S21" s="1362"/>
      <c r="T21" s="1362"/>
      <c r="U21" s="1362">
        <v>1E-3</v>
      </c>
      <c r="V21" s="1362"/>
      <c r="W21" s="1362"/>
      <c r="AA21" s="1362"/>
      <c r="AD21" s="548" t="s">
        <v>1190</v>
      </c>
      <c r="AE21" s="548" t="s">
        <v>1198</v>
      </c>
    </row>
    <row r="22" spans="2:31">
      <c r="B22" s="1149" t="str">
        <f t="shared" si="0"/>
        <v>TPSXNGICL1N</v>
      </c>
      <c r="C22" s="1149"/>
      <c r="D22" s="555" t="s">
        <v>1177</v>
      </c>
      <c r="E22" s="1386" t="s">
        <v>1189</v>
      </c>
      <c r="F22" s="1386"/>
      <c r="G22" s="548">
        <v>2010</v>
      </c>
      <c r="H22" s="1374" t="s">
        <v>1175</v>
      </c>
      <c r="I22" s="1374">
        <v>213.92</v>
      </c>
      <c r="J22" s="1374">
        <v>213.92</v>
      </c>
      <c r="K22" s="1374">
        <v>140122</v>
      </c>
      <c r="L22" s="1374">
        <v>140122</v>
      </c>
      <c r="M22" s="1374">
        <v>0.215</v>
      </c>
      <c r="N22" s="1374">
        <v>0.215</v>
      </c>
      <c r="O22" s="1374">
        <v>25</v>
      </c>
      <c r="P22" s="1388"/>
      <c r="Q22" s="1375">
        <f t="shared" si="1"/>
        <v>48709.214400000019</v>
      </c>
      <c r="R22" s="1374">
        <f>1.1*R13</f>
        <v>1391691.8400000003</v>
      </c>
      <c r="S22" s="1374"/>
      <c r="T22" s="1374"/>
      <c r="U22" s="1374">
        <v>1E-3</v>
      </c>
      <c r="V22" s="1374"/>
      <c r="W22" s="1149"/>
      <c r="X22" s="1149"/>
      <c r="AA22" s="1362"/>
      <c r="AD22" s="570" t="s">
        <v>1188</v>
      </c>
      <c r="AE22" s="548" t="s">
        <v>1198</v>
      </c>
    </row>
    <row r="23" spans="2:31">
      <c r="B23" s="570" t="str">
        <f t="shared" si="0"/>
        <v>TPSSNGDUS2N</v>
      </c>
      <c r="D23" s="555" t="s">
        <v>1177</v>
      </c>
      <c r="E23" s="548" t="s">
        <v>1179</v>
      </c>
      <c r="F23" s="548"/>
      <c r="G23" s="548">
        <v>2020</v>
      </c>
      <c r="H23" s="1362" t="s">
        <v>1175</v>
      </c>
      <c r="I23" s="1362">
        <v>10.68</v>
      </c>
      <c r="J23" s="1362">
        <v>42.83</v>
      </c>
      <c r="K23" s="1362">
        <v>43203</v>
      </c>
      <c r="L23" s="1362">
        <v>21526</v>
      </c>
      <c r="M23" s="1362">
        <v>5.4</v>
      </c>
      <c r="N23" s="1362">
        <v>8.3000000000000007</v>
      </c>
      <c r="O23" s="1362">
        <v>25</v>
      </c>
      <c r="P23" s="1365"/>
      <c r="Q23" s="1363">
        <f t="shared" si="1"/>
        <v>807.9452500000001</v>
      </c>
      <c r="R23" s="1362">
        <f>43.555*530</f>
        <v>23084.15</v>
      </c>
      <c r="S23" s="1362">
        <v>0.95</v>
      </c>
      <c r="T23" s="1362"/>
      <c r="U23" s="1362">
        <v>1E-3</v>
      </c>
      <c r="V23" s="1362"/>
      <c r="W23" s="1362">
        <v>5</v>
      </c>
      <c r="AA23" s="1362"/>
      <c r="AD23" s="548" t="s">
        <v>1178</v>
      </c>
      <c r="AE23" s="548" t="s">
        <v>1196</v>
      </c>
    </row>
    <row r="24" spans="2:31">
      <c r="D24" s="555" t="s">
        <v>1185</v>
      </c>
      <c r="E24" s="548"/>
      <c r="F24" s="548"/>
      <c r="G24" s="548"/>
      <c r="H24" s="1368"/>
      <c r="I24" s="1362"/>
      <c r="J24" s="1362"/>
      <c r="K24" s="1362"/>
      <c r="L24" s="1362"/>
      <c r="M24" s="1362"/>
      <c r="N24" s="1362"/>
      <c r="O24" s="1362"/>
      <c r="P24" s="1365"/>
      <c r="Q24" s="1363"/>
      <c r="R24" s="1362"/>
      <c r="S24" s="1362"/>
      <c r="T24" s="1362"/>
      <c r="U24" s="1362"/>
      <c r="V24" s="1362"/>
      <c r="AA24" s="1362"/>
      <c r="AD24" s="548" t="s">
        <v>1178</v>
      </c>
      <c r="AE24" s="548" t="s">
        <v>1196</v>
      </c>
    </row>
    <row r="25" spans="2:31">
      <c r="D25" s="555" t="s">
        <v>1177</v>
      </c>
      <c r="E25" s="548" t="s">
        <v>1179</v>
      </c>
      <c r="F25" s="548"/>
      <c r="G25" s="570">
        <v>2030</v>
      </c>
      <c r="H25" s="1362" t="s">
        <v>1175</v>
      </c>
      <c r="I25" s="1362">
        <v>10.68</v>
      </c>
      <c r="J25" s="1362">
        <v>42.83</v>
      </c>
      <c r="K25" s="1362">
        <v>43203</v>
      </c>
      <c r="L25" s="1362">
        <v>21526</v>
      </c>
      <c r="M25" s="1362">
        <v>5.4</v>
      </c>
      <c r="N25" s="1362">
        <v>8.3000000000000007</v>
      </c>
      <c r="O25" s="1362">
        <v>25</v>
      </c>
      <c r="P25" s="1365"/>
      <c r="Q25" s="1363">
        <v>767.54798750000009</v>
      </c>
      <c r="R25" s="1362">
        <v>21929.942500000001</v>
      </c>
      <c r="S25" s="1362">
        <v>0.95</v>
      </c>
      <c r="T25" s="1362"/>
      <c r="U25" s="1362">
        <v>1E-3</v>
      </c>
      <c r="V25" s="1362"/>
      <c r="W25" s="1362">
        <v>5</v>
      </c>
      <c r="AA25" s="1362"/>
      <c r="AD25" s="548" t="s">
        <v>1178</v>
      </c>
      <c r="AE25" s="548" t="s">
        <v>1196</v>
      </c>
    </row>
    <row r="26" spans="2:31">
      <c r="B26" s="1149"/>
      <c r="C26" s="1149"/>
      <c r="D26" s="1387" t="s">
        <v>1197</v>
      </c>
      <c r="E26" s="1386"/>
      <c r="F26" s="1386"/>
      <c r="G26" s="1385"/>
      <c r="H26" s="1374"/>
      <c r="I26" s="1374"/>
      <c r="J26" s="1374"/>
      <c r="K26" s="1374"/>
      <c r="L26" s="1374"/>
      <c r="M26" s="1374"/>
      <c r="N26" s="1374"/>
      <c r="O26" s="1388"/>
      <c r="P26" s="1375"/>
      <c r="Q26" s="1374"/>
      <c r="R26" s="1374"/>
      <c r="S26" s="1374"/>
      <c r="T26" s="1374"/>
      <c r="U26" s="1374"/>
      <c r="V26" s="1149"/>
      <c r="W26" s="1149"/>
      <c r="X26" s="1149"/>
      <c r="AA26" s="1362"/>
      <c r="AD26" s="548" t="s">
        <v>1178</v>
      </c>
      <c r="AE26" s="548" t="s">
        <v>1196</v>
      </c>
    </row>
    <row r="27" spans="2:31">
      <c r="B27" s="570" t="str">
        <f>"TPS"&amp;LEFT(AD27,1)&amp;AE27&amp;RIGHT(E27,1)&amp;MID(G27,3,1)&amp;"N"</f>
        <v>TPSMNGDUM2N</v>
      </c>
      <c r="D27" s="555" t="s">
        <v>1177</v>
      </c>
      <c r="E27" s="548" t="s">
        <v>1176</v>
      </c>
      <c r="F27" s="548"/>
      <c r="G27" s="548">
        <v>2020</v>
      </c>
      <c r="H27" s="1362" t="s">
        <v>1175</v>
      </c>
      <c r="I27" s="1362">
        <v>66.36</v>
      </c>
      <c r="J27" s="1362">
        <v>34.69</v>
      </c>
      <c r="K27" s="1362">
        <v>57461</v>
      </c>
      <c r="L27" s="1362">
        <v>50445</v>
      </c>
      <c r="M27" s="1362">
        <v>1.54</v>
      </c>
      <c r="N27" s="1362">
        <v>1.62</v>
      </c>
      <c r="O27" s="1362">
        <v>25</v>
      </c>
      <c r="P27" s="1365"/>
      <c r="Q27" s="1363">
        <f>0.035*R27</f>
        <v>2128.0973000000004</v>
      </c>
      <c r="R27" s="1362">
        <f>43.555*1396</f>
        <v>60802.78</v>
      </c>
      <c r="S27" s="1362">
        <v>0.95</v>
      </c>
      <c r="T27" s="1362"/>
      <c r="U27" s="1362">
        <v>1E-3</v>
      </c>
      <c r="V27" s="1362"/>
      <c r="W27" s="1362">
        <v>5</v>
      </c>
      <c r="AA27" s="1362"/>
      <c r="AD27" s="548" t="s">
        <v>1174</v>
      </c>
      <c r="AE27" s="548" t="s">
        <v>1196</v>
      </c>
    </row>
    <row r="28" spans="2:31">
      <c r="D28" s="555" t="s">
        <v>1185</v>
      </c>
      <c r="E28" s="548"/>
      <c r="F28" s="548"/>
      <c r="G28" s="548"/>
      <c r="H28" s="1368"/>
      <c r="P28" s="1365"/>
      <c r="Q28" s="1363"/>
      <c r="R28" s="1362"/>
      <c r="S28" s="1362"/>
      <c r="T28" s="1362"/>
      <c r="U28" s="1362"/>
      <c r="V28" s="1362"/>
      <c r="AA28" s="1362"/>
      <c r="AD28" s="548" t="s">
        <v>1174</v>
      </c>
      <c r="AE28" s="548" t="s">
        <v>1196</v>
      </c>
    </row>
    <row r="29" spans="2:31">
      <c r="D29" s="555" t="s">
        <v>1177</v>
      </c>
      <c r="E29" s="548" t="s">
        <v>1176</v>
      </c>
      <c r="F29" s="548"/>
      <c r="G29" s="548">
        <v>2030</v>
      </c>
      <c r="H29" s="1362" t="s">
        <v>1175</v>
      </c>
      <c r="I29" s="1362">
        <v>66.36</v>
      </c>
      <c r="J29" s="1362">
        <v>34.69</v>
      </c>
      <c r="K29" s="1362">
        <v>57461</v>
      </c>
      <c r="L29" s="1362">
        <v>50445</v>
      </c>
      <c r="M29" s="1362">
        <v>1.54</v>
      </c>
      <c r="N29" s="1362">
        <v>1.62</v>
      </c>
      <c r="O29" s="1362">
        <v>25</v>
      </c>
      <c r="P29" s="1365"/>
      <c r="Q29" s="1363">
        <v>2021.6924350000002</v>
      </c>
      <c r="R29" s="1362">
        <v>57762.640999999996</v>
      </c>
      <c r="S29" s="1362">
        <v>0.95</v>
      </c>
      <c r="T29" s="1362"/>
      <c r="U29" s="1362">
        <v>1E-3</v>
      </c>
      <c r="V29" s="1362"/>
      <c r="W29" s="1362">
        <v>5</v>
      </c>
      <c r="X29" s="1362"/>
      <c r="AA29" s="1362"/>
      <c r="AD29" s="548" t="s">
        <v>1174</v>
      </c>
      <c r="AE29" s="548" t="s">
        <v>1196</v>
      </c>
    </row>
    <row r="30" spans="2:31">
      <c r="B30" s="1149"/>
      <c r="C30" s="1149"/>
      <c r="D30" s="1387" t="s">
        <v>1197</v>
      </c>
      <c r="E30" s="1386"/>
      <c r="F30" s="1386"/>
      <c r="G30" s="1386"/>
      <c r="H30" s="1385"/>
      <c r="I30" s="1149"/>
      <c r="J30" s="1149"/>
      <c r="K30" s="1149"/>
      <c r="L30" s="1149"/>
      <c r="M30" s="1149"/>
      <c r="N30" s="1149"/>
      <c r="O30" s="1149"/>
      <c r="P30" s="1388"/>
      <c r="Q30" s="1375"/>
      <c r="R30" s="1374"/>
      <c r="S30" s="1374"/>
      <c r="T30" s="1374"/>
      <c r="U30" s="1374"/>
      <c r="V30" s="1374"/>
      <c r="W30" s="1149"/>
      <c r="X30" s="1149"/>
      <c r="AA30" s="1362"/>
      <c r="AD30" s="548" t="s">
        <v>1174</v>
      </c>
      <c r="AE30" s="548" t="s">
        <v>1196</v>
      </c>
    </row>
    <row r="31" spans="2:31">
      <c r="B31" s="570" t="str">
        <f>"TPS"&amp;LEFT(AD31,1)&amp;AE31&amp;RIGHT(E31,1)&amp;MID(G31,3,1)&amp;"N"</f>
        <v>TPSLNGDUL2N</v>
      </c>
      <c r="D31" s="555" t="s">
        <v>1177</v>
      </c>
      <c r="E31" s="548" t="s">
        <v>1191</v>
      </c>
      <c r="F31" s="548"/>
      <c r="G31" s="548">
        <v>2020</v>
      </c>
      <c r="H31" s="1362" t="s">
        <v>1175</v>
      </c>
      <c r="I31" s="1362">
        <v>41.87</v>
      </c>
      <c r="J31" s="1362">
        <v>38.56</v>
      </c>
      <c r="K31" s="1362">
        <v>83713</v>
      </c>
      <c r="L31" s="1362">
        <v>52608</v>
      </c>
      <c r="M31" s="1362">
        <v>0.99</v>
      </c>
      <c r="N31" s="1362">
        <v>0.81</v>
      </c>
      <c r="O31" s="1362">
        <v>25</v>
      </c>
      <c r="P31" s="1363"/>
      <c r="Q31" s="1363">
        <f>0.035*R31</f>
        <v>5227.2533250000006</v>
      </c>
      <c r="R31" s="1362">
        <f>43.555*3429</f>
        <v>149350.095</v>
      </c>
      <c r="S31" s="1362">
        <v>0.95</v>
      </c>
      <c r="T31" s="1362"/>
      <c r="U31" s="1362">
        <v>1E-3</v>
      </c>
      <c r="V31" s="1362"/>
      <c r="W31" s="1362">
        <v>5</v>
      </c>
      <c r="Z31" s="1362"/>
      <c r="AD31" s="548" t="s">
        <v>1190</v>
      </c>
      <c r="AE31" s="548" t="s">
        <v>1196</v>
      </c>
    </row>
    <row r="32" spans="2:31">
      <c r="D32" s="555" t="s">
        <v>1185</v>
      </c>
      <c r="E32" s="548"/>
      <c r="F32" s="548"/>
      <c r="G32" s="548"/>
      <c r="H32" s="1368"/>
      <c r="P32" s="1363"/>
      <c r="Q32" s="1363"/>
      <c r="R32" s="1362"/>
      <c r="S32" s="1362"/>
      <c r="T32" s="1362"/>
      <c r="U32" s="1362"/>
      <c r="V32" s="1362"/>
      <c r="Z32" s="1362"/>
      <c r="AD32" s="548" t="s">
        <v>1190</v>
      </c>
      <c r="AE32" s="548" t="s">
        <v>1196</v>
      </c>
    </row>
    <row r="33" spans="2:31">
      <c r="D33" s="555" t="s">
        <v>1177</v>
      </c>
      <c r="E33" s="548" t="s">
        <v>1191</v>
      </c>
      <c r="F33" s="548"/>
      <c r="G33" s="548">
        <v>2030</v>
      </c>
      <c r="H33" s="1362" t="s">
        <v>1175</v>
      </c>
      <c r="I33" s="1362">
        <v>41.87</v>
      </c>
      <c r="J33" s="1362">
        <v>38.56</v>
      </c>
      <c r="K33" s="1362">
        <v>83713</v>
      </c>
      <c r="L33" s="1362">
        <v>52608</v>
      </c>
      <c r="M33" s="1362">
        <v>0.99</v>
      </c>
      <c r="N33" s="1362">
        <v>0.81</v>
      </c>
      <c r="O33" s="1362">
        <v>25</v>
      </c>
      <c r="P33" s="1363"/>
      <c r="Q33" s="1363">
        <v>4965.8906587500005</v>
      </c>
      <c r="R33" s="1362">
        <v>141882.59025000001</v>
      </c>
      <c r="S33" s="1362">
        <v>0.95</v>
      </c>
      <c r="U33" s="1362">
        <v>1E-3</v>
      </c>
      <c r="V33" s="1362"/>
      <c r="W33" s="1362">
        <v>5</v>
      </c>
      <c r="Z33" s="1362"/>
      <c r="AD33" s="548" t="s">
        <v>1190</v>
      </c>
      <c r="AE33" s="548" t="s">
        <v>1196</v>
      </c>
    </row>
    <row r="34" spans="2:31">
      <c r="B34" s="1149"/>
      <c r="C34" s="1149"/>
      <c r="D34" s="1387" t="s">
        <v>1197</v>
      </c>
      <c r="E34" s="1386"/>
      <c r="F34" s="1386"/>
      <c r="G34" s="1386"/>
      <c r="H34" s="1385"/>
      <c r="I34" s="1149"/>
      <c r="J34" s="1149"/>
      <c r="K34" s="1149"/>
      <c r="L34" s="1149"/>
      <c r="M34" s="1149"/>
      <c r="N34" s="1149"/>
      <c r="O34" s="1149"/>
      <c r="P34" s="1375"/>
      <c r="Q34" s="1375"/>
      <c r="R34" s="1374"/>
      <c r="S34" s="1374"/>
      <c r="T34" s="1374"/>
      <c r="U34" s="1374"/>
      <c r="V34" s="1374"/>
      <c r="W34" s="1149"/>
      <c r="X34" s="1149"/>
      <c r="Z34" s="1362"/>
      <c r="AD34" s="548" t="s">
        <v>1190</v>
      </c>
      <c r="AE34" s="548" t="s">
        <v>1196</v>
      </c>
    </row>
    <row r="35" spans="2:31">
      <c r="B35" s="570" t="str">
        <f>"TPS"&amp;LEFT(AD35,1)&amp;AE35&amp;RIGHT(E35,1)&amp;MID(G35,3,1)&amp;"N"</f>
        <v>TPSXNGDUL2N</v>
      </c>
      <c r="D35" s="555" t="s">
        <v>1177</v>
      </c>
      <c r="E35" s="548" t="s">
        <v>1189</v>
      </c>
      <c r="F35" s="548"/>
      <c r="G35" s="548">
        <v>2020</v>
      </c>
      <c r="H35" s="1362" t="s">
        <v>1175</v>
      </c>
      <c r="I35" s="1362">
        <v>213.92</v>
      </c>
      <c r="J35" s="1362">
        <v>213.92</v>
      </c>
      <c r="K35" s="1362">
        <v>140122</v>
      </c>
      <c r="L35" s="1362">
        <v>140122</v>
      </c>
      <c r="M35" s="1362">
        <v>0.215</v>
      </c>
      <c r="N35" s="1362">
        <v>0.215</v>
      </c>
      <c r="O35" s="1362">
        <v>25</v>
      </c>
      <c r="P35" s="1363"/>
      <c r="Q35" s="1363">
        <f>0.035*R35</f>
        <v>49025.508000000009</v>
      </c>
      <c r="R35" s="1362">
        <f>43.555*32160</f>
        <v>1400728.8</v>
      </c>
      <c r="S35" s="1362">
        <v>0.95</v>
      </c>
      <c r="T35" s="1362"/>
      <c r="U35" s="1362">
        <v>1E-3</v>
      </c>
      <c r="V35" s="1362"/>
      <c r="W35" s="1362">
        <v>5</v>
      </c>
      <c r="Z35" s="1362"/>
      <c r="AD35" s="570" t="s">
        <v>1188</v>
      </c>
      <c r="AE35" s="548" t="s">
        <v>1196</v>
      </c>
    </row>
    <row r="36" spans="2:31">
      <c r="D36" s="555" t="s">
        <v>1185</v>
      </c>
      <c r="E36" s="548"/>
      <c r="F36" s="548"/>
      <c r="G36" s="548"/>
      <c r="H36" s="1368"/>
      <c r="P36" s="1363"/>
      <c r="Q36" s="1363"/>
      <c r="R36" s="1362"/>
      <c r="S36" s="1362"/>
      <c r="T36" s="1362"/>
      <c r="U36" s="1362"/>
      <c r="V36" s="1362"/>
      <c r="Z36" s="1362"/>
      <c r="AD36" s="570" t="s">
        <v>1188</v>
      </c>
      <c r="AE36" s="548" t="s">
        <v>1196</v>
      </c>
    </row>
    <row r="37" spans="2:31">
      <c r="D37" s="555" t="s">
        <v>1177</v>
      </c>
      <c r="E37" s="548" t="s">
        <v>1189</v>
      </c>
      <c r="F37" s="548"/>
      <c r="G37" s="548">
        <v>2030</v>
      </c>
      <c r="H37" s="1362" t="s">
        <v>1175</v>
      </c>
      <c r="I37" s="1362">
        <v>213.92</v>
      </c>
      <c r="J37" s="1362">
        <v>213.92</v>
      </c>
      <c r="K37" s="1362">
        <v>140122</v>
      </c>
      <c r="L37" s="1362">
        <v>140122</v>
      </c>
      <c r="M37" s="1362">
        <v>0.215</v>
      </c>
      <c r="N37" s="1362">
        <v>0.215</v>
      </c>
      <c r="O37" s="1362">
        <v>25</v>
      </c>
      <c r="P37" s="1363"/>
      <c r="Q37" s="1363">
        <v>46574.232600000003</v>
      </c>
      <c r="R37" s="1362">
        <v>1330692.3599999999</v>
      </c>
      <c r="S37" s="1362">
        <v>0.95</v>
      </c>
      <c r="U37" s="1362">
        <v>1E-3</v>
      </c>
      <c r="V37" s="1362"/>
      <c r="W37" s="1362">
        <v>5</v>
      </c>
      <c r="Z37" s="1362"/>
      <c r="AD37" s="570" t="s">
        <v>1188</v>
      </c>
      <c r="AE37" s="548" t="s">
        <v>1196</v>
      </c>
    </row>
    <row r="38" spans="2:31">
      <c r="B38" s="1149"/>
      <c r="C38" s="1149"/>
      <c r="D38" s="1387" t="s">
        <v>1197</v>
      </c>
      <c r="E38" s="1386"/>
      <c r="F38" s="1386"/>
      <c r="G38" s="1386"/>
      <c r="H38" s="1385"/>
      <c r="I38" s="1149"/>
      <c r="J38" s="1149"/>
      <c r="K38" s="1149"/>
      <c r="L38" s="1149"/>
      <c r="M38" s="1149"/>
      <c r="N38" s="1149"/>
      <c r="O38" s="1149"/>
      <c r="P38" s="1375"/>
      <c r="Q38" s="1375"/>
      <c r="R38" s="1374"/>
      <c r="S38" s="1374"/>
      <c r="T38" s="1374"/>
      <c r="U38" s="1374"/>
      <c r="V38" s="1374"/>
      <c r="W38" s="1149"/>
      <c r="X38" s="1149"/>
      <c r="Z38" s="1362"/>
      <c r="AD38" s="570" t="s">
        <v>1188</v>
      </c>
      <c r="AE38" s="548" t="s">
        <v>1196</v>
      </c>
    </row>
    <row r="39" spans="2:31">
      <c r="B39" s="570" t="str">
        <f>"TPS"&amp;LEFT(AD39,1)&amp;AE39&amp;RIGHT(E39,1)&amp;MID(G39,3,1)&amp;"N"</f>
        <v>TPSSNGDUS2N</v>
      </c>
      <c r="D39" s="555" t="s">
        <v>1177</v>
      </c>
      <c r="E39" s="548" t="s">
        <v>1179</v>
      </c>
      <c r="F39" s="548"/>
      <c r="G39" s="548">
        <v>2020</v>
      </c>
      <c r="H39" s="1362" t="s">
        <v>1175</v>
      </c>
      <c r="I39" s="1362">
        <v>10.68</v>
      </c>
      <c r="J39" s="1362">
        <v>42.83</v>
      </c>
      <c r="K39" s="1362">
        <v>43203</v>
      </c>
      <c r="L39" s="1362">
        <v>21526</v>
      </c>
      <c r="M39" s="1362">
        <v>5.4</v>
      </c>
      <c r="N39" s="1362">
        <v>8.3000000000000007</v>
      </c>
      <c r="O39" s="1362">
        <v>25</v>
      </c>
      <c r="P39" s="1363"/>
      <c r="Q39" s="1363">
        <f>0.035*R39</f>
        <v>875.1871450000001</v>
      </c>
      <c r="R39" s="1362">
        <f>1.15*R7</f>
        <v>25005.347000000002</v>
      </c>
      <c r="T39" s="1362">
        <v>0.95</v>
      </c>
      <c r="U39" s="1362">
        <v>1E-3</v>
      </c>
      <c r="V39" s="1362"/>
      <c r="W39" s="1362"/>
      <c r="X39" s="1362">
        <v>5</v>
      </c>
      <c r="Z39" s="1362"/>
      <c r="AD39" s="548" t="s">
        <v>1178</v>
      </c>
      <c r="AE39" s="548" t="s">
        <v>1196</v>
      </c>
    </row>
    <row r="40" spans="2:31">
      <c r="D40" s="555" t="s">
        <v>1185</v>
      </c>
      <c r="E40" s="548"/>
      <c r="F40" s="548"/>
      <c r="G40" s="548"/>
      <c r="H40" s="1368"/>
      <c r="I40" s="1362"/>
      <c r="J40" s="1362"/>
      <c r="K40" s="1362"/>
      <c r="L40" s="1362"/>
      <c r="M40" s="1362"/>
      <c r="N40" s="1362"/>
      <c r="O40" s="1362"/>
      <c r="P40" s="1363"/>
      <c r="Q40" s="1363"/>
      <c r="R40" s="1362"/>
      <c r="S40" s="1362"/>
      <c r="T40" s="1362"/>
      <c r="U40" s="1362"/>
      <c r="V40" s="1362"/>
      <c r="X40" s="1362"/>
      <c r="Z40" s="1362"/>
      <c r="AD40" s="548" t="s">
        <v>1178</v>
      </c>
      <c r="AE40" s="548" t="s">
        <v>1196</v>
      </c>
    </row>
    <row r="41" spans="2:31">
      <c r="D41" s="555" t="s">
        <v>1177</v>
      </c>
      <c r="E41" s="548" t="s">
        <v>1179</v>
      </c>
      <c r="F41" s="548"/>
      <c r="G41" s="548">
        <v>2030</v>
      </c>
      <c r="H41" s="1362" t="s">
        <v>1175</v>
      </c>
      <c r="I41" s="1362">
        <v>10.68</v>
      </c>
      <c r="J41" s="1362">
        <v>42.83</v>
      </c>
      <c r="K41" s="1362">
        <v>43203</v>
      </c>
      <c r="L41" s="1362">
        <v>21526</v>
      </c>
      <c r="M41" s="1362">
        <v>5.4</v>
      </c>
      <c r="N41" s="1362">
        <v>8.3000000000000007</v>
      </c>
      <c r="O41" s="1362">
        <v>25</v>
      </c>
      <c r="P41" s="1363"/>
      <c r="Q41" s="1363">
        <v>831.42778775000011</v>
      </c>
      <c r="R41" s="1362">
        <v>23755.07965</v>
      </c>
      <c r="S41" s="1362"/>
      <c r="T41" s="1362">
        <v>0.95</v>
      </c>
      <c r="U41" s="1362">
        <v>1E-3</v>
      </c>
      <c r="V41" s="1362"/>
      <c r="X41" s="1362">
        <v>5</v>
      </c>
      <c r="Z41" s="1362"/>
      <c r="AD41" s="548" t="s">
        <v>1178</v>
      </c>
      <c r="AE41" s="548" t="s">
        <v>1196</v>
      </c>
    </row>
    <row r="42" spans="2:31">
      <c r="B42" s="1149"/>
      <c r="C42" s="1149"/>
      <c r="D42" s="1387" t="s">
        <v>1197</v>
      </c>
      <c r="E42" s="1386"/>
      <c r="F42" s="1386"/>
      <c r="G42" s="1386"/>
      <c r="H42" s="1385"/>
      <c r="I42" s="1374"/>
      <c r="J42" s="1374"/>
      <c r="K42" s="1374"/>
      <c r="L42" s="1374"/>
      <c r="M42" s="1374"/>
      <c r="N42" s="1374"/>
      <c r="O42" s="1374"/>
      <c r="P42" s="1375"/>
      <c r="Q42" s="1375"/>
      <c r="R42" s="1374"/>
      <c r="S42" s="1374"/>
      <c r="T42" s="1374"/>
      <c r="U42" s="1374"/>
      <c r="V42" s="1374"/>
      <c r="W42" s="1149"/>
      <c r="X42" s="1374"/>
      <c r="Z42" s="1362"/>
      <c r="AD42" s="548" t="s">
        <v>1178</v>
      </c>
      <c r="AE42" s="548" t="s">
        <v>1196</v>
      </c>
    </row>
    <row r="43" spans="2:31">
      <c r="B43" s="570" t="str">
        <f>"TPS"&amp;LEFT(AD43,1)&amp;AE43&amp;RIGHT(E43,1)&amp;MID(G43,3,1)&amp;"N"</f>
        <v>TPSMNGDUM2N</v>
      </c>
      <c r="D43" s="555" t="s">
        <v>1177</v>
      </c>
      <c r="E43" s="548" t="s">
        <v>1176</v>
      </c>
      <c r="F43" s="548"/>
      <c r="G43" s="548">
        <v>2020</v>
      </c>
      <c r="H43" s="1362" t="s">
        <v>1175</v>
      </c>
      <c r="I43" s="1362">
        <v>66.36</v>
      </c>
      <c r="J43" s="1362">
        <v>34.69</v>
      </c>
      <c r="K43" s="1362">
        <v>57461</v>
      </c>
      <c r="L43" s="1362">
        <v>50445</v>
      </c>
      <c r="M43" s="1362">
        <v>1.54</v>
      </c>
      <c r="N43" s="1362">
        <v>1.62</v>
      </c>
      <c r="O43" s="1362">
        <v>25</v>
      </c>
      <c r="P43" s="1363"/>
      <c r="Q43" s="1363">
        <f>0.035*R43</f>
        <v>2305.2099140000005</v>
      </c>
      <c r="R43" s="1362">
        <f>1.15*R9</f>
        <v>65863.140400000004</v>
      </c>
      <c r="S43" s="1362"/>
      <c r="T43" s="1362">
        <v>0.95</v>
      </c>
      <c r="U43" s="1362">
        <v>1E-3</v>
      </c>
      <c r="V43" s="1362"/>
      <c r="W43" s="1362"/>
      <c r="X43" s="1362">
        <v>5</v>
      </c>
      <c r="Z43" s="1362"/>
      <c r="AD43" s="548" t="s">
        <v>1174</v>
      </c>
      <c r="AE43" s="548" t="s">
        <v>1196</v>
      </c>
    </row>
    <row r="44" spans="2:31">
      <c r="D44" s="555" t="s">
        <v>1185</v>
      </c>
      <c r="E44" s="548"/>
      <c r="F44" s="548"/>
      <c r="G44" s="548"/>
      <c r="H44" s="1368"/>
      <c r="P44" s="1363"/>
      <c r="Q44" s="1363"/>
      <c r="R44" s="1362"/>
      <c r="S44" s="1362"/>
      <c r="T44" s="1362"/>
      <c r="U44" s="1362"/>
      <c r="V44" s="1362"/>
      <c r="X44" s="1362"/>
      <c r="Z44" s="1362"/>
      <c r="AD44" s="548" t="s">
        <v>1174</v>
      </c>
      <c r="AE44" s="548" t="s">
        <v>1196</v>
      </c>
    </row>
    <row r="45" spans="2:31">
      <c r="D45" s="555" t="s">
        <v>1177</v>
      </c>
      <c r="E45" s="548" t="s">
        <v>1176</v>
      </c>
      <c r="F45" s="548"/>
      <c r="G45" s="548">
        <v>2030</v>
      </c>
      <c r="H45" s="1362" t="s">
        <v>1175</v>
      </c>
      <c r="I45" s="1362">
        <v>66.36</v>
      </c>
      <c r="J45" s="1362">
        <v>34.69</v>
      </c>
      <c r="K45" s="1362">
        <v>57461</v>
      </c>
      <c r="L45" s="1362">
        <v>50445</v>
      </c>
      <c r="M45" s="1362">
        <v>1.54</v>
      </c>
      <c r="N45" s="1362">
        <v>1.62</v>
      </c>
      <c r="O45" s="1362">
        <v>25</v>
      </c>
      <c r="P45" s="1363"/>
      <c r="Q45" s="1363">
        <v>2189.9494183000002</v>
      </c>
      <c r="R45" s="1362">
        <v>62569.983379999998</v>
      </c>
      <c r="S45" s="1362"/>
      <c r="T45" s="1362">
        <v>0.95</v>
      </c>
      <c r="U45" s="1362">
        <v>1E-3</v>
      </c>
      <c r="V45" s="1362"/>
      <c r="X45" s="1362">
        <v>5</v>
      </c>
      <c r="Z45" s="1362"/>
      <c r="AD45" s="548" t="s">
        <v>1174</v>
      </c>
      <c r="AE45" s="548" t="s">
        <v>1196</v>
      </c>
    </row>
    <row r="46" spans="2:31">
      <c r="B46" s="1149"/>
      <c r="C46" s="1149"/>
      <c r="D46" s="1387" t="s">
        <v>1197</v>
      </c>
      <c r="E46" s="1386"/>
      <c r="F46" s="1386"/>
      <c r="G46" s="1386"/>
      <c r="H46" s="1385"/>
      <c r="I46" s="1149"/>
      <c r="J46" s="1149"/>
      <c r="K46" s="1149"/>
      <c r="L46" s="1149"/>
      <c r="M46" s="1149"/>
      <c r="N46" s="1149"/>
      <c r="O46" s="1149"/>
      <c r="P46" s="1375"/>
      <c r="Q46" s="1375"/>
      <c r="R46" s="1374"/>
      <c r="S46" s="1374"/>
      <c r="T46" s="1374"/>
      <c r="U46" s="1374"/>
      <c r="V46" s="1374"/>
      <c r="W46" s="1149"/>
      <c r="X46" s="1374"/>
      <c r="Z46" s="1362"/>
      <c r="AD46" s="548" t="s">
        <v>1174</v>
      </c>
      <c r="AE46" s="548" t="s">
        <v>1196</v>
      </c>
    </row>
    <row r="47" spans="2:31">
      <c r="B47" s="570" t="str">
        <f>"TPS"&amp;LEFT(AD47,1)&amp;AE47&amp;RIGHT(E47,1)&amp;MID(G47,3,1)&amp;"N"</f>
        <v>TPSLNGDUL2N</v>
      </c>
      <c r="D47" s="555" t="s">
        <v>1177</v>
      </c>
      <c r="E47" s="548" t="s">
        <v>1191</v>
      </c>
      <c r="F47" s="548"/>
      <c r="G47" s="548">
        <v>2020</v>
      </c>
      <c r="H47" s="1362" t="s">
        <v>1175</v>
      </c>
      <c r="I47" s="1362">
        <v>41.87</v>
      </c>
      <c r="J47" s="1362">
        <v>38.56</v>
      </c>
      <c r="K47" s="1362">
        <v>83713</v>
      </c>
      <c r="L47" s="1362">
        <v>52608</v>
      </c>
      <c r="M47" s="1362">
        <v>0.99</v>
      </c>
      <c r="N47" s="1362">
        <v>0.81</v>
      </c>
      <c r="O47" s="1362">
        <v>25</v>
      </c>
      <c r="P47" s="1363"/>
      <c r="Q47" s="1363">
        <f>0.035*R47</f>
        <v>5662.295698500001</v>
      </c>
      <c r="R47" s="1362">
        <f>1.15*R11</f>
        <v>161779.87710000001</v>
      </c>
      <c r="S47" s="1362"/>
      <c r="T47" s="1362">
        <v>0.95</v>
      </c>
      <c r="U47" s="1362">
        <v>1E-3</v>
      </c>
      <c r="V47" s="1362"/>
      <c r="W47" s="1362"/>
      <c r="X47" s="1362">
        <v>5</v>
      </c>
      <c r="Z47" s="1362"/>
      <c r="AD47" s="548" t="s">
        <v>1190</v>
      </c>
      <c r="AE47" s="548" t="s">
        <v>1196</v>
      </c>
    </row>
    <row r="48" spans="2:31">
      <c r="D48" s="555" t="s">
        <v>1185</v>
      </c>
      <c r="E48" s="548"/>
      <c r="F48" s="548"/>
      <c r="G48" s="548"/>
      <c r="H48" s="1368"/>
      <c r="P48" s="1363"/>
      <c r="Q48" s="1363"/>
      <c r="R48" s="1362"/>
      <c r="S48" s="1362"/>
      <c r="T48" s="1362"/>
      <c r="U48" s="1362"/>
      <c r="V48" s="1362"/>
      <c r="X48" s="1362"/>
      <c r="Z48" s="1362"/>
      <c r="AD48" s="548" t="s">
        <v>1190</v>
      </c>
      <c r="AE48" s="548" t="s">
        <v>1196</v>
      </c>
    </row>
    <row r="49" spans="2:34">
      <c r="D49" s="555" t="s">
        <v>1177</v>
      </c>
      <c r="E49" s="548" t="s">
        <v>1191</v>
      </c>
      <c r="F49" s="548"/>
      <c r="G49" s="548">
        <v>2030</v>
      </c>
      <c r="H49" s="1362" t="s">
        <v>1175</v>
      </c>
      <c r="I49" s="1362">
        <v>41.87</v>
      </c>
      <c r="J49" s="1362">
        <v>38.56</v>
      </c>
      <c r="K49" s="1362">
        <v>83713</v>
      </c>
      <c r="L49" s="1362">
        <v>52608</v>
      </c>
      <c r="M49" s="1362">
        <v>0.99</v>
      </c>
      <c r="N49" s="1362">
        <v>0.81</v>
      </c>
      <c r="O49" s="1362">
        <v>25</v>
      </c>
      <c r="P49" s="1363"/>
      <c r="Q49" s="1363">
        <v>5379.1809135750009</v>
      </c>
      <c r="R49" s="1362">
        <v>153690.883245</v>
      </c>
      <c r="S49" s="1362"/>
      <c r="T49" s="1362">
        <v>0.95</v>
      </c>
      <c r="U49" s="1362">
        <v>1E-3</v>
      </c>
      <c r="V49" s="1362"/>
      <c r="X49" s="1362">
        <v>5</v>
      </c>
      <c r="Z49" s="1362"/>
      <c r="AD49" s="548" t="s">
        <v>1190</v>
      </c>
      <c r="AE49" s="548" t="s">
        <v>1196</v>
      </c>
    </row>
    <row r="50" spans="2:34">
      <c r="B50" s="1149"/>
      <c r="C50" s="1149"/>
      <c r="D50" s="1387" t="s">
        <v>1197</v>
      </c>
      <c r="E50" s="1386"/>
      <c r="F50" s="1386"/>
      <c r="G50" s="1386"/>
      <c r="H50" s="1385"/>
      <c r="I50" s="1149"/>
      <c r="J50" s="1149"/>
      <c r="K50" s="1149"/>
      <c r="L50" s="1149"/>
      <c r="M50" s="1149"/>
      <c r="N50" s="1149"/>
      <c r="O50" s="1149"/>
      <c r="P50" s="1375"/>
      <c r="Q50" s="1375"/>
      <c r="R50" s="1374"/>
      <c r="S50" s="1374"/>
      <c r="T50" s="1374"/>
      <c r="U50" s="1374"/>
      <c r="V50" s="1374"/>
      <c r="W50" s="1149"/>
      <c r="X50" s="1374"/>
      <c r="Z50" s="1362"/>
      <c r="AD50" s="548" t="s">
        <v>1190</v>
      </c>
      <c r="AE50" s="548" t="s">
        <v>1196</v>
      </c>
    </row>
    <row r="51" spans="2:34">
      <c r="B51" s="570" t="str">
        <f>"TPS"&amp;LEFT(AD51,1)&amp;AE51&amp;RIGHT(E51,1)&amp;MID(G51,3,1)&amp;"N"</f>
        <v>TPSXNGDUL2N</v>
      </c>
      <c r="D51" s="555" t="s">
        <v>1177</v>
      </c>
      <c r="E51" s="548" t="s">
        <v>1189</v>
      </c>
      <c r="F51" s="548"/>
      <c r="G51" s="548">
        <v>2020</v>
      </c>
      <c r="H51" s="1362" t="s">
        <v>1175</v>
      </c>
      <c r="I51" s="1362">
        <v>213.92</v>
      </c>
      <c r="J51" s="1362">
        <v>213.92</v>
      </c>
      <c r="K51" s="1362">
        <v>140122</v>
      </c>
      <c r="L51" s="1362">
        <v>140122</v>
      </c>
      <c r="M51" s="1362">
        <v>0.215</v>
      </c>
      <c r="N51" s="1362">
        <v>0.215</v>
      </c>
      <c r="O51" s="1362">
        <v>25</v>
      </c>
      <c r="P51" s="1363"/>
      <c r="Q51" s="1363">
        <f>0.035*R51</f>
        <v>50923.269600000007</v>
      </c>
      <c r="R51" s="1362">
        <f>1.15*R13</f>
        <v>1454950.56</v>
      </c>
      <c r="S51" s="1362"/>
      <c r="T51" s="1362">
        <v>0.95</v>
      </c>
      <c r="U51" s="1362">
        <v>1E-3</v>
      </c>
      <c r="V51" s="1362"/>
      <c r="W51" s="1362"/>
      <c r="X51" s="1362">
        <v>5</v>
      </c>
      <c r="Z51" s="1362"/>
      <c r="AD51" s="570" t="s">
        <v>1188</v>
      </c>
      <c r="AE51" s="548" t="s">
        <v>1196</v>
      </c>
    </row>
    <row r="52" spans="2:34">
      <c r="D52" s="555" t="s">
        <v>1185</v>
      </c>
      <c r="E52" s="548"/>
      <c r="F52" s="548"/>
      <c r="G52" s="548"/>
      <c r="H52" s="1368"/>
      <c r="I52" s="1368"/>
      <c r="J52" s="1362"/>
      <c r="K52" s="1362"/>
      <c r="L52" s="1362"/>
      <c r="M52" s="1362"/>
      <c r="N52" s="1362"/>
      <c r="O52" s="1364"/>
      <c r="P52" s="1363"/>
      <c r="Q52" s="1363"/>
      <c r="R52" s="1362"/>
      <c r="S52" s="1362"/>
      <c r="T52" s="1362"/>
      <c r="U52" s="1362"/>
      <c r="Z52" s="1362"/>
      <c r="AD52" s="570" t="s">
        <v>1188</v>
      </c>
      <c r="AE52" s="548" t="s">
        <v>1196</v>
      </c>
    </row>
    <row r="53" spans="2:34">
      <c r="D53" s="555" t="s">
        <v>1177</v>
      </c>
      <c r="E53" s="548" t="s">
        <v>1189</v>
      </c>
      <c r="F53" s="548"/>
      <c r="G53" s="548">
        <v>2030</v>
      </c>
      <c r="H53" s="1362" t="s">
        <v>1175</v>
      </c>
      <c r="I53" s="1362">
        <v>213.92</v>
      </c>
      <c r="J53" s="1362">
        <v>213.92</v>
      </c>
      <c r="K53" s="1362">
        <v>140122</v>
      </c>
      <c r="L53" s="1362">
        <v>140122</v>
      </c>
      <c r="M53" s="1362">
        <v>0.215</v>
      </c>
      <c r="N53" s="1362">
        <v>0.215</v>
      </c>
      <c r="O53" s="1362">
        <v>25</v>
      </c>
      <c r="P53" s="1363"/>
      <c r="Q53" s="1363">
        <v>48377.106120000004</v>
      </c>
      <c r="R53" s="1362">
        <v>1382203.0319999999</v>
      </c>
      <c r="S53" s="1362"/>
      <c r="T53" s="1362">
        <v>0.95</v>
      </c>
      <c r="U53" s="1362">
        <v>1E-3</v>
      </c>
      <c r="V53" s="1362"/>
      <c r="X53" s="1362">
        <v>5</v>
      </c>
      <c r="Z53" s="1362"/>
      <c r="AD53" s="570" t="s">
        <v>1188</v>
      </c>
      <c r="AE53" s="548" t="s">
        <v>1196</v>
      </c>
    </row>
    <row r="54" spans="2:34" ht="13.8" thickBot="1">
      <c r="B54" s="1149"/>
      <c r="C54" s="1149"/>
      <c r="D54" s="1387" t="s">
        <v>1197</v>
      </c>
      <c r="E54" s="1386"/>
      <c r="F54" s="1386"/>
      <c r="G54" s="1386"/>
      <c r="H54" s="1385"/>
      <c r="I54" s="1385"/>
      <c r="J54" s="1374"/>
      <c r="K54" s="1374"/>
      <c r="L54" s="1374"/>
      <c r="M54" s="1374"/>
      <c r="N54" s="1374"/>
      <c r="O54" s="1376"/>
      <c r="P54" s="1375"/>
      <c r="Q54" s="1375"/>
      <c r="R54" s="1374"/>
      <c r="S54" s="1374"/>
      <c r="T54" s="1374"/>
      <c r="U54" s="1362"/>
      <c r="V54" s="1149"/>
      <c r="W54" s="1149"/>
      <c r="X54" s="1149"/>
      <c r="Z54" s="1362"/>
      <c r="AD54" s="570" t="s">
        <v>1188</v>
      </c>
      <c r="AE54" s="548" t="s">
        <v>1196</v>
      </c>
    </row>
    <row r="55" spans="2:34">
      <c r="B55" s="570" t="str">
        <f t="shared" ref="B55:B71" si="2">"TPS"&amp;LEFT(AD55,1)&amp;AE55&amp;RIGHT(E55,1)&amp;MID(G55,3,1)&amp;"N"</f>
        <v>TPSSELCCS2N</v>
      </c>
      <c r="D55" s="1384" t="s">
        <v>80</v>
      </c>
      <c r="E55" s="1383" t="s">
        <v>1179</v>
      </c>
      <c r="F55" s="1383"/>
      <c r="G55" s="1383">
        <v>2020</v>
      </c>
      <c r="H55" s="1379" t="s">
        <v>1175</v>
      </c>
      <c r="I55" s="1362">
        <v>10.68</v>
      </c>
      <c r="J55" s="1362">
        <v>42.83</v>
      </c>
      <c r="K55" s="1362">
        <v>43203</v>
      </c>
      <c r="L55" s="1362">
        <v>21526</v>
      </c>
      <c r="M55" s="1362">
        <v>5.4</v>
      </c>
      <c r="N55" s="1362">
        <v>8.3000000000000007</v>
      </c>
      <c r="O55" s="1362">
        <v>25</v>
      </c>
      <c r="P55" s="1380"/>
      <c r="Q55" s="1363">
        <f>0.53*100</f>
        <v>53</v>
      </c>
      <c r="R55" s="1362">
        <v>45198.631800000003</v>
      </c>
      <c r="T55" s="1362"/>
      <c r="U55" s="1362">
        <v>1E-3</v>
      </c>
      <c r="V55" s="1379"/>
      <c r="AA55" s="1362"/>
      <c r="AD55" s="548" t="s">
        <v>1178</v>
      </c>
      <c r="AE55" s="548" t="s">
        <v>1194</v>
      </c>
      <c r="AF55" s="548"/>
      <c r="AG55" s="570" t="s">
        <v>1195</v>
      </c>
      <c r="AH55" s="683"/>
    </row>
    <row r="56" spans="2:34" ht="13.8" thickBot="1">
      <c r="B56" s="1261" t="str">
        <f t="shared" si="2"/>
        <v>TPSMELCCM2N</v>
      </c>
      <c r="D56" s="1382" t="s">
        <v>80</v>
      </c>
      <c r="E56" s="1378" t="s">
        <v>1176</v>
      </c>
      <c r="F56" s="1378"/>
      <c r="G56" s="1378">
        <v>2020</v>
      </c>
      <c r="H56" s="1377" t="s">
        <v>1175</v>
      </c>
      <c r="I56" s="1362">
        <v>66.36</v>
      </c>
      <c r="J56" s="1362">
        <v>34.69</v>
      </c>
      <c r="K56" s="1362">
        <v>57461</v>
      </c>
      <c r="L56" s="1362">
        <v>50445</v>
      </c>
      <c r="M56" s="1362">
        <v>1.54</v>
      </c>
      <c r="N56" s="1362">
        <v>1.62</v>
      </c>
      <c r="O56" s="1362">
        <v>25</v>
      </c>
      <c r="P56" s="1381"/>
      <c r="Q56" s="1381">
        <f>100*1.396</f>
        <v>139.6</v>
      </c>
      <c r="R56" s="1377">
        <v>73976</v>
      </c>
      <c r="T56" s="1362"/>
      <c r="U56" s="1362">
        <v>1E-3</v>
      </c>
      <c r="V56" s="1377"/>
      <c r="AA56" s="1362"/>
      <c r="AD56" s="548" t="s">
        <v>1174</v>
      </c>
      <c r="AE56" s="548" t="s">
        <v>1194</v>
      </c>
      <c r="AF56" s="548"/>
      <c r="AG56" s="570" t="s">
        <v>1193</v>
      </c>
    </row>
    <row r="57" spans="2:34">
      <c r="B57" s="570" t="str">
        <f t="shared" si="2"/>
        <v>TPSSMOICSN</v>
      </c>
      <c r="D57" s="555" t="s">
        <v>1183</v>
      </c>
      <c r="E57" s="548" t="s">
        <v>1179</v>
      </c>
      <c r="F57" s="548"/>
      <c r="G57" s="548">
        <f>V57</f>
        <v>0</v>
      </c>
      <c r="H57" s="1362" t="s">
        <v>1175</v>
      </c>
      <c r="I57" s="1362">
        <v>10.68</v>
      </c>
      <c r="J57" s="1362">
        <v>42.83</v>
      </c>
      <c r="K57" s="1362">
        <v>43203</v>
      </c>
      <c r="L57" s="1362">
        <v>21526</v>
      </c>
      <c r="M57" s="1362">
        <v>5.4</v>
      </c>
      <c r="N57" s="1362">
        <v>8.3000000000000007</v>
      </c>
      <c r="O57" s="1362">
        <v>25</v>
      </c>
      <c r="P57" s="1380"/>
      <c r="Q57" s="1380">
        <f t="shared" ref="Q57:Q70" si="3">0.035*R57</f>
        <v>766.24485000000016</v>
      </c>
      <c r="R57" s="1362">
        <f>41.307*530</f>
        <v>21892.710000000003</v>
      </c>
      <c r="U57" s="1379">
        <v>1E-3</v>
      </c>
      <c r="V57" s="1379"/>
      <c r="AA57" s="1362"/>
      <c r="AD57" s="548" t="s">
        <v>1178</v>
      </c>
      <c r="AE57" s="548" t="s">
        <v>1187</v>
      </c>
      <c r="AF57" s="548"/>
      <c r="AG57" s="548" t="s">
        <v>1192</v>
      </c>
    </row>
    <row r="58" spans="2:34">
      <c r="B58" s="570" t="str">
        <f t="shared" si="2"/>
        <v>TPSMMOICMN</v>
      </c>
      <c r="D58" s="555" t="s">
        <v>1183</v>
      </c>
      <c r="E58" s="548" t="s">
        <v>1176</v>
      </c>
      <c r="F58" s="548"/>
      <c r="G58" s="548">
        <f t="shared" ref="G58:G70" si="4">V58</f>
        <v>0</v>
      </c>
      <c r="H58" s="1362" t="s">
        <v>1175</v>
      </c>
      <c r="I58" s="1362">
        <v>66.36</v>
      </c>
      <c r="J58" s="1362">
        <v>34.69</v>
      </c>
      <c r="K58" s="1362">
        <v>57461</v>
      </c>
      <c r="L58" s="1362">
        <v>50445</v>
      </c>
      <c r="M58" s="1362">
        <v>1.54</v>
      </c>
      <c r="N58" s="1362">
        <v>1.62</v>
      </c>
      <c r="O58" s="1362">
        <v>25</v>
      </c>
      <c r="P58" s="1363"/>
      <c r="Q58" s="1363">
        <f t="shared" si="3"/>
        <v>2018.2600200000002</v>
      </c>
      <c r="R58" s="1362">
        <f>41.307*1396</f>
        <v>57664.572</v>
      </c>
      <c r="U58" s="1362">
        <v>1E-3</v>
      </c>
      <c r="V58" s="1362"/>
      <c r="AA58" s="1362"/>
      <c r="AD58" s="548" t="s">
        <v>1174</v>
      </c>
      <c r="AE58" s="548" t="s">
        <v>1187</v>
      </c>
      <c r="AF58" s="548"/>
    </row>
    <row r="59" spans="2:34">
      <c r="B59" s="570" t="str">
        <f t="shared" si="2"/>
        <v>TPSLMOICLN</v>
      </c>
      <c r="D59" s="555" t="s">
        <v>1183</v>
      </c>
      <c r="E59" s="548" t="s">
        <v>1191</v>
      </c>
      <c r="F59" s="548"/>
      <c r="G59" s="548">
        <f t="shared" si="4"/>
        <v>0</v>
      </c>
      <c r="H59" s="1362" t="s">
        <v>1175</v>
      </c>
      <c r="I59" s="1362">
        <v>41.87</v>
      </c>
      <c r="J59" s="1362">
        <v>38.56</v>
      </c>
      <c r="K59" s="1362">
        <v>83713</v>
      </c>
      <c r="L59" s="1362">
        <v>52608</v>
      </c>
      <c r="M59" s="1362">
        <v>0.99</v>
      </c>
      <c r="N59" s="1362">
        <v>0.81</v>
      </c>
      <c r="O59" s="1362">
        <v>25</v>
      </c>
      <c r="P59" s="1363"/>
      <c r="Q59" s="1363">
        <f t="shared" si="3"/>
        <v>4957.4596050000009</v>
      </c>
      <c r="R59" s="1362">
        <f>41.307*3429</f>
        <v>141641.70300000001</v>
      </c>
      <c r="U59" s="1362">
        <v>1E-3</v>
      </c>
      <c r="V59" s="1362"/>
      <c r="AA59" s="1362"/>
      <c r="AD59" s="548" t="s">
        <v>1190</v>
      </c>
      <c r="AE59" s="548" t="s">
        <v>1187</v>
      </c>
      <c r="AF59" s="548"/>
    </row>
    <row r="60" spans="2:34">
      <c r="B60" s="570" t="str">
        <f t="shared" si="2"/>
        <v>TPSXMOICLN</v>
      </c>
      <c r="D60" s="555" t="s">
        <v>1183</v>
      </c>
      <c r="E60" s="548" t="s">
        <v>1189</v>
      </c>
      <c r="F60" s="548"/>
      <c r="G60" s="548">
        <f t="shared" si="4"/>
        <v>0</v>
      </c>
      <c r="H60" s="1362" t="s">
        <v>1175</v>
      </c>
      <c r="I60" s="1362">
        <v>213.92</v>
      </c>
      <c r="J60" s="1362">
        <v>213.92</v>
      </c>
      <c r="K60" s="1362">
        <v>140122</v>
      </c>
      <c r="L60" s="1362">
        <v>140122</v>
      </c>
      <c r="M60" s="1362">
        <v>0.215</v>
      </c>
      <c r="N60" s="1362">
        <v>0.215</v>
      </c>
      <c r="O60" s="1362">
        <v>25</v>
      </c>
      <c r="P60" s="1363"/>
      <c r="Q60" s="1363">
        <f t="shared" si="3"/>
        <v>45229.984800000006</v>
      </c>
      <c r="R60" s="1362">
        <f>40.183*32160</f>
        <v>1292285.28</v>
      </c>
      <c r="U60" s="1362">
        <v>1E-3</v>
      </c>
      <c r="V60" s="1362"/>
      <c r="AA60" s="1362"/>
      <c r="AD60" s="570" t="s">
        <v>1188</v>
      </c>
      <c r="AE60" s="548" t="s">
        <v>1187</v>
      </c>
      <c r="AF60" s="548"/>
    </row>
    <row r="61" spans="2:34">
      <c r="B61" s="570" t="str">
        <f t="shared" si="2"/>
        <v>TPSSH2ICSN</v>
      </c>
      <c r="D61" s="555" t="s">
        <v>1181</v>
      </c>
      <c r="E61" s="548" t="s">
        <v>1179</v>
      </c>
      <c r="F61" s="548"/>
      <c r="G61" s="548">
        <f t="shared" si="4"/>
        <v>0</v>
      </c>
      <c r="H61" s="1362" t="s">
        <v>1175</v>
      </c>
      <c r="I61" s="1362">
        <v>10.68</v>
      </c>
      <c r="J61" s="1362">
        <v>42.83</v>
      </c>
      <c r="K61" s="1362">
        <v>43203</v>
      </c>
      <c r="L61" s="1362">
        <v>21526</v>
      </c>
      <c r="M61" s="1362">
        <v>5.4</v>
      </c>
      <c r="N61" s="1362">
        <v>8.3000000000000007</v>
      </c>
      <c r="O61" s="1362">
        <v>25</v>
      </c>
      <c r="P61" s="1362"/>
      <c r="Q61" s="1363">
        <f t="shared" si="3"/>
        <v>844.43310000000008</v>
      </c>
      <c r="R61" s="1362">
        <f>45.522*530</f>
        <v>24126.66</v>
      </c>
      <c r="U61" s="1362">
        <v>1E-3</v>
      </c>
      <c r="V61" s="1362"/>
      <c r="AA61" s="1362"/>
      <c r="AD61" s="548" t="s">
        <v>1178</v>
      </c>
      <c r="AE61" s="548" t="s">
        <v>1186</v>
      </c>
      <c r="AF61" s="548"/>
    </row>
    <row r="62" spans="2:34">
      <c r="B62" s="570" t="str">
        <f t="shared" si="2"/>
        <v>TPSMH2ICMN</v>
      </c>
      <c r="D62" s="555" t="s">
        <v>1181</v>
      </c>
      <c r="E62" s="548" t="s">
        <v>1176</v>
      </c>
      <c r="F62" s="548"/>
      <c r="G62" s="548">
        <f t="shared" si="4"/>
        <v>0</v>
      </c>
      <c r="H62" s="1362" t="s">
        <v>1175</v>
      </c>
      <c r="I62" s="1362">
        <v>66.36</v>
      </c>
      <c r="J62" s="1362">
        <v>34.69</v>
      </c>
      <c r="K62" s="1362">
        <v>57461</v>
      </c>
      <c r="L62" s="1362">
        <v>50445</v>
      </c>
      <c r="M62" s="1362">
        <v>1.54</v>
      </c>
      <c r="N62" s="1362">
        <v>1.62</v>
      </c>
      <c r="O62" s="1362">
        <v>25</v>
      </c>
      <c r="P62" s="1362"/>
      <c r="Q62" s="1363">
        <f t="shared" si="3"/>
        <v>2224.2049200000001</v>
      </c>
      <c r="R62" s="1362">
        <f>45.522*1396</f>
        <v>63548.712</v>
      </c>
      <c r="U62" s="1362">
        <v>1E-3</v>
      </c>
      <c r="V62" s="1362"/>
      <c r="AA62" s="1362"/>
      <c r="AD62" s="548" t="s">
        <v>1174</v>
      </c>
      <c r="AE62" s="548" t="s">
        <v>1186</v>
      </c>
      <c r="AF62" s="548"/>
    </row>
    <row r="63" spans="2:34">
      <c r="B63" s="570" t="str">
        <f t="shared" si="2"/>
        <v>TPSSFOFCSN</v>
      </c>
      <c r="D63" s="555" t="s">
        <v>1185</v>
      </c>
      <c r="E63" s="548" t="s">
        <v>1179</v>
      </c>
      <c r="F63" s="548"/>
      <c r="G63" s="548">
        <f t="shared" si="4"/>
        <v>0</v>
      </c>
      <c r="H63" s="1362" t="s">
        <v>1175</v>
      </c>
      <c r="I63" s="1362">
        <v>10.68</v>
      </c>
      <c r="J63" s="1362">
        <v>42.83</v>
      </c>
      <c r="K63" s="1362">
        <v>43203</v>
      </c>
      <c r="L63" s="1362">
        <v>21526</v>
      </c>
      <c r="M63" s="1362">
        <v>5.4</v>
      </c>
      <c r="N63" s="1362">
        <v>8.3000000000000007</v>
      </c>
      <c r="O63" s="1362">
        <v>25</v>
      </c>
      <c r="P63" s="1362"/>
      <c r="Q63" s="1363">
        <f t="shared" si="3"/>
        <v>1105.0606</v>
      </c>
      <c r="R63" s="1362">
        <f>59.572*530</f>
        <v>31573.16</v>
      </c>
      <c r="U63" s="1362">
        <v>1E-3</v>
      </c>
      <c r="V63" s="1362"/>
      <c r="AA63" s="1362"/>
      <c r="AD63" s="548" t="s">
        <v>1178</v>
      </c>
      <c r="AE63" s="548" t="s">
        <v>1184</v>
      </c>
      <c r="AF63" s="548"/>
    </row>
    <row r="64" spans="2:34">
      <c r="B64" s="570" t="str">
        <f t="shared" si="2"/>
        <v>TPSMFOFCMN</v>
      </c>
      <c r="D64" s="555" t="s">
        <v>1185</v>
      </c>
      <c r="E64" s="548" t="s">
        <v>1176</v>
      </c>
      <c r="F64" s="548"/>
      <c r="G64" s="548">
        <f t="shared" si="4"/>
        <v>0</v>
      </c>
      <c r="H64" s="1362" t="s">
        <v>1175</v>
      </c>
      <c r="I64" s="1362">
        <v>66.36</v>
      </c>
      <c r="J64" s="1362">
        <v>34.69</v>
      </c>
      <c r="K64" s="1362">
        <v>57461</v>
      </c>
      <c r="L64" s="1362">
        <v>50445</v>
      </c>
      <c r="M64" s="1362">
        <v>1.54</v>
      </c>
      <c r="N64" s="1362">
        <v>1.62</v>
      </c>
      <c r="O64" s="1362">
        <v>25</v>
      </c>
      <c r="P64" s="1362"/>
      <c r="Q64" s="1363">
        <f t="shared" si="3"/>
        <v>2910.6879200000003</v>
      </c>
      <c r="R64" s="1362">
        <f>59.572*1396</f>
        <v>83162.512000000002</v>
      </c>
      <c r="U64" s="1362">
        <v>1E-3</v>
      </c>
      <c r="V64" s="1362"/>
      <c r="AA64" s="1362"/>
      <c r="AD64" s="548" t="s">
        <v>1174</v>
      </c>
      <c r="AE64" s="548" t="s">
        <v>1184</v>
      </c>
      <c r="AF64" s="548"/>
    </row>
    <row r="65" spans="2:32">
      <c r="B65" s="570" t="str">
        <f t="shared" si="2"/>
        <v>TPSSMOFCSN</v>
      </c>
      <c r="D65" s="555" t="s">
        <v>1183</v>
      </c>
      <c r="E65" s="548" t="s">
        <v>1179</v>
      </c>
      <c r="F65" s="548"/>
      <c r="G65" s="548">
        <f t="shared" si="4"/>
        <v>0</v>
      </c>
      <c r="H65" s="1362" t="s">
        <v>1175</v>
      </c>
      <c r="I65" s="1362">
        <v>10.68</v>
      </c>
      <c r="J65" s="1362">
        <v>42.83</v>
      </c>
      <c r="K65" s="1362">
        <v>43203</v>
      </c>
      <c r="L65" s="1362">
        <v>21526</v>
      </c>
      <c r="M65" s="1362">
        <v>5.4</v>
      </c>
      <c r="N65" s="1362">
        <v>8.3000000000000007</v>
      </c>
      <c r="O65" s="1362">
        <v>25</v>
      </c>
      <c r="P65" s="1362"/>
      <c r="Q65" s="1363">
        <f t="shared" si="3"/>
        <v>1110.2731500000002</v>
      </c>
      <c r="R65" s="1362">
        <f>59.853*530</f>
        <v>31722.09</v>
      </c>
      <c r="U65" s="1362">
        <v>1E-3</v>
      </c>
      <c r="V65" s="1362"/>
      <c r="AA65" s="1362"/>
      <c r="AD65" s="548" t="s">
        <v>1178</v>
      </c>
      <c r="AE65" s="548" t="s">
        <v>1182</v>
      </c>
      <c r="AF65" s="548"/>
    </row>
    <row r="66" spans="2:32">
      <c r="B66" s="570" t="str">
        <f t="shared" si="2"/>
        <v>TPSMMOFCMN</v>
      </c>
      <c r="D66" s="555" t="s">
        <v>1183</v>
      </c>
      <c r="E66" s="548" t="s">
        <v>1176</v>
      </c>
      <c r="F66" s="548"/>
      <c r="G66" s="548">
        <f t="shared" si="4"/>
        <v>0</v>
      </c>
      <c r="H66" s="1362" t="s">
        <v>1175</v>
      </c>
      <c r="I66" s="1362">
        <v>66.36</v>
      </c>
      <c r="J66" s="1362">
        <v>34.69</v>
      </c>
      <c r="K66" s="1362">
        <v>57461</v>
      </c>
      <c r="L66" s="1362">
        <v>50445</v>
      </c>
      <c r="M66" s="1362">
        <v>1.54</v>
      </c>
      <c r="N66" s="1362">
        <v>1.62</v>
      </c>
      <c r="O66" s="1362">
        <v>25</v>
      </c>
      <c r="P66" s="1362"/>
      <c r="Q66" s="1363">
        <f t="shared" si="3"/>
        <v>2924.4175800000003</v>
      </c>
      <c r="R66" s="1362">
        <f>59.853*1396</f>
        <v>83554.788</v>
      </c>
      <c r="U66" s="1362">
        <v>1E-3</v>
      </c>
      <c r="V66" s="1362"/>
      <c r="AA66" s="1362"/>
      <c r="AD66" s="548" t="s">
        <v>1174</v>
      </c>
      <c r="AE66" s="548" t="s">
        <v>1182</v>
      </c>
      <c r="AF66" s="548"/>
    </row>
    <row r="67" spans="2:32">
      <c r="B67" s="570" t="str">
        <f t="shared" si="2"/>
        <v>TPSSH2FCSN</v>
      </c>
      <c r="D67" s="555" t="s">
        <v>1181</v>
      </c>
      <c r="E67" s="548" t="s">
        <v>1179</v>
      </c>
      <c r="F67" s="548"/>
      <c r="G67" s="548">
        <f t="shared" si="4"/>
        <v>0</v>
      </c>
      <c r="H67" s="1362" t="s">
        <v>1175</v>
      </c>
      <c r="I67" s="1362">
        <v>10.68</v>
      </c>
      <c r="J67" s="1362">
        <v>42.83</v>
      </c>
      <c r="K67" s="1362">
        <v>43203</v>
      </c>
      <c r="L67" s="1362">
        <v>21526</v>
      </c>
      <c r="M67" s="1362">
        <v>5.4</v>
      </c>
      <c r="N67" s="1362">
        <v>8.3000000000000007</v>
      </c>
      <c r="O67" s="1362">
        <v>25</v>
      </c>
      <c r="P67" s="1362"/>
      <c r="Q67" s="1363">
        <f t="shared" si="3"/>
        <v>1157.1861000000001</v>
      </c>
      <c r="R67" s="1362">
        <f>62.382*530</f>
        <v>33062.46</v>
      </c>
      <c r="U67" s="1362">
        <v>1E-3</v>
      </c>
      <c r="V67" s="1362"/>
      <c r="AA67" s="1362"/>
      <c r="AD67" s="548" t="s">
        <v>1178</v>
      </c>
      <c r="AE67" s="548" t="s">
        <v>1180</v>
      </c>
      <c r="AF67" s="548"/>
    </row>
    <row r="68" spans="2:32">
      <c r="B68" s="570" t="str">
        <f t="shared" si="2"/>
        <v>TPSMH2FCMN</v>
      </c>
      <c r="D68" s="555" t="s">
        <v>1181</v>
      </c>
      <c r="E68" s="548" t="s">
        <v>1176</v>
      </c>
      <c r="F68" s="548"/>
      <c r="G68" s="548">
        <f t="shared" si="4"/>
        <v>0</v>
      </c>
      <c r="H68" s="1362" t="s">
        <v>1175</v>
      </c>
      <c r="I68" s="1362">
        <v>66.36</v>
      </c>
      <c r="J68" s="1362">
        <v>34.69</v>
      </c>
      <c r="K68" s="1362">
        <v>57461</v>
      </c>
      <c r="L68" s="1362">
        <v>50445</v>
      </c>
      <c r="M68" s="1362">
        <v>1.54</v>
      </c>
      <c r="N68" s="1362">
        <v>1.62</v>
      </c>
      <c r="O68" s="1362">
        <v>25</v>
      </c>
      <c r="P68" s="1362"/>
      <c r="Q68" s="1363">
        <f t="shared" si="3"/>
        <v>3047.98452</v>
      </c>
      <c r="R68" s="1362">
        <f>62.382*1396</f>
        <v>87085.271999999997</v>
      </c>
      <c r="U68" s="1362">
        <v>1E-3</v>
      </c>
      <c r="V68" s="1362"/>
      <c r="AA68" s="1362"/>
      <c r="AD68" s="548" t="s">
        <v>1174</v>
      </c>
      <c r="AE68" s="548" t="s">
        <v>1180</v>
      </c>
      <c r="AF68" s="548"/>
    </row>
    <row r="69" spans="2:32">
      <c r="B69" s="570" t="str">
        <f t="shared" si="2"/>
        <v>TPSSNGFCSN</v>
      </c>
      <c r="D69" s="555" t="s">
        <v>1177</v>
      </c>
      <c r="E69" s="548" t="s">
        <v>1179</v>
      </c>
      <c r="F69" s="548"/>
      <c r="G69" s="548">
        <f t="shared" si="4"/>
        <v>0</v>
      </c>
      <c r="H69" s="1362" t="s">
        <v>1175</v>
      </c>
      <c r="I69" s="1362">
        <v>10.68</v>
      </c>
      <c r="J69" s="1362">
        <v>42.83</v>
      </c>
      <c r="K69" s="1362">
        <v>43203</v>
      </c>
      <c r="L69" s="1362">
        <v>21526</v>
      </c>
      <c r="M69" s="1362">
        <v>5.4</v>
      </c>
      <c r="N69" s="1362">
        <v>8.3000000000000007</v>
      </c>
      <c r="O69" s="1362">
        <v>25</v>
      </c>
      <c r="P69" s="1363"/>
      <c r="Q69" s="1363">
        <f t="shared" si="3"/>
        <v>1120.6982500000001</v>
      </c>
      <c r="R69" s="1362">
        <f>60.415*530</f>
        <v>32019.95</v>
      </c>
      <c r="U69" s="1362">
        <v>1E-3</v>
      </c>
      <c r="V69" s="1362"/>
      <c r="AA69" s="1362"/>
      <c r="AD69" s="548" t="s">
        <v>1178</v>
      </c>
      <c r="AE69" s="548" t="s">
        <v>1173</v>
      </c>
      <c r="AF69" s="548"/>
    </row>
    <row r="70" spans="2:32" ht="13.8" thickBot="1">
      <c r="B70" s="1261" t="str">
        <f t="shared" si="2"/>
        <v>TPSMNGFCMN</v>
      </c>
      <c r="C70" s="1261"/>
      <c r="D70" s="555" t="s">
        <v>1177</v>
      </c>
      <c r="E70" s="1378" t="s">
        <v>1176</v>
      </c>
      <c r="F70" s="1378"/>
      <c r="G70" s="1378">
        <f t="shared" si="4"/>
        <v>0</v>
      </c>
      <c r="H70" s="1377" t="s">
        <v>1175</v>
      </c>
      <c r="I70" s="1374">
        <v>66.36</v>
      </c>
      <c r="J70" s="1374">
        <v>34.69</v>
      </c>
      <c r="K70" s="1374">
        <v>57461</v>
      </c>
      <c r="L70" s="1374">
        <v>50445</v>
      </c>
      <c r="M70" s="1374">
        <v>1.54</v>
      </c>
      <c r="N70" s="1374">
        <v>1.62</v>
      </c>
      <c r="O70" s="1374">
        <v>25</v>
      </c>
      <c r="P70" s="1376"/>
      <c r="Q70" s="1375">
        <f t="shared" si="3"/>
        <v>2951.8769000000002</v>
      </c>
      <c r="R70" s="1374">
        <f>60.415*1396</f>
        <v>84339.34</v>
      </c>
      <c r="U70" s="1374">
        <v>1E-3</v>
      </c>
      <c r="V70" s="1374"/>
      <c r="AA70" s="1362"/>
      <c r="AD70" s="548" t="s">
        <v>1174</v>
      </c>
      <c r="AE70" s="548" t="s">
        <v>1173</v>
      </c>
      <c r="AF70" s="548"/>
    </row>
    <row r="71" spans="2:32">
      <c r="B71" s="570" t="str">
        <f t="shared" si="2"/>
        <v>TPSIFOICI1N</v>
      </c>
      <c r="C71" s="567" t="s">
        <v>639</v>
      </c>
      <c r="D71" s="570" t="s">
        <v>1170</v>
      </c>
      <c r="E71" s="548" t="s">
        <v>1169</v>
      </c>
      <c r="F71" s="548"/>
      <c r="G71" s="570">
        <v>2011</v>
      </c>
      <c r="H71" s="570" t="str">
        <f>"MKr"&amp;RIGHT('[13]EU Diesel IC-reg.tog'!$H$38,2)</f>
        <v>MKr11</v>
      </c>
      <c r="I71" s="1368"/>
      <c r="J71" s="1362"/>
      <c r="K71" s="1362"/>
      <c r="L71" s="1371">
        <v>56412.833206397569</v>
      </c>
      <c r="M71" s="549">
        <v>401.44550513977305</v>
      </c>
      <c r="N71" s="549">
        <v>401.44550513977305</v>
      </c>
      <c r="O71" s="1370">
        <v>28</v>
      </c>
      <c r="P71" s="1363"/>
      <c r="Q71" s="549">
        <f>'[13]EU 9000 TEU HFO'!$D$68*365*6.5/1000</f>
        <v>27283.75</v>
      </c>
      <c r="R71" s="1244">
        <v>188100</v>
      </c>
      <c r="S71" s="1362"/>
      <c r="T71" s="1362"/>
      <c r="U71" s="1362"/>
      <c r="X71" s="557"/>
      <c r="AA71" s="570">
        <v>5</v>
      </c>
      <c r="AD71" s="570" t="s">
        <v>518</v>
      </c>
      <c r="AE71" s="548" t="s">
        <v>1167</v>
      </c>
    </row>
    <row r="72" spans="2:32">
      <c r="C72" s="567"/>
      <c r="D72" s="570" t="s">
        <v>1172</v>
      </c>
      <c r="E72" s="548"/>
      <c r="F72" s="570" t="s">
        <v>1168</v>
      </c>
      <c r="G72" s="1373"/>
      <c r="I72" s="1368"/>
      <c r="J72" s="1362"/>
      <c r="K72" s="1362"/>
      <c r="M72" s="1372"/>
      <c r="N72" s="1372"/>
      <c r="O72" s="1370"/>
      <c r="P72" s="1363"/>
      <c r="Q72" s="549"/>
      <c r="R72" s="1244"/>
      <c r="S72" s="1362"/>
      <c r="T72" s="1362"/>
      <c r="U72" s="1362"/>
      <c r="Y72" s="557">
        <v>0.61107357157177566</v>
      </c>
      <c r="Z72" s="570">
        <v>0.87</v>
      </c>
      <c r="AA72" s="570">
        <v>5</v>
      </c>
      <c r="AD72" s="570" t="s">
        <v>518</v>
      </c>
      <c r="AE72" s="548" t="s">
        <v>1167</v>
      </c>
    </row>
    <row r="73" spans="2:32">
      <c r="B73" s="570" t="str">
        <f>"TPS"&amp;LEFT(AD73,1)&amp;AE73&amp;RIGHT(E73,1)&amp;MID(G73,3,1)&amp;"N"</f>
        <v>TPSIFOICI2N</v>
      </c>
      <c r="C73" s="567" t="s">
        <v>640</v>
      </c>
      <c r="D73" s="570" t="s">
        <v>1170</v>
      </c>
      <c r="E73" s="548" t="s">
        <v>1169</v>
      </c>
      <c r="F73" s="548"/>
      <c r="G73" s="549">
        <f>'[13]EU Diesel IC-reg.tog'!$E$21</f>
        <v>2020</v>
      </c>
      <c r="H73" s="570" t="str">
        <f>"MKr"&amp;RIGHT('[13]EU Diesel IC-reg.tog'!$H$38,2)</f>
        <v>MKr11</v>
      </c>
      <c r="I73" s="1368"/>
      <c r="J73" s="1362"/>
      <c r="K73" s="1362"/>
      <c r="L73" s="1371">
        <v>56412.833206397569</v>
      </c>
      <c r="M73" s="549">
        <v>485.844670567425</v>
      </c>
      <c r="N73" s="549">
        <v>485.84467056742517</v>
      </c>
      <c r="O73" s="1370">
        <v>28</v>
      </c>
      <c r="P73" s="1363"/>
      <c r="Q73" s="549">
        <f>'[13]EU 9000 TEU HFO'!$D$68*365*6.5/1000</f>
        <v>27283.75</v>
      </c>
      <c r="R73" s="1244">
        <v>188100</v>
      </c>
      <c r="S73" s="1362"/>
      <c r="T73" s="1362"/>
      <c r="U73" s="1362"/>
      <c r="Y73" s="1369"/>
      <c r="AA73" s="570">
        <v>5</v>
      </c>
      <c r="AD73" s="570" t="s">
        <v>518</v>
      </c>
      <c r="AE73" s="548" t="s">
        <v>1167</v>
      </c>
    </row>
    <row r="74" spans="2:32">
      <c r="C74" s="567"/>
      <c r="D74" s="570" t="s">
        <v>1171</v>
      </c>
      <c r="E74" s="548"/>
      <c r="F74" s="570" t="s">
        <v>1168</v>
      </c>
      <c r="I74" s="1368"/>
      <c r="J74" s="1362"/>
      <c r="K74" s="1362"/>
      <c r="L74" s="1362"/>
      <c r="M74" s="1372"/>
      <c r="N74" s="1372"/>
      <c r="O74" s="1370"/>
      <c r="P74" s="1363"/>
      <c r="Q74" s="549"/>
      <c r="R74" s="1244"/>
      <c r="S74" s="1362"/>
      <c r="T74" s="1362"/>
      <c r="U74" s="1362"/>
      <c r="Y74" s="557">
        <v>0.73954455653795614</v>
      </c>
      <c r="Z74" s="570">
        <v>0.87</v>
      </c>
      <c r="AA74" s="570">
        <v>5</v>
      </c>
      <c r="AD74" s="570" t="s">
        <v>518</v>
      </c>
      <c r="AE74" s="548" t="s">
        <v>1167</v>
      </c>
    </row>
    <row r="75" spans="2:32">
      <c r="B75" s="570" t="str">
        <f>"TPS"&amp;LEFT(AD75,1)&amp;AE75&amp;RIGHT(E75,1)&amp;MID(G75,3,1)&amp;"N"</f>
        <v>TPSIFOICI3N</v>
      </c>
      <c r="C75" s="567" t="s">
        <v>641</v>
      </c>
      <c r="D75" s="570" t="s">
        <v>1170</v>
      </c>
      <c r="E75" s="548" t="s">
        <v>1169</v>
      </c>
      <c r="F75" s="548"/>
      <c r="G75" s="549">
        <f>'[13]EU Diesel IC-reg.tog'!$F$21</f>
        <v>2035</v>
      </c>
      <c r="H75" s="570" t="str">
        <f>"MKr"&amp;RIGHT('[13]EU Diesel IC-reg.tog'!$H$38,2)</f>
        <v>MKr11</v>
      </c>
      <c r="I75" s="1368"/>
      <c r="J75" s="1362"/>
      <c r="K75" s="1362"/>
      <c r="L75" s="1371">
        <v>56412.833206397569</v>
      </c>
      <c r="M75" s="549">
        <v>590.19458193675109</v>
      </c>
      <c r="N75" s="549">
        <v>590.19458193675109</v>
      </c>
      <c r="O75" s="1370">
        <v>28</v>
      </c>
      <c r="P75" s="1363"/>
      <c r="Q75" s="549">
        <f>'[13]EU 9000 TEU HFO'!$E$68*365*6.5/1000</f>
        <v>27283.75</v>
      </c>
      <c r="R75" s="1244">
        <v>188100</v>
      </c>
      <c r="S75" s="1362"/>
      <c r="T75" s="1362"/>
      <c r="U75" s="1362"/>
      <c r="Y75" s="1369"/>
      <c r="AA75" s="570">
        <v>5</v>
      </c>
      <c r="AD75" s="570" t="s">
        <v>518</v>
      </c>
      <c r="AE75" s="548" t="s">
        <v>1167</v>
      </c>
    </row>
    <row r="76" spans="2:32">
      <c r="D76" s="555"/>
      <c r="E76" s="548"/>
      <c r="F76" s="570" t="s">
        <v>1168</v>
      </c>
      <c r="G76" s="548"/>
      <c r="H76" s="1368"/>
      <c r="I76" s="1368"/>
      <c r="J76" s="1362"/>
      <c r="K76" s="1362"/>
      <c r="L76" s="1362"/>
      <c r="M76" s="1362"/>
      <c r="N76" s="1362"/>
      <c r="O76" s="1364"/>
      <c r="P76" s="1363"/>
      <c r="Q76" s="1363"/>
      <c r="R76" s="1362"/>
      <c r="S76" s="1362"/>
      <c r="T76" s="1362"/>
      <c r="U76" s="1362"/>
      <c r="Y76" s="557">
        <v>0.89838423021035352</v>
      </c>
      <c r="Z76" s="570">
        <v>0.87</v>
      </c>
      <c r="AA76" s="570">
        <v>5</v>
      </c>
      <c r="AD76" s="570" t="s">
        <v>518</v>
      </c>
      <c r="AE76" s="548" t="s">
        <v>1167</v>
      </c>
    </row>
    <row r="77" spans="2:32">
      <c r="D77" s="555"/>
      <c r="E77" s="548"/>
      <c r="F77" s="548"/>
      <c r="G77" s="548"/>
      <c r="H77" s="1368"/>
      <c r="I77" s="1368"/>
      <c r="J77" s="1362"/>
      <c r="K77" s="1362"/>
      <c r="L77" s="1362"/>
      <c r="M77" s="1362"/>
      <c r="N77" s="1362"/>
      <c r="O77" s="1364"/>
      <c r="P77" s="1363"/>
      <c r="Q77" s="1363"/>
      <c r="R77" s="1362"/>
      <c r="S77" s="1362"/>
      <c r="T77" s="1362"/>
      <c r="U77" s="1362"/>
      <c r="Z77" s="1362"/>
    </row>
    <row r="78" spans="2:32">
      <c r="D78" s="555"/>
      <c r="E78" s="548"/>
      <c r="F78" s="548"/>
      <c r="G78" s="548"/>
      <c r="H78" s="1368"/>
      <c r="I78" s="1362"/>
      <c r="J78" s="1362"/>
      <c r="K78" s="1362"/>
      <c r="L78" s="1362"/>
      <c r="M78" s="1362"/>
      <c r="N78" s="1364"/>
      <c r="O78" s="1363"/>
      <c r="P78" s="1362"/>
      <c r="Q78" s="1362"/>
      <c r="R78" s="1362"/>
      <c r="S78" s="1362"/>
      <c r="X78" s="1362"/>
    </row>
    <row r="79" spans="2:32">
      <c r="D79" s="555"/>
      <c r="E79" s="548"/>
      <c r="F79" s="548"/>
      <c r="G79" s="548"/>
      <c r="H79" s="1368"/>
      <c r="I79" s="1362"/>
      <c r="J79" s="1362"/>
      <c r="K79" s="1362"/>
      <c r="L79" s="1362"/>
      <c r="M79" s="1362"/>
      <c r="N79" s="1364"/>
      <c r="O79" s="1363"/>
      <c r="P79" s="1362"/>
      <c r="Q79" s="1362"/>
      <c r="R79" s="1362"/>
      <c r="S79" s="1362"/>
    </row>
    <row r="80" spans="2:32">
      <c r="D80" s="555"/>
      <c r="E80" s="548"/>
      <c r="F80" s="548"/>
      <c r="G80" s="548"/>
      <c r="T80" s="548"/>
    </row>
    <row r="81" spans="2:23">
      <c r="D81" s="555"/>
      <c r="E81" s="548"/>
      <c r="F81" s="548"/>
      <c r="G81" s="548"/>
      <c r="T81" s="548"/>
    </row>
    <row r="82" spans="2:23">
      <c r="D82" s="555"/>
      <c r="E82" s="548"/>
      <c r="F82" s="548"/>
      <c r="G82" s="548"/>
    </row>
    <row r="83" spans="2:23">
      <c r="B83" s="18" t="s">
        <v>1483</v>
      </c>
      <c r="C83" s="18"/>
      <c r="D83" s="18"/>
      <c r="E83" s="575"/>
      <c r="F83" s="575"/>
      <c r="G83" s="575"/>
      <c r="H83" s="575"/>
      <c r="I83" s="575"/>
      <c r="J83" s="575"/>
      <c r="K83" s="575"/>
      <c r="L83" s="575"/>
      <c r="M83" s="1366"/>
      <c r="N83" s="1365"/>
      <c r="O83" s="1362"/>
      <c r="R83" s="485"/>
    </row>
    <row r="84" spans="2:23" ht="13.8">
      <c r="B84" s="1367" t="s">
        <v>63</v>
      </c>
      <c r="C84" s="1367" t="s">
        <v>1</v>
      </c>
      <c r="D84" s="1367" t="s">
        <v>64</v>
      </c>
      <c r="E84" s="1367" t="s">
        <v>65</v>
      </c>
      <c r="F84" s="1367" t="s">
        <v>66</v>
      </c>
      <c r="G84" s="1367" t="s">
        <v>67</v>
      </c>
      <c r="H84" s="1367" t="s">
        <v>68</v>
      </c>
      <c r="I84" s="1367" t="s">
        <v>69</v>
      </c>
      <c r="J84" s="1366"/>
      <c r="K84" s="1365"/>
      <c r="L84" s="1362"/>
    </row>
    <row r="85" spans="2:23" ht="21" thickBot="1">
      <c r="B85" s="20" t="s">
        <v>70</v>
      </c>
      <c r="C85" s="20" t="s">
        <v>71</v>
      </c>
      <c r="D85" s="20" t="s">
        <v>72</v>
      </c>
      <c r="E85" s="20" t="s">
        <v>73</v>
      </c>
      <c r="F85" s="20" t="s">
        <v>74</v>
      </c>
      <c r="G85" s="20" t="s">
        <v>75</v>
      </c>
      <c r="H85" s="20" t="s">
        <v>76</v>
      </c>
      <c r="I85" s="20" t="s">
        <v>77</v>
      </c>
      <c r="L85" s="541"/>
    </row>
    <row r="86" spans="2:23">
      <c r="B86" s="575" t="s">
        <v>78</v>
      </c>
      <c r="C86" s="575" t="str">
        <f>B7</f>
        <v>TPSSFOICS1N</v>
      </c>
      <c r="D86" s="567" t="s">
        <v>1166</v>
      </c>
      <c r="E86" s="575" t="s">
        <v>81</v>
      </c>
      <c r="F86" s="567" t="s">
        <v>82</v>
      </c>
      <c r="G86" s="575"/>
      <c r="H86" s="575"/>
      <c r="I86" s="575"/>
      <c r="K86" s="1365"/>
      <c r="L86" s="541"/>
    </row>
    <row r="87" spans="2:23">
      <c r="B87" s="575"/>
      <c r="C87" s="575" t="str">
        <f>B9</f>
        <v>TPSMFOICM1N</v>
      </c>
      <c r="D87" s="567" t="s">
        <v>1165</v>
      </c>
      <c r="E87" s="575" t="s">
        <v>81</v>
      </c>
      <c r="F87" s="567" t="s">
        <v>82</v>
      </c>
      <c r="G87" s="575"/>
      <c r="H87" s="575"/>
      <c r="I87" s="575"/>
      <c r="L87" s="541"/>
    </row>
    <row r="88" spans="2:23">
      <c r="B88" s="575"/>
      <c r="C88" s="575" t="str">
        <f>B11</f>
        <v>TPSLFOICL1N</v>
      </c>
      <c r="D88" s="567" t="s">
        <v>1164</v>
      </c>
      <c r="E88" s="575" t="s">
        <v>81</v>
      </c>
      <c r="F88" s="567" t="s">
        <v>82</v>
      </c>
      <c r="G88" s="575"/>
      <c r="H88" s="575"/>
      <c r="I88" s="575"/>
      <c r="L88" s="541"/>
    </row>
    <row r="89" spans="2:23">
      <c r="B89" s="575"/>
      <c r="C89" s="575" t="str">
        <f>B13</f>
        <v>TPSXFOICL1N</v>
      </c>
      <c r="D89" s="567" t="s">
        <v>1163</v>
      </c>
      <c r="E89" s="575" t="s">
        <v>81</v>
      </c>
      <c r="F89" s="567" t="s">
        <v>82</v>
      </c>
      <c r="G89" s="575"/>
      <c r="H89" s="575"/>
      <c r="I89" s="575"/>
      <c r="L89" s="541"/>
    </row>
    <row r="90" spans="2:23">
      <c r="C90" s="575" t="str">
        <f t="shared" ref="C90:C98" si="5">B15</f>
        <v>TPSSFOICS1N</v>
      </c>
      <c r="D90" s="567" t="s">
        <v>1162</v>
      </c>
      <c r="E90" s="575" t="s">
        <v>81</v>
      </c>
      <c r="F90" s="567" t="s">
        <v>82</v>
      </c>
      <c r="G90" s="567"/>
    </row>
    <row r="91" spans="2:23">
      <c r="C91" s="575" t="str">
        <f t="shared" si="5"/>
        <v>TPSMFOICM1N</v>
      </c>
      <c r="D91" s="567" t="s">
        <v>1161</v>
      </c>
      <c r="E91" s="575" t="s">
        <v>81</v>
      </c>
      <c r="F91" s="567" t="s">
        <v>82</v>
      </c>
      <c r="G91" s="1362"/>
      <c r="H91" s="1362"/>
      <c r="I91" s="1362"/>
      <c r="J91" s="1362"/>
      <c r="K91" s="1364"/>
      <c r="L91" s="1363"/>
      <c r="M91" s="1362"/>
      <c r="N91" s="1362"/>
      <c r="O91" s="1362"/>
      <c r="P91" s="1362"/>
    </row>
    <row r="92" spans="2:23">
      <c r="C92" s="575" t="str">
        <f t="shared" si="5"/>
        <v>TPSLFOICL1N</v>
      </c>
      <c r="D92" s="567" t="s">
        <v>1160</v>
      </c>
      <c r="E92" s="575" t="s">
        <v>81</v>
      </c>
      <c r="F92" s="567" t="s">
        <v>82</v>
      </c>
      <c r="G92" s="1362"/>
      <c r="H92" s="1362"/>
      <c r="I92" s="1362"/>
      <c r="J92" s="1362"/>
      <c r="K92" s="1364"/>
      <c r="L92" s="1363"/>
      <c r="M92" s="1362"/>
      <c r="N92" s="1362"/>
      <c r="O92" s="1362"/>
      <c r="P92" s="1362"/>
    </row>
    <row r="93" spans="2:23">
      <c r="C93" s="575" t="str">
        <f t="shared" si="5"/>
        <v>TPSXFOICL1N</v>
      </c>
      <c r="D93" s="567" t="s">
        <v>1159</v>
      </c>
      <c r="E93" s="575" t="s">
        <v>81</v>
      </c>
      <c r="F93" s="567" t="s">
        <v>82</v>
      </c>
      <c r="G93" s="1362"/>
      <c r="H93" s="1362"/>
      <c r="I93" s="1362"/>
      <c r="J93" s="1362"/>
      <c r="K93" s="1364"/>
      <c r="L93" s="1363"/>
      <c r="M93" s="1362"/>
      <c r="N93" s="1362"/>
      <c r="O93" s="1362"/>
      <c r="P93" s="1362"/>
    </row>
    <row r="94" spans="2:23">
      <c r="C94" s="575" t="str">
        <f t="shared" si="5"/>
        <v>TPSSNGICS1N</v>
      </c>
      <c r="D94" s="567" t="s">
        <v>1158</v>
      </c>
      <c r="E94" s="575" t="s">
        <v>81</v>
      </c>
      <c r="F94" s="567" t="s">
        <v>82</v>
      </c>
      <c r="G94" s="1362"/>
      <c r="H94" s="1362"/>
      <c r="I94" s="1362"/>
      <c r="J94" s="1363"/>
      <c r="K94" s="1363"/>
      <c r="L94" s="1362"/>
      <c r="M94" s="1362"/>
      <c r="N94" s="1362"/>
      <c r="O94" s="1362"/>
      <c r="W94" s="548"/>
    </row>
    <row r="95" spans="2:23">
      <c r="C95" s="575" t="str">
        <f t="shared" si="5"/>
        <v>TPSMNGICM1N</v>
      </c>
      <c r="D95" s="567" t="s">
        <v>1157</v>
      </c>
      <c r="E95" s="575" t="s">
        <v>81</v>
      </c>
      <c r="F95" s="567" t="s">
        <v>82</v>
      </c>
    </row>
    <row r="96" spans="2:23">
      <c r="C96" s="575" t="str">
        <f t="shared" si="5"/>
        <v>TPSLNGICL1N</v>
      </c>
      <c r="D96" s="567" t="s">
        <v>1156</v>
      </c>
      <c r="E96" s="575" t="s">
        <v>81</v>
      </c>
      <c r="F96" s="567" t="s">
        <v>82</v>
      </c>
    </row>
    <row r="97" spans="3:6">
      <c r="C97" s="575" t="str">
        <f t="shared" si="5"/>
        <v>TPSXNGICL1N</v>
      </c>
      <c r="D97" s="567" t="s">
        <v>1155</v>
      </c>
      <c r="E97" s="575" t="s">
        <v>81</v>
      </c>
      <c r="F97" s="567" t="s">
        <v>82</v>
      </c>
    </row>
    <row r="98" spans="3:6">
      <c r="C98" s="575" t="str">
        <f t="shared" si="5"/>
        <v>TPSSNGDUS2N</v>
      </c>
      <c r="D98" s="567" t="s">
        <v>1154</v>
      </c>
      <c r="E98" s="575" t="s">
        <v>81</v>
      </c>
      <c r="F98" s="567" t="s">
        <v>82</v>
      </c>
    </row>
    <row r="99" spans="3:6">
      <c r="C99" s="575" t="str">
        <f>B27</f>
        <v>TPSMNGDUM2N</v>
      </c>
      <c r="D99" s="567" t="s">
        <v>1153</v>
      </c>
      <c r="E99" s="575" t="s">
        <v>81</v>
      </c>
      <c r="F99" s="567" t="s">
        <v>82</v>
      </c>
    </row>
    <row r="100" spans="3:6">
      <c r="C100" s="575" t="str">
        <f>B31</f>
        <v>TPSLNGDUL2N</v>
      </c>
      <c r="D100" s="567" t="s">
        <v>1152</v>
      </c>
      <c r="E100" s="575" t="s">
        <v>81</v>
      </c>
      <c r="F100" s="567" t="s">
        <v>82</v>
      </c>
    </row>
    <row r="101" spans="3:6">
      <c r="C101" s="575" t="str">
        <f>B35</f>
        <v>TPSXNGDUL2N</v>
      </c>
      <c r="D101" s="567" t="s">
        <v>1151</v>
      </c>
      <c r="E101" s="575" t="s">
        <v>81</v>
      </c>
      <c r="F101" s="567" t="s">
        <v>82</v>
      </c>
    </row>
    <row r="102" spans="3:6">
      <c r="C102" s="575" t="str">
        <f>B39</f>
        <v>TPSSNGDUS2N</v>
      </c>
      <c r="D102" s="567" t="s">
        <v>1150</v>
      </c>
      <c r="E102" s="575" t="s">
        <v>81</v>
      </c>
      <c r="F102" s="567" t="s">
        <v>82</v>
      </c>
    </row>
    <row r="103" spans="3:6">
      <c r="C103" s="575" t="str">
        <f>B43</f>
        <v>TPSMNGDUM2N</v>
      </c>
      <c r="D103" s="567" t="s">
        <v>1149</v>
      </c>
      <c r="E103" s="575" t="s">
        <v>81</v>
      </c>
      <c r="F103" s="567" t="s">
        <v>82</v>
      </c>
    </row>
    <row r="104" spans="3:6">
      <c r="C104" s="575" t="str">
        <f>B47</f>
        <v>TPSLNGDUL2N</v>
      </c>
      <c r="D104" s="567" t="s">
        <v>1148</v>
      </c>
      <c r="E104" s="575" t="s">
        <v>81</v>
      </c>
      <c r="F104" s="567" t="s">
        <v>82</v>
      </c>
    </row>
    <row r="105" spans="3:6">
      <c r="C105" s="575" t="str">
        <f>B51</f>
        <v>TPSXNGDUL2N</v>
      </c>
      <c r="D105" s="567" t="s">
        <v>1147</v>
      </c>
      <c r="E105" s="575" t="s">
        <v>81</v>
      </c>
      <c r="F105" s="567" t="s">
        <v>82</v>
      </c>
    </row>
    <row r="106" spans="3:6">
      <c r="C106" s="575" t="str">
        <f t="shared" ref="C106:C122" si="6">B55</f>
        <v>TPSSELCCS2N</v>
      </c>
      <c r="D106" s="567" t="s">
        <v>1146</v>
      </c>
      <c r="E106" s="575" t="s">
        <v>81</v>
      </c>
      <c r="F106" s="567" t="s">
        <v>82</v>
      </c>
    </row>
    <row r="107" spans="3:6">
      <c r="C107" s="575" t="str">
        <f t="shared" si="6"/>
        <v>TPSMELCCM2N</v>
      </c>
      <c r="D107" s="567" t="s">
        <v>1145</v>
      </c>
      <c r="E107" s="575" t="s">
        <v>81</v>
      </c>
      <c r="F107" s="567" t="s">
        <v>82</v>
      </c>
    </row>
    <row r="108" spans="3:6">
      <c r="C108" s="575" t="str">
        <f t="shared" si="6"/>
        <v>TPSSMOICSN</v>
      </c>
      <c r="D108" s="567" t="s">
        <v>1144</v>
      </c>
      <c r="E108" s="575" t="s">
        <v>81</v>
      </c>
      <c r="F108" s="567" t="s">
        <v>82</v>
      </c>
    </row>
    <row r="109" spans="3:6">
      <c r="C109" s="575" t="str">
        <f t="shared" si="6"/>
        <v>TPSMMOICMN</v>
      </c>
      <c r="D109" s="567" t="s">
        <v>1143</v>
      </c>
      <c r="E109" s="575" t="s">
        <v>81</v>
      </c>
      <c r="F109" s="567" t="s">
        <v>82</v>
      </c>
    </row>
    <row r="110" spans="3:6">
      <c r="C110" s="575" t="str">
        <f t="shared" si="6"/>
        <v>TPSLMOICLN</v>
      </c>
      <c r="D110" s="567" t="s">
        <v>1142</v>
      </c>
      <c r="E110" s="575" t="s">
        <v>81</v>
      </c>
      <c r="F110" s="567" t="s">
        <v>82</v>
      </c>
    </row>
    <row r="111" spans="3:6">
      <c r="C111" s="575" t="str">
        <f t="shared" si="6"/>
        <v>TPSXMOICLN</v>
      </c>
      <c r="D111" s="567" t="s">
        <v>1141</v>
      </c>
      <c r="E111" s="575" t="s">
        <v>81</v>
      </c>
      <c r="F111" s="567" t="s">
        <v>82</v>
      </c>
    </row>
    <row r="112" spans="3:6">
      <c r="C112" s="575" t="str">
        <f t="shared" si="6"/>
        <v>TPSSH2ICSN</v>
      </c>
      <c r="D112" s="567" t="s">
        <v>1140</v>
      </c>
      <c r="E112" s="575" t="s">
        <v>81</v>
      </c>
      <c r="F112" s="567" t="s">
        <v>82</v>
      </c>
    </row>
    <row r="113" spans="3:8">
      <c r="C113" s="575" t="str">
        <f t="shared" si="6"/>
        <v>TPSMH2ICMN</v>
      </c>
      <c r="D113" s="567" t="s">
        <v>1139</v>
      </c>
      <c r="E113" s="575" t="s">
        <v>81</v>
      </c>
      <c r="F113" s="567" t="s">
        <v>82</v>
      </c>
    </row>
    <row r="114" spans="3:8">
      <c r="C114" s="575" t="str">
        <f t="shared" si="6"/>
        <v>TPSSFOFCSN</v>
      </c>
      <c r="D114" s="567" t="s">
        <v>1138</v>
      </c>
      <c r="E114" s="575" t="s">
        <v>81</v>
      </c>
      <c r="F114" s="567" t="s">
        <v>82</v>
      </c>
    </row>
    <row r="115" spans="3:8">
      <c r="C115" s="575" t="str">
        <f t="shared" si="6"/>
        <v>TPSMFOFCMN</v>
      </c>
      <c r="D115" s="567" t="s">
        <v>1137</v>
      </c>
      <c r="E115" s="575" t="s">
        <v>81</v>
      </c>
      <c r="F115" s="567" t="s">
        <v>82</v>
      </c>
    </row>
    <row r="116" spans="3:8">
      <c r="C116" s="575" t="str">
        <f t="shared" si="6"/>
        <v>TPSSMOFCSN</v>
      </c>
      <c r="D116" s="567" t="s">
        <v>1136</v>
      </c>
      <c r="E116" s="575" t="s">
        <v>81</v>
      </c>
      <c r="F116" s="567" t="s">
        <v>82</v>
      </c>
    </row>
    <row r="117" spans="3:8">
      <c r="C117" s="575" t="str">
        <f t="shared" si="6"/>
        <v>TPSMMOFCMN</v>
      </c>
      <c r="D117" s="567" t="s">
        <v>1135</v>
      </c>
      <c r="E117" s="575" t="s">
        <v>81</v>
      </c>
      <c r="F117" s="567" t="s">
        <v>82</v>
      </c>
    </row>
    <row r="118" spans="3:8">
      <c r="C118" s="575" t="str">
        <f t="shared" si="6"/>
        <v>TPSSH2FCSN</v>
      </c>
      <c r="D118" s="567" t="s">
        <v>1134</v>
      </c>
      <c r="E118" s="575" t="s">
        <v>81</v>
      </c>
      <c r="F118" s="567" t="s">
        <v>82</v>
      </c>
    </row>
    <row r="119" spans="3:8">
      <c r="C119" s="575" t="str">
        <f t="shared" si="6"/>
        <v>TPSMH2FCMN</v>
      </c>
      <c r="D119" s="567" t="s">
        <v>1133</v>
      </c>
      <c r="E119" s="575" t="s">
        <v>81</v>
      </c>
      <c r="F119" s="567" t="s">
        <v>82</v>
      </c>
    </row>
    <row r="120" spans="3:8">
      <c r="C120" s="575" t="str">
        <f t="shared" si="6"/>
        <v>TPSSNGFCSN</v>
      </c>
      <c r="D120" s="567" t="s">
        <v>1132</v>
      </c>
      <c r="E120" s="575" t="s">
        <v>81</v>
      </c>
      <c r="F120" s="567" t="s">
        <v>82</v>
      </c>
    </row>
    <row r="121" spans="3:8">
      <c r="C121" s="575" t="str">
        <f t="shared" si="6"/>
        <v>TPSMNGFCMN</v>
      </c>
      <c r="D121" s="567" t="s">
        <v>1131</v>
      </c>
      <c r="E121" s="575" t="s">
        <v>81</v>
      </c>
      <c r="F121" s="567" t="s">
        <v>82</v>
      </c>
    </row>
    <row r="122" spans="3:8">
      <c r="C122" s="548" t="str">
        <f t="shared" si="6"/>
        <v>TPSIFOICI1N</v>
      </c>
      <c r="D122" s="575" t="s">
        <v>639</v>
      </c>
      <c r="E122" s="575" t="s">
        <v>81</v>
      </c>
      <c r="F122" s="567" t="s">
        <v>82</v>
      </c>
      <c r="G122" s="575"/>
      <c r="H122" s="567"/>
    </row>
    <row r="123" spans="3:8">
      <c r="C123" s="548" t="str">
        <f>B73</f>
        <v>TPSIFOICI2N</v>
      </c>
      <c r="D123" s="570" t="s">
        <v>640</v>
      </c>
      <c r="E123" s="575" t="s">
        <v>81</v>
      </c>
      <c r="F123" s="567" t="s">
        <v>82</v>
      </c>
      <c r="G123" s="575"/>
      <c r="H123" s="567"/>
    </row>
    <row r="124" spans="3:8">
      <c r="C124" s="548" t="str">
        <f>B75</f>
        <v>TPSIFOICI3N</v>
      </c>
      <c r="D124" s="570" t="s">
        <v>641</v>
      </c>
      <c r="E124" s="575" t="s">
        <v>81</v>
      </c>
      <c r="F124" s="567" t="s">
        <v>82</v>
      </c>
      <c r="G124" s="575"/>
      <c r="H124" s="567"/>
    </row>
    <row r="125" spans="3:8">
      <c r="C125" s="548"/>
      <c r="D125" s="567"/>
      <c r="E125" s="575"/>
      <c r="F125" s="567"/>
      <c r="G125" s="575"/>
      <c r="H125" s="567"/>
    </row>
    <row r="126" spans="3:8">
      <c r="D126" s="567"/>
      <c r="E126" s="575"/>
      <c r="F126" s="567"/>
    </row>
    <row r="127" spans="3:8">
      <c r="C127" s="548"/>
    </row>
  </sheetData>
  <pageMargins left="0.7" right="0.7" top="0.75" bottom="0.75" header="0.3" footer="0.3"/>
  <pageSetup paperSize="9"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9919-CBD8-418C-BD03-43F4C2B74323}">
  <dimension ref="B1:BH289"/>
  <sheetViews>
    <sheetView zoomScale="85" zoomScaleNormal="85" workbookViewId="0">
      <selection activeCell="J29" sqref="J29"/>
    </sheetView>
  </sheetViews>
  <sheetFormatPr defaultColWidth="9.33203125" defaultRowHeight="13.2"/>
  <cols>
    <col min="1" max="1" width="9.33203125" style="570"/>
    <col min="2" max="2" width="6.33203125" style="570" customWidth="1"/>
    <col min="3" max="3" width="16.44140625" style="570" customWidth="1"/>
    <col min="4" max="4" width="15.33203125" style="570" customWidth="1"/>
    <col min="5" max="5" width="11.88671875" style="570" bestFit="1" customWidth="1"/>
    <col min="6" max="6" width="10.33203125" style="570" bestFit="1" customWidth="1"/>
    <col min="7" max="7" width="7.6640625" style="570" customWidth="1"/>
    <col min="8" max="8" width="7.5546875" style="570" customWidth="1"/>
    <col min="9" max="9" width="16.44140625" style="570" bestFit="1" customWidth="1"/>
    <col min="10" max="10" width="17.44140625" style="570" bestFit="1" customWidth="1"/>
    <col min="11" max="11" width="12.5546875" style="570" customWidth="1"/>
    <col min="12" max="12" width="12.109375" style="570" bestFit="1" customWidth="1"/>
    <col min="13" max="13" width="12.6640625" style="570" customWidth="1"/>
    <col min="14" max="14" width="12.6640625" style="570" bestFit="1" customWidth="1"/>
    <col min="15" max="15" width="5.109375" style="570" bestFit="1" customWidth="1"/>
    <col min="16" max="17" width="11.44140625" style="570" bestFit="1" customWidth="1"/>
    <col min="18" max="18" width="12.44140625" style="570" bestFit="1" customWidth="1"/>
    <col min="19" max="19" width="9.6640625" style="570" bestFit="1" customWidth="1"/>
    <col min="20" max="20" width="10.33203125" style="570" bestFit="1" customWidth="1"/>
    <col min="21" max="21" width="5.6640625" style="570" bestFit="1" customWidth="1"/>
    <col min="22" max="22" width="11.5546875" style="570" bestFit="1" customWidth="1"/>
    <col min="23" max="23" width="11.5546875" style="570" customWidth="1"/>
    <col min="24" max="25" width="9.33203125" style="570" customWidth="1"/>
    <col min="26" max="16384" width="9.33203125" style="570"/>
  </cols>
  <sheetData>
    <row r="1" spans="3:60">
      <c r="I1" s="548" t="s">
        <v>1355</v>
      </c>
      <c r="J1" s="548" t="s">
        <v>1355</v>
      </c>
      <c r="K1" s="548" t="s">
        <v>1365</v>
      </c>
      <c r="L1" s="548" t="s">
        <v>1365</v>
      </c>
      <c r="M1" s="548" t="s">
        <v>1364</v>
      </c>
      <c r="N1" s="548" t="s">
        <v>1364</v>
      </c>
      <c r="R1" s="548"/>
      <c r="Z1" s="548" t="s">
        <v>1356</v>
      </c>
      <c r="AB1" s="548"/>
      <c r="AC1" s="548"/>
      <c r="AD1" s="548"/>
    </row>
    <row r="2" spans="3:60">
      <c r="R2" s="548"/>
    </row>
    <row r="3" spans="3:60">
      <c r="H3" s="2" t="s">
        <v>1482</v>
      </c>
      <c r="I3" s="2"/>
      <c r="J3" s="2"/>
      <c r="K3" s="2"/>
      <c r="P3" s="1149"/>
      <c r="Q3" s="1149"/>
      <c r="AI3" s="575"/>
    </row>
    <row r="4" spans="3:60" ht="24" customHeight="1">
      <c r="C4" s="1391" t="s">
        <v>1</v>
      </c>
      <c r="D4" s="1367" t="s">
        <v>1</v>
      </c>
      <c r="E4" s="1391" t="s">
        <v>2</v>
      </c>
      <c r="F4" s="1391" t="s">
        <v>3</v>
      </c>
      <c r="G4" s="1391" t="s">
        <v>1227</v>
      </c>
      <c r="H4" s="1394" t="s">
        <v>218</v>
      </c>
      <c r="I4" s="1394" t="s">
        <v>1226</v>
      </c>
      <c r="J4" s="1394" t="s">
        <v>1363</v>
      </c>
      <c r="K4" s="1394" t="s">
        <v>1225</v>
      </c>
      <c r="L4" s="1394" t="s">
        <v>1224</v>
      </c>
      <c r="M4" s="1394" t="s">
        <v>1223</v>
      </c>
      <c r="N4" s="1394" t="s">
        <v>1222</v>
      </c>
      <c r="O4" s="1394" t="s">
        <v>10</v>
      </c>
      <c r="P4" s="1396" t="s">
        <v>6</v>
      </c>
      <c r="Q4" s="1423" t="s">
        <v>4</v>
      </c>
      <c r="R4" s="1422" t="s">
        <v>7</v>
      </c>
      <c r="S4" s="1422" t="s">
        <v>1221</v>
      </c>
      <c r="T4" s="1394" t="s">
        <v>1219</v>
      </c>
      <c r="U4" s="1394" t="s">
        <v>5</v>
      </c>
      <c r="V4" s="1422" t="s">
        <v>1218</v>
      </c>
      <c r="W4" s="1447"/>
      <c r="Z4" s="570" t="s">
        <v>1362</v>
      </c>
      <c r="AA4" s="570" t="s">
        <v>1361</v>
      </c>
      <c r="AB4" s="570" t="s">
        <v>1360</v>
      </c>
      <c r="AC4" s="570" t="s">
        <v>864</v>
      </c>
      <c r="AI4" s="575"/>
    </row>
    <row r="5" spans="3:60" ht="21" thickBot="1">
      <c r="C5" s="572" t="s">
        <v>1215</v>
      </c>
      <c r="D5" s="20" t="s">
        <v>71</v>
      </c>
      <c r="E5" s="572"/>
      <c r="F5" s="572"/>
      <c r="G5" s="572"/>
      <c r="H5" s="1389" t="s">
        <v>1214</v>
      </c>
      <c r="I5" s="572" t="s">
        <v>1213</v>
      </c>
      <c r="J5" s="572" t="s">
        <v>1213</v>
      </c>
      <c r="K5" s="572" t="s">
        <v>1212</v>
      </c>
      <c r="L5" s="572" t="s">
        <v>1212</v>
      </c>
      <c r="M5" s="572" t="s">
        <v>1002</v>
      </c>
      <c r="N5" s="572" t="s">
        <v>1002</v>
      </c>
      <c r="O5" s="572" t="s">
        <v>14</v>
      </c>
      <c r="P5" s="572" t="s">
        <v>1211</v>
      </c>
      <c r="Q5" s="572" t="s">
        <v>1210</v>
      </c>
      <c r="R5" s="572" t="s">
        <v>1209</v>
      </c>
      <c r="S5" s="572" t="s">
        <v>1207</v>
      </c>
      <c r="T5" s="572" t="s">
        <v>1208</v>
      </c>
      <c r="U5" s="572"/>
      <c r="V5" s="572" t="s">
        <v>1207</v>
      </c>
      <c r="W5" s="977"/>
      <c r="AI5" s="575"/>
    </row>
    <row r="6" spans="3:60" ht="24.75" customHeight="1" thickBot="1">
      <c r="C6" s="1420" t="s">
        <v>11</v>
      </c>
      <c r="D6" s="1420"/>
      <c r="E6" s="1420"/>
      <c r="F6" s="1420"/>
      <c r="G6" s="1420"/>
      <c r="H6" s="1421" t="s">
        <v>1205</v>
      </c>
      <c r="I6" s="1420" t="s">
        <v>1359</v>
      </c>
      <c r="J6" s="1420" t="s">
        <v>1359</v>
      </c>
      <c r="K6" s="1420" t="s">
        <v>1203</v>
      </c>
      <c r="L6" s="1420" t="s">
        <v>1203</v>
      </c>
      <c r="M6" s="1420" t="s">
        <v>1202</v>
      </c>
      <c r="N6" s="1420" t="s">
        <v>1202</v>
      </c>
      <c r="O6" s="1420"/>
      <c r="P6" s="1420" t="s">
        <v>1358</v>
      </c>
      <c r="Q6" s="1420" t="s">
        <v>1200</v>
      </c>
      <c r="R6" s="1420" t="s">
        <v>1200</v>
      </c>
      <c r="S6" s="1420"/>
      <c r="T6" s="1420" t="s">
        <v>1199</v>
      </c>
      <c r="U6" s="1420"/>
      <c r="V6" s="1420"/>
      <c r="W6" s="977"/>
      <c r="AG6" s="1248"/>
      <c r="AH6" s="575"/>
      <c r="AI6" s="575"/>
    </row>
    <row r="7" spans="3:60">
      <c r="C7" s="570" t="str">
        <f>"TFS"&amp;LEFT(AB7,1)&amp;AC7&amp;RIGHT(F7,1)&amp;MID(G7,3,1)&amp;"N"</f>
        <v>TFSSFOICL2N</v>
      </c>
      <c r="E7" s="555" t="s">
        <v>1185</v>
      </c>
      <c r="F7" s="548" t="s">
        <v>1340</v>
      </c>
      <c r="G7" s="548">
        <v>2020</v>
      </c>
      <c r="H7" s="1362" t="s">
        <v>1175</v>
      </c>
      <c r="I7" s="1363">
        <f t="array" ref="I7">INDEX($AI$12:$BH$15,MATCH($F7,$AH$12:$AH$15,0),MATCH(I$1&amp;$AB7,$AI$9:$BH$9&amp;$AI$11:$BH$11,0))</f>
        <v>810</v>
      </c>
      <c r="J7" s="1363">
        <f t="shared" ref="J7:J38" si="0">I7</f>
        <v>810</v>
      </c>
      <c r="K7" s="1363">
        <v>46488</v>
      </c>
      <c r="L7" s="1362">
        <v>83879</v>
      </c>
      <c r="M7" s="1366">
        <f t="array" ref="M7">1/(INDEX($AI$12:$BH$15,MATCH($F7,$AH$12:$AH$15,0),MATCH(($G7&amp;M$1)&amp;$AB7,$AI$9:$BH$9&amp;$AI$11:$BH$11,0))/1.852)</f>
        <v>2.3752039567310899</v>
      </c>
      <c r="N7" s="1366">
        <f t="shared" ref="N7:N38" si="1">M7</f>
        <v>2.3752039567310899</v>
      </c>
      <c r="O7" s="1362">
        <v>30</v>
      </c>
      <c r="P7" s="1363"/>
      <c r="Q7" s="1366">
        <f>0.035*R7</f>
        <v>998.53256266034725</v>
      </c>
      <c r="R7" s="1366">
        <f t="array" ref="R7">(AA7*(INDEX(ShipData!$P$19:$R$26,MATCH($AC7,ShipData!$N$19:$N$26,0),MATCH($AD7,ShipData!$P$18:$R$18,0))+INDEX(ShipData!$P$30:$R$37,MATCH($AC7,ShipData!$N$30:$N$37,0),MATCH($AD7,ShipData!$P$29:$R$29,0)))+K7*0.1*(1/M7)*INDEX(ShipData!$P$41:$R$48,MATCH($AC7,ShipData!$N$41:$N$48,0),MATCH($AD7,ShipData!$P$40:$R$40,0)))*6.5/1000</f>
        <v>28529.501790295632</v>
      </c>
      <c r="S7" s="1362"/>
      <c r="T7" s="1362">
        <v>1E-3</v>
      </c>
      <c r="U7" s="1368"/>
      <c r="V7" s="1362"/>
      <c r="W7" s="1362"/>
      <c r="Z7" s="1366">
        <f t="array" ref="Z7">INDEX($AI$12:$BH$15,MATCH(F7,$AH$12:$AH$15,0),MATCH($AB7&amp;$Z$1,$AI$11:$BH$11&amp;$AI$9:$BH$9,0))/1000</f>
        <v>1.5804878048780491</v>
      </c>
      <c r="AA7" s="570">
        <f t="array" ref="AA7">(Z7^INDEX(ShipData!$X$36:$X$39,MATCH($F7,ShipData!$U$36:$U$39,0)))*0.756*INDEX(ShipData!$W$36:$W$39,MATCH($F7,ShipData!$U$36:$U$39,0))</f>
        <v>1602.8300580975306</v>
      </c>
      <c r="AB7" s="548" t="s">
        <v>1178</v>
      </c>
      <c r="AC7" s="548" t="s">
        <v>1167</v>
      </c>
      <c r="AD7" s="570" t="s">
        <v>1338</v>
      </c>
      <c r="AG7" s="683" t="s">
        <v>1357</v>
      </c>
    </row>
    <row r="8" spans="3:60" ht="13.8" thickBot="1">
      <c r="E8" s="555" t="s">
        <v>1197</v>
      </c>
      <c r="F8" s="548" t="s">
        <v>1340</v>
      </c>
      <c r="G8" s="548">
        <v>2030</v>
      </c>
      <c r="H8" s="1362" t="s">
        <v>1175</v>
      </c>
      <c r="I8" s="1363">
        <f t="array" ref="I8">INDEX($AI$12:$BH$15,MATCH(F8,$AH$12:$AH$15,0),MATCH(I$1&amp;$AB8,$AI$9:$BH$9&amp;$AI$11:$BH$11,0))</f>
        <v>810</v>
      </c>
      <c r="J8" s="1363">
        <f t="shared" si="0"/>
        <v>810</v>
      </c>
      <c r="K8" s="1363">
        <v>46488</v>
      </c>
      <c r="L8" s="1362">
        <v>83879</v>
      </c>
      <c r="M8" s="1366">
        <f t="array" ref="M8">1/(INDEX($AI$12:$BH$15,MATCH($F8,$AH$12:$AH$15,0),MATCH(($G8&amp;M$1)&amp;$AB8,$AI$9:$BH$9&amp;$AI$11:$BH$11,0))/1.852)</f>
        <v>3.8453314985699092</v>
      </c>
      <c r="N8" s="1366">
        <f t="shared" si="1"/>
        <v>3.8453314985699092</v>
      </c>
      <c r="O8" s="1362">
        <v>30</v>
      </c>
      <c r="P8" s="1363"/>
      <c r="Q8" s="1363">
        <v>2198.2346189999998</v>
      </c>
      <c r="R8" s="1366">
        <f t="array" ref="R8">(AA8*(INDEX(ShipData!$P$19:$R$26,MATCH($AC8,ShipData!$N$19:$N$26,0),MATCH($AD8,ShipData!$P$18:$R$18,0))+INDEX(ShipData!$P$30:$R$37,MATCH($AC8,ShipData!$N$30:$N$37,0),MATCH($AD8,ShipData!$P$29:$R$29,0)))+K8*0.1*(1/M8)*INDEX(ShipData!$P$41:$R$48,MATCH($AC8,ShipData!$N$41:$N$48,0),MATCH($AD8,ShipData!$P$40:$R$40,0)))*6.5/1000</f>
        <v>28383.588183035234</v>
      </c>
      <c r="S8" s="1362"/>
      <c r="T8" s="1362">
        <v>1E-3</v>
      </c>
      <c r="U8" s="1368"/>
      <c r="Z8" s="1366">
        <f t="array" ref="Z8">INDEX($AI$12:$BH$15,MATCH(F8,$AH$12:$AH$15,0),MATCH($AB8&amp;$Z$1,$AI$11:$BH$11&amp;$AI$9:$BH$9,0))/1000</f>
        <v>1.5804878048780491</v>
      </c>
      <c r="AA8" s="570">
        <f t="array" ref="AA8">(Z8^INDEX(ShipData!$X$36:$X$39,MATCH($F8,ShipData!$U$36:$U$39,0)))*0.756*INDEX(ShipData!$W$36:$W$39,MATCH($F8,ShipData!$U$36:$U$39,0))</f>
        <v>1602.8300580975306</v>
      </c>
      <c r="AB8" s="548" t="s">
        <v>1178</v>
      </c>
      <c r="AC8" s="548" t="s">
        <v>1167</v>
      </c>
      <c r="AD8" s="570" t="s">
        <v>1338</v>
      </c>
    </row>
    <row r="9" spans="3:60">
      <c r="C9" s="570" t="str">
        <f>"TFS"&amp;LEFT(AB9,1)&amp;AC9&amp;RIGHT(F9,1)&amp;MID(G9,3,1)&amp;"N"</f>
        <v>TFSMFOICL2N</v>
      </c>
      <c r="E9" s="555" t="s">
        <v>1185</v>
      </c>
      <c r="F9" s="548" t="s">
        <v>1340</v>
      </c>
      <c r="G9" s="548">
        <v>2020</v>
      </c>
      <c r="H9" s="1362" t="s">
        <v>1175</v>
      </c>
      <c r="I9" s="1363">
        <f t="array" ref="I9">INDEX($AI$12:$BH$15,MATCH(F9,$AH$12:$AH$15,0),MATCH(I$1&amp;$AB9,$AI$9:$BH$9&amp;$AI$11:$BH$11,0))</f>
        <v>3045.9905660377353</v>
      </c>
      <c r="J9" s="1363">
        <f t="shared" si="0"/>
        <v>3045.9905660377353</v>
      </c>
      <c r="K9" s="1363">
        <v>25616</v>
      </c>
      <c r="L9" s="1362">
        <v>46219</v>
      </c>
      <c r="M9" s="1366">
        <f t="array" ref="M9">1/(INDEX($AI$12:$BH$15,MATCH($F9,$AH$12:$AH$15,0),MATCH(($G9&amp;M$1)&amp;$AB9,$AI$9:$BH$9&amp;$AI$11:$BH$11,0))/1.852)</f>
        <v>1.4081877865043426</v>
      </c>
      <c r="N9" s="1366">
        <f t="shared" si="1"/>
        <v>1.4081877865043426</v>
      </c>
      <c r="O9" s="1362">
        <v>30</v>
      </c>
      <c r="P9" s="1363"/>
      <c r="Q9" s="1366">
        <f t="array" ref="Q9">0.035*R9</f>
        <v>2083.6283517593583</v>
      </c>
      <c r="R9" s="1366">
        <f t="array" ref="R9">(AA9*(INDEX(ShipData!$P$19:$R$26,MATCH($AC9,ShipData!$N$19:$N$26,0),MATCH($AD9,ShipData!$P$18:$R$18,0))+INDEX(ShipData!$P$30:$R$37,MATCH($AC9,ShipData!$N$30:$N$37,0),MATCH($AD9,ShipData!$P$29:$R$29,0)))+K9*0.1*(1/M9)*INDEX(ShipData!$P$41:$R$48,MATCH($AC9,ShipData!$N$41:$N$48,0),MATCH($AD9,ShipData!$P$40:$R$40,0)))*6.5/1000</f>
        <v>59532.238621695942</v>
      </c>
      <c r="S9" s="1362"/>
      <c r="T9" s="1362">
        <v>1E-3</v>
      </c>
      <c r="U9" s="1368"/>
      <c r="Z9" s="1366">
        <f t="array" ref="Z9">INDEX($AI$12:$BH$15,MATCH(F9,$AH$12:$AH$15,0),MATCH($AB9&amp;$Z$1,$AI$11:$BH$11&amp;$AI$9:$BH$9,0))/1000</f>
        <v>5.9433962264150946</v>
      </c>
      <c r="AA9" s="570">
        <f t="array" ref="AA9">(Z9^INDEX(ShipData!$X$36:$X$39,MATCH($F9,ShipData!$U$36:$U$39,0)))*0.756*INDEX(ShipData!$W$36:$W$39,MATCH($F9,ShipData!$U$36:$U$39,0))</f>
        <v>3369.7610132900404</v>
      </c>
      <c r="AB9" s="548" t="s">
        <v>1174</v>
      </c>
      <c r="AC9" s="548" t="s">
        <v>1167</v>
      </c>
      <c r="AD9" s="570" t="s">
        <v>1338</v>
      </c>
      <c r="AG9" s="1419"/>
      <c r="AH9" s="1418"/>
      <c r="AI9" s="1383" t="s">
        <v>1356</v>
      </c>
      <c r="AJ9" s="1383" t="s">
        <v>1356</v>
      </c>
      <c r="AK9" s="1383" t="s">
        <v>1356</v>
      </c>
      <c r="AL9" s="1383" t="s">
        <v>1355</v>
      </c>
      <c r="AM9" s="1383" t="s">
        <v>1355</v>
      </c>
      <c r="AN9" s="1383" t="s">
        <v>1355</v>
      </c>
      <c r="AO9" s="1383" t="s">
        <v>1354</v>
      </c>
      <c r="AP9" s="1383" t="s">
        <v>78</v>
      </c>
      <c r="AQ9" s="1383" t="s">
        <v>1353</v>
      </c>
      <c r="AR9" s="1383" t="s">
        <v>1353</v>
      </c>
      <c r="AS9" s="1383" t="s">
        <v>1353</v>
      </c>
      <c r="AT9" s="1383" t="s">
        <v>1352</v>
      </c>
      <c r="AU9" s="1383" t="s">
        <v>1352</v>
      </c>
      <c r="AV9" s="1383" t="s">
        <v>1352</v>
      </c>
      <c r="AW9" s="1383" t="s">
        <v>1351</v>
      </c>
      <c r="AX9" s="1383" t="s">
        <v>1351</v>
      </c>
      <c r="AY9" s="1383" t="s">
        <v>1351</v>
      </c>
      <c r="AZ9" s="1383" t="s">
        <v>1350</v>
      </c>
      <c r="BA9" s="1383" t="s">
        <v>1350</v>
      </c>
      <c r="BB9" s="1383" t="s">
        <v>1350</v>
      </c>
      <c r="BC9" s="1383" t="s">
        <v>1349</v>
      </c>
      <c r="BD9" s="1383" t="s">
        <v>1349</v>
      </c>
      <c r="BE9" s="1383" t="s">
        <v>1349</v>
      </c>
      <c r="BF9" s="1383" t="s">
        <v>1348</v>
      </c>
      <c r="BG9" s="1383" t="s">
        <v>1348</v>
      </c>
      <c r="BH9" s="1417" t="s">
        <v>1348</v>
      </c>
    </row>
    <row r="10" spans="3:60">
      <c r="E10" s="555" t="s">
        <v>1197</v>
      </c>
      <c r="F10" s="548" t="s">
        <v>1340</v>
      </c>
      <c r="G10" s="548">
        <v>2030</v>
      </c>
      <c r="H10" s="1362" t="s">
        <v>1175</v>
      </c>
      <c r="I10" s="1363">
        <f t="array" ref="I10">INDEX($AI$12:$BH$15,MATCH(F10,$AH$12:$AH$15,0),MATCH(I$1&amp;$AB10,$AI$9:$BH$9&amp;$AI$11:$BH$11,0))</f>
        <v>3045.9905660377353</v>
      </c>
      <c r="J10" s="1363">
        <f t="shared" si="0"/>
        <v>3045.9905660377353</v>
      </c>
      <c r="K10" s="1363">
        <v>25616</v>
      </c>
      <c r="L10" s="1362">
        <v>46219</v>
      </c>
      <c r="M10" s="1366">
        <f t="array" ref="M10">1/(INDEX($AI$12:$BH$15,MATCH($F10,$AH$12:$AH$15,0),MATCH(($G10&amp;M$1)&amp;$AB10,$AI$9:$BH$9&amp;$AI$11:$BH$11,0))/1.852)</f>
        <v>1.9876124255718461</v>
      </c>
      <c r="N10" s="1366">
        <f t="shared" si="1"/>
        <v>1.9876124255718461</v>
      </c>
      <c r="O10" s="1362">
        <v>30</v>
      </c>
      <c r="P10" s="1363"/>
      <c r="Q10" s="1363">
        <v>4710.5027550000013</v>
      </c>
      <c r="R10" s="1366">
        <f t="array" ref="R10">(AA10*(INDEX(ShipData!$P$19:$R$26,MATCH($AC10,ShipData!$N$19:$N$26,0),MATCH($AD10,ShipData!$P$18:$R$18,0))+INDEX(ShipData!$P$30:$R$37,MATCH($AC10,ShipData!$N$30:$N$37,0),MATCH($AD10,ShipData!$P$29:$R$29,0)))+K10*0.1*(1/M10)*INDEX(ShipData!$P$41:$R$48,MATCH($AC10,ShipData!$N$41:$N$48,0),MATCH($AD10,ShipData!$P$40:$R$40,0)))*6.5/1000</f>
        <v>59428.831462225498</v>
      </c>
      <c r="S10" s="1362"/>
      <c r="T10" s="1362">
        <v>1E-3</v>
      </c>
      <c r="U10" s="1368"/>
      <c r="Z10" s="1366">
        <f t="array" ref="Z10">INDEX($AI$12:$BH$15,MATCH(F10,$AH$12:$AH$15,0),MATCH($AB10&amp;$Z$1,$AI$11:$BH$11&amp;$AI$9:$BH$9,0))/1000</f>
        <v>5.9433962264150946</v>
      </c>
      <c r="AA10" s="570">
        <f t="array" ref="AA10">(Z10^INDEX(ShipData!$X$36:$X$39,MATCH($F10,ShipData!$U$36:$U$39,0)))*0.756*INDEX(ShipData!$W$36:$W$39,MATCH($F10,ShipData!$U$36:$U$39,0))</f>
        <v>3369.7610132900404</v>
      </c>
      <c r="AB10" s="548" t="s">
        <v>1174</v>
      </c>
      <c r="AC10" s="548" t="s">
        <v>1167</v>
      </c>
      <c r="AD10" s="570" t="s">
        <v>1338</v>
      </c>
      <c r="AG10" s="1411"/>
      <c r="AH10" s="982"/>
      <c r="AI10" s="549" t="s">
        <v>1347</v>
      </c>
      <c r="AJ10" s="549" t="s">
        <v>1347</v>
      </c>
      <c r="AK10" s="549" t="s">
        <v>1347</v>
      </c>
      <c r="AL10" s="1416" t="s">
        <v>1347</v>
      </c>
      <c r="AM10" s="1416" t="s">
        <v>1347</v>
      </c>
      <c r="AN10" s="1416" t="s">
        <v>1347</v>
      </c>
      <c r="AO10" s="570" t="s">
        <v>26</v>
      </c>
      <c r="AP10" s="549" t="s">
        <v>1346</v>
      </c>
      <c r="AQ10" s="541" t="s">
        <v>316</v>
      </c>
      <c r="AR10" s="541"/>
      <c r="AS10" s="541"/>
      <c r="AT10" s="541" t="s">
        <v>316</v>
      </c>
      <c r="AU10" s="541"/>
      <c r="AV10" s="541"/>
      <c r="AW10" s="541" t="s">
        <v>316</v>
      </c>
      <c r="AX10" s="541"/>
      <c r="AY10" s="541"/>
      <c r="AZ10" s="541" t="s">
        <v>325</v>
      </c>
      <c r="BA10" s="541"/>
      <c r="BB10" s="541"/>
      <c r="BC10" s="541" t="s">
        <v>325</v>
      </c>
      <c r="BD10" s="541"/>
      <c r="BE10" s="541"/>
      <c r="BF10" s="541" t="s">
        <v>325</v>
      </c>
      <c r="BG10" s="541" t="s">
        <v>325</v>
      </c>
      <c r="BH10" s="1409" t="s">
        <v>325</v>
      </c>
    </row>
    <row r="11" spans="3:60">
      <c r="C11" s="570" t="str">
        <f>"TFS"&amp;LEFT(AB11,1)&amp;AC11&amp;RIGHT(F11,1)&amp;MID(G11,3,1)&amp;"N"</f>
        <v>TFSLFOICL2N</v>
      </c>
      <c r="E11" s="555" t="s">
        <v>1185</v>
      </c>
      <c r="F11" s="548" t="s">
        <v>1340</v>
      </c>
      <c r="G11" s="548">
        <v>2020</v>
      </c>
      <c r="H11" s="1362" t="s">
        <v>1175</v>
      </c>
      <c r="I11" s="1363">
        <f t="array" ref="I11">INDEX($AI$12:$BH$15,MATCH(F11,$AH$12:$AH$15,0),MATCH(I$1&amp;$AB11,$AI$9:$BH$9&amp;$AI$11:$BH$11,0))</f>
        <v>7427.5362318840562</v>
      </c>
      <c r="J11" s="1363">
        <f t="shared" si="0"/>
        <v>7427.5362318840562</v>
      </c>
      <c r="K11" s="1363">
        <v>3985</v>
      </c>
      <c r="L11" s="1362">
        <v>7190</v>
      </c>
      <c r="M11" s="1366">
        <f t="array" ref="M11">1/(INDEX($AI$12:$BH$15,MATCH($F11,$AH$12:$AH$15,0),MATCH(($G11&amp;M$1)&amp;$AB11,$AI$9:$BH$9&amp;$AI$11:$BH$11,0))/1.852)</f>
        <v>0.84765820280384263</v>
      </c>
      <c r="N11" s="1366">
        <f t="shared" si="1"/>
        <v>0.84765820280384263</v>
      </c>
      <c r="O11" s="1362">
        <v>30</v>
      </c>
      <c r="P11" s="1363"/>
      <c r="Q11" s="1366">
        <f t="array" ref="Q11">0.035*R11</f>
        <v>3418.2580312494697</v>
      </c>
      <c r="R11" s="1366">
        <f>(AA11*(INDEX(ShipData!$P$19:$R$26,MATCH($AC11,ShipData!$N$19:$N$26,0),MATCH($AD11,ShipData!$P$18:$R$18,0))+INDEX(ShipData!$P$30:$R$37,MATCH($AC11,ShipData!$N$30:$N$37,0),MATCH($AD11,ShipData!$P$29:$R$29,0)))+K11*0.1*(1/M11)*INDEX(ShipData!$P$41:$R$48,MATCH($AC11,ShipData!$N$41:$N$48,0),MATCH($AD11,ShipData!$P$40:$R$40,0)))*6.5/1000</f>
        <v>97664.515178556263</v>
      </c>
      <c r="S11" s="1362"/>
      <c r="T11" s="1362">
        <v>1E-3</v>
      </c>
      <c r="U11" s="1368"/>
      <c r="Z11" s="1366">
        <f t="array" ref="Z11">INDEX($AI$12:$BH$15,MATCH(F11,$AH$12:$AH$15,0),MATCH($AB11&amp;$Z$1,$AI$11:$BH$11&amp;$AI$9:$BH$9,0))/1000</f>
        <v>14.492753623188404</v>
      </c>
      <c r="AA11" s="570">
        <f t="array" ref="AA11">(Z11^INDEX(ShipData!$X$36:$X$39,MATCH($F11,ShipData!$U$36:$U$39,0)))*0.756*INDEX(ShipData!$W$36:$W$39,MATCH($F11,ShipData!$U$36:$U$39,0))</f>
        <v>5556.1159914410127</v>
      </c>
      <c r="AB11" s="548" t="s">
        <v>1190</v>
      </c>
      <c r="AC11" s="548" t="s">
        <v>1167</v>
      </c>
      <c r="AD11" s="570" t="s">
        <v>1338</v>
      </c>
      <c r="AG11" s="1415"/>
      <c r="AH11" s="1414"/>
      <c r="AI11" s="1386" t="s">
        <v>1178</v>
      </c>
      <c r="AJ11" s="1386" t="s">
        <v>1174</v>
      </c>
      <c r="AK11" s="1386" t="s">
        <v>1190</v>
      </c>
      <c r="AL11" s="1386" t="s">
        <v>1178</v>
      </c>
      <c r="AM11" s="1386" t="s">
        <v>1174</v>
      </c>
      <c r="AN11" s="1386" t="s">
        <v>1190</v>
      </c>
      <c r="AO11" s="1386"/>
      <c r="AP11" s="1386"/>
      <c r="AQ11" s="1386" t="s">
        <v>1178</v>
      </c>
      <c r="AR11" s="1386" t="s">
        <v>1174</v>
      </c>
      <c r="AS11" s="1386" t="s">
        <v>1190</v>
      </c>
      <c r="AT11" s="1386" t="s">
        <v>1178</v>
      </c>
      <c r="AU11" s="1386" t="s">
        <v>1174</v>
      </c>
      <c r="AV11" s="1386" t="s">
        <v>1190</v>
      </c>
      <c r="AW11" s="1386" t="s">
        <v>1178</v>
      </c>
      <c r="AX11" s="1386" t="s">
        <v>1174</v>
      </c>
      <c r="AY11" s="1386" t="s">
        <v>1190</v>
      </c>
      <c r="AZ11" s="1386" t="s">
        <v>1178</v>
      </c>
      <c r="BA11" s="1386" t="s">
        <v>1174</v>
      </c>
      <c r="BB11" s="1386" t="s">
        <v>1190</v>
      </c>
      <c r="BC11" s="1386" t="s">
        <v>1178</v>
      </c>
      <c r="BD11" s="1386" t="s">
        <v>1174</v>
      </c>
      <c r="BE11" s="1386" t="s">
        <v>1190</v>
      </c>
      <c r="BF11" s="1386" t="s">
        <v>1178</v>
      </c>
      <c r="BG11" s="1386" t="s">
        <v>1174</v>
      </c>
      <c r="BH11" s="1413" t="s">
        <v>1190</v>
      </c>
    </row>
    <row r="12" spans="3:60">
      <c r="E12" s="555" t="s">
        <v>1197</v>
      </c>
      <c r="F12" s="548" t="s">
        <v>1340</v>
      </c>
      <c r="G12" s="548">
        <v>2030</v>
      </c>
      <c r="H12" s="1362" t="s">
        <v>1175</v>
      </c>
      <c r="I12" s="1363">
        <f t="array" ref="I12">INDEX($AI$12:$BH$15,MATCH(F12,$AH$12:$AH$15,0),MATCH(I$1&amp;$AB12,$AI$9:$BH$9&amp;$AI$11:$BH$11,0))</f>
        <v>7427.5362318840562</v>
      </c>
      <c r="J12" s="1363">
        <f t="shared" si="0"/>
        <v>7427.5362318840562</v>
      </c>
      <c r="K12" s="1363">
        <v>3985</v>
      </c>
      <c r="L12" s="1362">
        <v>7190</v>
      </c>
      <c r="M12" s="1366">
        <f t="array" ref="M12">1/(INDEX($AI$12:$BH$15,MATCH($F12,$AH$12:$AH$15,0),MATCH(($G12&amp;M$1)&amp;$AB12,$AI$9:$BH$9&amp;$AI$11:$BH$11,0))/1.852)</f>
        <v>1.155074490575144</v>
      </c>
      <c r="N12" s="1366">
        <f t="shared" si="1"/>
        <v>1.155074490575144</v>
      </c>
      <c r="O12" s="1362">
        <v>30</v>
      </c>
      <c r="P12" s="1363"/>
      <c r="Q12" s="1363">
        <v>7224.0632100000021</v>
      </c>
      <c r="R12" s="1366">
        <f t="array" ref="R12">(AA12*(INDEX(ShipData!$P$19:$R$26,MATCH($AC12,ShipData!$N$19:$N$26,0),MATCH($AD12,ShipData!$P$18:$R$18,0))+INDEX(ShipData!$P$30:$R$37,MATCH($AC12,ShipData!$N$30:$N$37,0),MATCH($AD12,ShipData!$P$29:$R$29,0)))+K12*0.1*(1/M12)*INDEX(ShipData!$P$41:$R$48,MATCH($AC12,ShipData!$N$41:$N$48,0),MATCH($AD12,ShipData!$P$40:$R$40,0)))*6.5/1000</f>
        <v>97640.116907647374</v>
      </c>
      <c r="S12" s="1362"/>
      <c r="T12" s="1362">
        <v>1E-3</v>
      </c>
      <c r="U12" s="1368"/>
      <c r="V12" s="1362"/>
      <c r="W12" s="1362"/>
      <c r="Z12" s="1366">
        <f t="array" ref="Z12">INDEX($AI$12:$BH$15,MATCH(F12,$AH$12:$AH$15,0),MATCH($AB12&amp;$Z$1,$AI$11:$BH$11&amp;$AI$9:$BH$9,0))/1000</f>
        <v>14.492753623188404</v>
      </c>
      <c r="AA12" s="570">
        <f t="array" ref="AA12">(Z12^INDEX(ShipData!$X$36:$X$39,MATCH($F12,ShipData!$U$36:$U$39,0)))*0.756*INDEX(ShipData!$W$36:$W$39,MATCH($F12,ShipData!$U$36:$U$39,0))</f>
        <v>5556.1159914410127</v>
      </c>
      <c r="AB12" s="548" t="s">
        <v>1190</v>
      </c>
      <c r="AC12" s="548" t="s">
        <v>1167</v>
      </c>
      <c r="AD12" s="570" t="s">
        <v>1338</v>
      </c>
      <c r="AG12" s="1411" t="s">
        <v>1345</v>
      </c>
      <c r="AH12" s="1412" t="s">
        <v>1339</v>
      </c>
      <c r="AI12" s="570">
        <v>2545</v>
      </c>
      <c r="AJ12" s="570">
        <v>6956.666666666667</v>
      </c>
      <c r="AK12" s="570">
        <v>15000</v>
      </c>
      <c r="AL12" s="570">
        <f t="shared" ref="AL12:AN15" si="2">AI12*$AO12</f>
        <v>1527</v>
      </c>
      <c r="AM12" s="570">
        <f t="shared" si="2"/>
        <v>4174</v>
      </c>
      <c r="AN12" s="570">
        <f t="shared" si="2"/>
        <v>9000</v>
      </c>
      <c r="AO12" s="570">
        <f>AVERAGE(ShipData!E62)</f>
        <v>0.6</v>
      </c>
      <c r="AP12" s="549">
        <f>SUM(ShipData!F26:G26)</f>
        <v>838.07</v>
      </c>
      <c r="AQ12" s="541">
        <f t="array" ref="AQ12">INDEX(ShipData!$P$72:$X$75,MATCH($AG12,ShipData!$N$72:$N$75,0),MATCH(AQ$11&amp;LEFT(AQ$9,4),ShipData!$P$70:$X$70&amp;ShipData!$P$71:$X$71,0))</f>
        <v>0.69481239852860355</v>
      </c>
      <c r="AR12" s="541">
        <f t="array" ref="AR12">INDEX(ShipData!$P$72:$X$75,MATCH($AG12,ShipData!$N$72:$N$75,0),MATCH(AR$11&amp;LEFT(AR$9,4),ShipData!$P$70:$X$70&amp;ShipData!$P$71:$X$71,0))</f>
        <v>1.1978009817472215</v>
      </c>
      <c r="AS12" s="541">
        <f t="array" ref="AS12">INDEX(ShipData!$P$72:$X$75,MATCH($AG12,ShipData!$N$72:$N$75,0),MATCH(AS$11&amp;LEFT(AS$9,4),ShipData!$P$70:$X$70&amp;ShipData!$P$71:$X$71,0))</f>
        <v>1.9819564083868411</v>
      </c>
      <c r="AT12" s="541">
        <f t="array" ref="AT12">INDEX(ShipData!$P$72:$X$75,MATCH($AG12,ShipData!$N$72:$N$75,0),MATCH(AT$11&amp;LEFT(AT$9,4),ShipData!$P$70:$X$70&amp;ShipData!$P$71:$X$71,0))</f>
        <v>0.54167868253407836</v>
      </c>
      <c r="AU12" s="541">
        <f t="array" ref="AU12">INDEX(ShipData!$P$72:$X$75,MATCH($AG12,ShipData!$N$72:$N$75,0),MATCH(AU$11&amp;LEFT(AU$9,4),ShipData!$P$70:$X$70&amp;ShipData!$P$71:$X$71,0))</f>
        <v>0.95272109162558627</v>
      </c>
      <c r="AV12" s="541">
        <f t="array" ref="AV12">INDEX(ShipData!$P$72:$X$75,MATCH($AG12,ShipData!$N$72:$N$75,0),MATCH(AV$11&amp;LEFT(AV$9,4),ShipData!$P$70:$X$70&amp;ShipData!$P$71:$X$71,0))</f>
        <v>1.5778116017068144</v>
      </c>
      <c r="AW12" s="541">
        <f t="array" ref="AW12">INDEX(ShipData!$P$72:$X$75,MATCH($AG12,ShipData!$N$72:$N$75,0),MATCH(AW$11&amp;LEFT(AW$9,4),ShipData!$P$70:$X$70&amp;ShipData!$P$71:$X$71,0))</f>
        <v>0.47593108632638464</v>
      </c>
      <c r="AX12" s="541">
        <f t="array" ref="AX12">INDEX(ShipData!$P$72:$X$75,MATCH($AG12,ShipData!$N$72:$N$75,0),MATCH(AX$11&amp;LEFT(AX$9,4),ShipData!$P$70:$X$70&amp;ShipData!$P$71:$X$71,0))</f>
        <v>0.84976407647311891</v>
      </c>
      <c r="AY12" s="541">
        <f t="array" ref="AY12">INDEX(ShipData!$P$72:$X$75,MATCH($AG12,ShipData!$N$72:$N$75,0),MATCH(AY$11&amp;LEFT(AY$9,4),ShipData!$P$70:$X$70&amp;ShipData!$P$71:$X$71,0))</f>
        <v>1.4128760984357018</v>
      </c>
      <c r="AZ12" s="541">
        <f t="array" ref="AZ12">INDEX(ShipData!$P$81:$X$84,MATCH($AG12,ShipData!$N$81:$N$84,0),MATCH(AZ$11&amp;LEFT(AZ$9,4),ShipData!$P$79:$X$79&amp;ShipData!$P$80:$X$80,0))</f>
        <v>12.547076074467574</v>
      </c>
      <c r="BA12" s="541">
        <f t="array" ref="BA12">INDEX(ShipData!$P$81:$X$84,MATCH($AG12,ShipData!$N$81:$N$84,0),MATCH(BA$11&amp;LEFT(BA$9,4),ShipData!$P$79:$X$79&amp;ShipData!$P$80:$X$80,0))</f>
        <v>13.163431603665668</v>
      </c>
      <c r="BB12" s="541">
        <f t="array" ref="BB12">INDEX(ShipData!$P$81:$X$84,MATCH($AG12,ShipData!$N$81:$N$84,0),MATCH(BB$11&amp;LEFT(BB$9,4),ShipData!$P$79:$X$79&amp;ShipData!$P$80:$X$80,0))</f>
        <v>13.634488759291706</v>
      </c>
      <c r="BC12" s="541">
        <f t="array" ref="BC12">INDEX(ShipData!$P$81:$X$84,MATCH($AG12,ShipData!$N$81:$N$84,0),MATCH(BC$11&amp;LEFT(BC$9,4),ShipData!$P$79:$X$79&amp;ShipData!$P$80:$X$80,0))</f>
        <v>11.919722270744195</v>
      </c>
      <c r="BD12" s="541">
        <f t="array" ref="BD12">INDEX(ShipData!$P$81:$X$84,MATCH($AG12,ShipData!$N$81:$N$84,0),MATCH(BD$11&amp;LEFT(BD$9,4),ShipData!$P$79:$X$79&amp;ShipData!$P$80:$X$80,0))</f>
        <v>12.505260023482384</v>
      </c>
      <c r="BE12" s="541">
        <f t="array" ref="BE12">INDEX(ShipData!$P$81:$X$84,MATCH($AG12,ShipData!$N$81:$N$84,0),MATCH(BE$11&amp;LEFT(BE$9,4),ShipData!$P$79:$X$79&amp;ShipData!$P$80:$X$80,0))</f>
        <v>12.95276432132712</v>
      </c>
      <c r="BF12" s="541">
        <f t="array" ref="BF12">INDEX(ShipData!$P$81:$X$84,MATCH($AG12,ShipData!$N$81:$N$84,0),MATCH(BF$11&amp;LEFT(BF$9,4),ShipData!$P$79:$X$79&amp;ShipData!$P$80:$X$80,0))</f>
        <v>11.292368467020816</v>
      </c>
      <c r="BG12" s="541">
        <f t="array" ref="BG12">INDEX(ShipData!$P$81:$X$84,MATCH($AG12,ShipData!$N$81:$N$84,0),MATCH(BG$11&amp;LEFT(BG$9,4),ShipData!$P$79:$X$79&amp;ShipData!$P$80:$X$80,0))</f>
        <v>11.847088443299102</v>
      </c>
      <c r="BH12" s="1409">
        <f t="array" ref="BH12">INDEX(ShipData!$P$81:$X$84,MATCH($AG12,ShipData!$N$81:$N$84,0),MATCH(BH$11&amp;LEFT(BH$9,4),ShipData!$P$79:$X$79&amp;ShipData!$P$80:$X$80,0))</f>
        <v>12.271039883362535</v>
      </c>
    </row>
    <row r="13" spans="3:60">
      <c r="C13" s="570" t="str">
        <f>"TFS"&amp;LEFT(AB13,1)&amp;AC13&amp;RIGHT(F13,1)&amp;MID(G13,3,1)&amp;"N"</f>
        <v>TFSSFOICD2N</v>
      </c>
      <c r="E13" s="555" t="s">
        <v>1185</v>
      </c>
      <c r="F13" s="548" t="s">
        <v>1339</v>
      </c>
      <c r="G13" s="548">
        <v>2020</v>
      </c>
      <c r="H13" s="1362" t="s">
        <v>1175</v>
      </c>
      <c r="I13" s="1363">
        <f t="array" ref="I13">INDEX($AI$12:$BH$15,MATCH(F13,$AH$12:$AH$15,0),MATCH(I$1&amp;$AB13,$AI$9:$BH$9&amp;$AI$11:$BH$11,0))</f>
        <v>1527</v>
      </c>
      <c r="J13" s="1363">
        <f t="shared" si="0"/>
        <v>1527</v>
      </c>
      <c r="K13" s="1363">
        <v>17027</v>
      </c>
      <c r="L13" s="1397">
        <v>30722</v>
      </c>
      <c r="M13" s="1366">
        <f t="array" ref="M13">1/(INDEX($AI$12:$BH$15,MATCH($F13,$AH$12:$AH$15,0),MATCH(($G13&amp;M$1)&amp;$AB13,$AI$9:$BH$9&amp;$AI$11:$BH$11,0))/1.852)</f>
        <v>3.4190010788978875</v>
      </c>
      <c r="N13" s="1366">
        <f t="shared" si="1"/>
        <v>3.4190010788978875</v>
      </c>
      <c r="O13" s="1362">
        <v>30</v>
      </c>
      <c r="P13" s="1366"/>
      <c r="Q13" s="1366">
        <f>0.035*R13</f>
        <v>1184.541801260144</v>
      </c>
      <c r="R13" s="1366">
        <f t="array" ref="R13">(AA13*(INDEX(ShipData!$P$19:$R$26,MATCH($AC13,ShipData!$N$19:$N$26,0),MATCH($AD13,ShipData!$P$18:$R$18,0))+INDEX(ShipData!$P$30:$R$37,MATCH($AC13,ShipData!$N$30:$N$37,0),MATCH($AD13,ShipData!$P$29:$R$29,0)))+K13*0.1*(1/M13)*INDEX(ShipData!$P$41:$R$48,MATCH($AC13,ShipData!$N$41:$N$48,0),MATCH($AD13,ShipData!$P$40:$R$40,0)))*6.5/1000</f>
        <v>33844.051464575539</v>
      </c>
      <c r="S13" s="1362"/>
      <c r="T13" s="1362">
        <v>1E-3</v>
      </c>
      <c r="U13" s="1368"/>
      <c r="V13" s="1362"/>
      <c r="W13" s="1362"/>
      <c r="Z13" s="1366">
        <f t="array" ref="Z13">INDEX($AI$12:$BH$15,MATCH(F13,$AH$12:$AH$15,0),MATCH($AB13&amp;$Z$1,$AI$11:$BH$11&amp;$AI$9:$BH$9,0))/1000</f>
        <v>2.5449999999999999</v>
      </c>
      <c r="AA13" s="570">
        <f t="array" ref="AA13">(Z13^INDEX(ShipData!$X$36:$X$39,MATCH($F13,ShipData!$U$36:$U$39,0)))*0.756*INDEX(ShipData!$W$36:$W$39,MATCH($F13,ShipData!$U$36:$U$39,0))</f>
        <v>1921.6608368614334</v>
      </c>
      <c r="AB13" s="570" t="s">
        <v>1178</v>
      </c>
      <c r="AC13" s="548" t="s">
        <v>1167</v>
      </c>
      <c r="AD13" s="570" t="s">
        <v>1338</v>
      </c>
      <c r="AG13" s="1411" t="s">
        <v>1344</v>
      </c>
      <c r="AH13" s="1412" t="s">
        <v>1340</v>
      </c>
      <c r="AI13" s="570">
        <v>1580.487804878049</v>
      </c>
      <c r="AJ13" s="570">
        <v>5943.3962264150941</v>
      </c>
      <c r="AK13" s="570">
        <v>14492.753623188404</v>
      </c>
      <c r="AL13" s="570">
        <f t="shared" si="2"/>
        <v>810</v>
      </c>
      <c r="AM13" s="570">
        <f t="shared" si="2"/>
        <v>3045.9905660377353</v>
      </c>
      <c r="AN13" s="570">
        <f t="shared" si="2"/>
        <v>7427.5362318840562</v>
      </c>
      <c r="AO13" s="570">
        <f t="array" ref="AO13">AVERAGE(ShipData!$E$57:$E$59,ShipData!E54)</f>
        <v>0.51249999999999996</v>
      </c>
      <c r="AP13" s="549">
        <f>SUM(ShipData!F25:G25)</f>
        <v>838.07</v>
      </c>
      <c r="AQ13" s="541">
        <f t="array" ref="AQ13">INDEX(ShipData!$P$72:$X$75,MATCH($AG13,ShipData!$N$72:$N$75,0),MATCH(AQ$11&amp;LEFT(AQ$9,4),ShipData!$P$70:$X$70&amp;ShipData!$P$71:$X$71,0))</f>
        <v>0.77646857355479448</v>
      </c>
      <c r="AR13" s="541">
        <f t="array" ref="AR13">INDEX(ShipData!$P$72:$X$75,MATCH($AG13,ShipData!$N$72:$N$75,0),MATCH(AR$11&amp;LEFT(AR$9,4),ShipData!$P$70:$X$70&amp;ShipData!$P$71:$X$71,0))</f>
        <v>1.288909160511386</v>
      </c>
      <c r="AS13" s="541">
        <f t="array" ref="AS13">INDEX(ShipData!$P$72:$X$75,MATCH($AG13,ShipData!$N$72:$N$75,0),MATCH(AS$11&amp;LEFT(AS$9,4),ShipData!$P$70:$X$70&amp;ShipData!$P$71:$X$71,0))</f>
        <v>2.2094448717413786</v>
      </c>
      <c r="AT13" s="541">
        <f t="array" ref="AT13">INDEX(ShipData!$P$72:$X$75,MATCH($AG13,ShipData!$N$72:$N$75,0),MATCH(AT$11&amp;LEFT(AT$9,4),ShipData!$P$70:$X$70&amp;ShipData!$P$71:$X$71,0))</f>
        <v>0.77972251382944091</v>
      </c>
      <c r="AU13" s="541">
        <f t="array" ref="AU13">INDEX(ShipData!$P$72:$X$75,MATCH($AG13,ShipData!$N$72:$N$75,0),MATCH(AU$11&amp;LEFT(AU$9,4),ShipData!$P$70:$X$70&amp;ShipData!$P$71:$X$71,0))</f>
        <v>1.3151655040251187</v>
      </c>
      <c r="AV13" s="541">
        <f t="array" ref="AV13">INDEX(ShipData!$P$72:$X$75,MATCH($AG13,ShipData!$N$72:$N$75,0),MATCH(AV$11&amp;LEFT(AV$9,4),ShipData!$P$70:$X$70&amp;ShipData!$P$71:$X$71,0))</f>
        <v>2.1848428928948538</v>
      </c>
      <c r="AW13" s="541">
        <f t="array" ref="AW13">INDEX(ShipData!$P$72:$X$75,MATCH($AG13,ShipData!$N$72:$N$75,0),MATCH(AW$11&amp;LEFT(AW$9,4),ShipData!$P$70:$X$70&amp;ShipData!$P$71:$X$71,0))</f>
        <v>0.48162297598757475</v>
      </c>
      <c r="AX13" s="541">
        <f t="array" ref="AX13">INDEX(ShipData!$P$72:$X$75,MATCH($AG13,ShipData!$N$72:$N$75,0),MATCH(AX$11&amp;LEFT(AX$9,4),ShipData!$P$70:$X$70&amp;ShipData!$P$71:$X$71,0))</f>
        <v>0.93177119249854268</v>
      </c>
      <c r="AY13" s="541">
        <f t="array" ref="AY13">INDEX(ShipData!$P$72:$X$75,MATCH($AG13,ShipData!$N$72:$N$75,0),MATCH(AY$11&amp;LEFT(AY$9,4),ShipData!$P$70:$X$70&amp;ShipData!$P$71:$X$71,0))</f>
        <v>1.6033597963693558</v>
      </c>
      <c r="AZ13" s="541">
        <f t="array" ref="AZ13">INDEX(ShipData!$P$81:$X$84,MATCH($AG13,ShipData!$N$81:$N$84,0),MATCH(AZ$11&amp;LEFT(AZ$9,4),ShipData!$P$79:$X$79&amp;ShipData!$P$80:$X$80,0))</f>
        <v>13.039647762108098</v>
      </c>
      <c r="BA13" s="541">
        <f t="array" ref="BA13">INDEX(ShipData!$P$81:$X$84,MATCH($AG13,ShipData!$N$81:$N$84,0),MATCH(BA$11&amp;LEFT(BA$9,4),ShipData!$P$79:$X$79&amp;ShipData!$P$80:$X$80,0))</f>
        <v>13.804028640451641</v>
      </c>
      <c r="BB13" s="541">
        <f t="array" ref="BB13">INDEX(ShipData!$P$81:$X$84,MATCH($AG13,ShipData!$N$81:$N$84,0),MATCH(BB$11&amp;LEFT(BB$9,4),ShipData!$P$79:$X$79&amp;ShipData!$P$80:$X$80,0))</f>
        <v>14.34340044108087</v>
      </c>
      <c r="BC13" s="541">
        <f t="array" ref="BC13">INDEX(ShipData!$P$81:$X$84,MATCH($AG13,ShipData!$N$81:$N$84,0),MATCH(BC$11&amp;LEFT(BC$9,4),ShipData!$P$79:$X$79&amp;ShipData!$P$80:$X$80,0))</f>
        <v>12.387665374002692</v>
      </c>
      <c r="BD13" s="541">
        <f t="array" ref="BD13">INDEX(ShipData!$P$81:$X$84,MATCH($AG13,ShipData!$N$81:$N$84,0),MATCH(BD$11&amp;LEFT(BD$9,4),ShipData!$P$79:$X$79&amp;ShipData!$P$80:$X$80,0))</f>
        <v>13.113827208429058</v>
      </c>
      <c r="BE13" s="541">
        <f t="array" ref="BE13">INDEX(ShipData!$P$81:$X$84,MATCH($AG13,ShipData!$N$81:$N$84,0),MATCH(BE$11&amp;LEFT(BE$9,4),ShipData!$P$79:$X$79&amp;ShipData!$P$80:$X$80,0))</f>
        <v>13.626230419026827</v>
      </c>
      <c r="BF13" s="541">
        <f t="array" ref="BF13">INDEX(ShipData!$P$81:$X$84,MATCH($AG13,ShipData!$N$81:$N$84,0),MATCH(BF$11&amp;LEFT(BF$9,4),ShipData!$P$79:$X$79&amp;ShipData!$P$80:$X$80,0))</f>
        <v>11.148898836602424</v>
      </c>
      <c r="BG13" s="541">
        <f t="array" ref="BG13">INDEX(ShipData!$P$81:$X$84,MATCH($AG13,ShipData!$N$81:$N$84,0),MATCH(BG$11&amp;LEFT(BG$9,4),ShipData!$P$79:$X$79&amp;ShipData!$P$80:$X$80,0))</f>
        <v>11.802444487586152</v>
      </c>
      <c r="BH13" s="1409">
        <f t="array" ref="BH13">INDEX(ShipData!$P$81:$X$84,MATCH($AG13,ShipData!$N$81:$N$84,0),MATCH(BH$11&amp;LEFT(BH$9,4),ShipData!$P$79:$X$79&amp;ShipData!$P$80:$X$80,0))</f>
        <v>12.263607377124144</v>
      </c>
    </row>
    <row r="14" spans="3:60">
      <c r="E14" s="555" t="s">
        <v>1197</v>
      </c>
      <c r="F14" s="548" t="str">
        <f>F13</f>
        <v>TFSD</v>
      </c>
      <c r="G14" s="548">
        <v>2030</v>
      </c>
      <c r="H14" s="1362" t="s">
        <v>1175</v>
      </c>
      <c r="I14" s="1363">
        <f t="array" ref="I14">INDEX($AI$12:$BH$15,MATCH(F14,$AH$12:$AH$15,0),MATCH(I$1&amp;$AB14,$AI$9:$BH$9&amp;$AI$11:$BH$11,0))</f>
        <v>1527</v>
      </c>
      <c r="J14" s="1363">
        <f t="shared" si="0"/>
        <v>1527</v>
      </c>
      <c r="K14" s="1363">
        <v>17027</v>
      </c>
      <c r="L14" s="1397">
        <v>30722</v>
      </c>
      <c r="M14" s="1366">
        <f t="array" ref="M14">1/(INDEX($AI$12:$BH$15,MATCH($F14,$AH$12:$AH$15,0),MATCH(($G14&amp;M$1)&amp;$AB14,$AI$9:$BH$9&amp;$AI$11:$BH$11,0))/1.852)</f>
        <v>3.891319674651244</v>
      </c>
      <c r="N14" s="1366">
        <f t="shared" si="1"/>
        <v>3.891319674651244</v>
      </c>
      <c r="O14" s="1362">
        <v>30</v>
      </c>
      <c r="P14" s="1366"/>
      <c r="Q14" s="1363">
        <v>2450.2368240000005</v>
      </c>
      <c r="R14" s="1366">
        <f t="array" ref="R14">(AA14*(INDEX(ShipData!$P$19:$R$26,MATCH($AC14,ShipData!$N$19:$N$26,0),MATCH($AD14,ShipData!$P$18:$R$18,0))+INDEX(ShipData!$P$30:$R$37,MATCH($AC14,ShipData!$N$30:$N$37,0),MATCH($AD14,ShipData!$P$29:$R$29,0)))+K14*0.1*(1/M14)*INDEX(ShipData!$P$41:$R$48,MATCH($AC14,ShipData!$N$41:$N$48,0),MATCH($AD14,ShipData!$P$40:$R$40,0)))*6.5/1000</f>
        <v>33832.264237657466</v>
      </c>
      <c r="S14" s="1362"/>
      <c r="T14" s="1362">
        <v>1E-3</v>
      </c>
      <c r="U14" s="1368"/>
      <c r="V14" s="1362"/>
      <c r="W14" s="1362"/>
      <c r="Z14" s="1366">
        <f t="array" ref="Z14">INDEX($AI$12:$BH$15,MATCH(F14,$AH$12:$AH$15,0),MATCH($AB14&amp;$Z$1,$AI$11:$BH$11&amp;$AI$9:$BH$9,0))/1000</f>
        <v>2.5449999999999999</v>
      </c>
      <c r="AA14" s="570">
        <f t="array" ref="AA14">(Z14^INDEX(ShipData!$X$36:$X$39,MATCH($F14,ShipData!$U$36:$U$39,0)))*0.756*INDEX(ShipData!$W$36:$W$39,MATCH($F14,ShipData!$U$36:$U$39,0))</f>
        <v>1921.6608368614334</v>
      </c>
      <c r="AB14" s="570" t="str">
        <f>AB13</f>
        <v>Small</v>
      </c>
      <c r="AC14" s="548" t="s">
        <v>1167</v>
      </c>
      <c r="AD14" s="570" t="s">
        <v>1338</v>
      </c>
      <c r="AG14" s="1411" t="s">
        <v>1343</v>
      </c>
      <c r="AH14" s="1410" t="s">
        <v>1337</v>
      </c>
      <c r="AI14" s="570">
        <v>3500</v>
      </c>
      <c r="AJ14" s="570">
        <v>7000</v>
      </c>
      <c r="AK14" s="570">
        <v>16800</v>
      </c>
      <c r="AL14" s="570">
        <f t="shared" si="2"/>
        <v>2450</v>
      </c>
      <c r="AM14" s="570">
        <f t="shared" si="2"/>
        <v>4900</v>
      </c>
      <c r="AN14" s="570">
        <f t="shared" si="2"/>
        <v>11760</v>
      </c>
      <c r="AO14" s="570">
        <f>ShipData!E65</f>
        <v>0.7</v>
      </c>
      <c r="AP14" s="549">
        <f>SUM(ShipData!F27:G27)</f>
        <v>38.979999999999997</v>
      </c>
      <c r="AQ14" s="541">
        <f t="array" ref="AQ14">INDEX(ShipData!$P$72:$X$75,MATCH($AG14,ShipData!$N$72:$N$75,0),MATCH(AQ$11&amp;LEFT(AQ$9,4),ShipData!$P$70:$X$70&amp;ShipData!$P$71:$X$71,0))</f>
        <v>1.0641630087729568</v>
      </c>
      <c r="AR14" s="541">
        <f t="array" ref="AR14">INDEX(ShipData!$P$72:$X$75,MATCH($AG14,ShipData!$N$72:$N$75,0),MATCH(AR$11&amp;LEFT(AR$9,4),ShipData!$P$70:$X$70&amp;ShipData!$P$71:$X$71,0))</f>
        <v>2.1067816326238282</v>
      </c>
      <c r="AS14" s="541">
        <f t="array" ref="AS14">INDEX(ShipData!$P$72:$X$75,MATCH($AG14,ShipData!$N$72:$N$75,0),MATCH(AS$11&amp;LEFT(AS$9,4),ShipData!$P$70:$X$70&amp;ShipData!$P$71:$X$71,0))</f>
        <v>4.539955425015366</v>
      </c>
      <c r="AT14" s="541">
        <f t="array" ref="AT14">INDEX(ShipData!$P$72:$X$75,MATCH($AG14,ShipData!$N$72:$N$75,0),MATCH(AT$11&amp;LEFT(AT$9,4),ShipData!$P$70:$X$70&amp;ShipData!$P$71:$X$71,0))</f>
        <v>1.0641630087729568</v>
      </c>
      <c r="AU14" s="541">
        <f t="array" ref="AU14">INDEX(ShipData!$P$72:$X$75,MATCH($AG14,ShipData!$N$72:$N$75,0),MATCH(AU$11&amp;LEFT(AU$9,4),ShipData!$P$70:$X$70&amp;ShipData!$P$71:$X$71,0))</f>
        <v>2.1067816326238282</v>
      </c>
      <c r="AV14" s="541">
        <f t="array" ref="AV14">INDEX(ShipData!$P$72:$X$75,MATCH($AG14,ShipData!$N$72:$N$75,0),MATCH(AV$11&amp;LEFT(AV$9,4),ShipData!$P$70:$X$70&amp;ShipData!$P$71:$X$71,0))</f>
        <v>4.539955425015366</v>
      </c>
      <c r="AW14" s="541">
        <f t="array" ref="AW14">INDEX(ShipData!$P$72:$X$75,MATCH($AG14,ShipData!$N$72:$N$75,0),MATCH(AW$11&amp;LEFT(AW$9,4),ShipData!$P$70:$X$70&amp;ShipData!$P$71:$X$71,0))</f>
        <v>1.0641630087729568</v>
      </c>
      <c r="AX14" s="541">
        <f t="array" ref="AX14">INDEX(ShipData!$P$72:$X$75,MATCH($AG14,ShipData!$N$72:$N$75,0),MATCH(AX$11&amp;LEFT(AX$9,4),ShipData!$P$70:$X$70&amp;ShipData!$P$71:$X$71,0))</f>
        <v>2.1067816326238282</v>
      </c>
      <c r="AY14" s="541">
        <f t="array" ref="AY14">INDEX(ShipData!$P$72:$X$75,MATCH($AG14,ShipData!$N$72:$N$75,0),MATCH(AY$11&amp;LEFT(AY$9,4),ShipData!$P$70:$X$70&amp;ShipData!$P$71:$X$71,0))</f>
        <v>4.539955425015366</v>
      </c>
      <c r="AZ14" s="541">
        <f t="array" ref="AZ14">INDEX(ShipData!$P$81:$X$84,MATCH($AG14,ShipData!$N$81:$N$84,0),MATCH(AZ$11&amp;LEFT(AZ$9,4),ShipData!$P$79:$X$79&amp;ShipData!$P$80:$X$80,0))</f>
        <v>13.673050526458095</v>
      </c>
      <c r="BA14" s="541">
        <f t="array" ref="BA14">INDEX(ShipData!$P$81:$X$84,MATCH($AG14,ShipData!$N$81:$N$84,0),MATCH(BA$11&amp;LEFT(BA$9,4),ShipData!$P$79:$X$79&amp;ShipData!$P$80:$X$80,0))</f>
        <v>16.195501023810248</v>
      </c>
      <c r="BB14" s="541">
        <f t="array" ref="BB14">INDEX(ShipData!$P$81:$X$84,MATCH($AG14,ShipData!$N$81:$N$84,0),MATCH(BB$11&amp;LEFT(BB$9,4),ShipData!$P$79:$X$79&amp;ShipData!$P$80:$X$80,0))</f>
        <v>19.628115523844482</v>
      </c>
      <c r="BC14" s="541">
        <f t="array" ref="BC14">INDEX(ShipData!$P$81:$X$84,MATCH($AG14,ShipData!$N$81:$N$84,0),MATCH(BC$11&amp;LEFT(BC$9,4),ShipData!$P$79:$X$79&amp;ShipData!$P$80:$X$80,0))</f>
        <v>13.673050526458095</v>
      </c>
      <c r="BD14" s="541">
        <f t="array" ref="BD14">INDEX(ShipData!$P$81:$X$84,MATCH($AG14,ShipData!$N$81:$N$84,0),MATCH(BD$11&amp;LEFT(BD$9,4),ShipData!$P$79:$X$79&amp;ShipData!$P$80:$X$80,0))</f>
        <v>16.195501023810248</v>
      </c>
      <c r="BE14" s="541">
        <f t="array" ref="BE14">INDEX(ShipData!$P$81:$X$84,MATCH($AG14,ShipData!$N$81:$N$84,0),MATCH(BE$11&amp;LEFT(BE$9,4),ShipData!$P$79:$X$79&amp;ShipData!$P$80:$X$80,0))</f>
        <v>19.628115523844482</v>
      </c>
      <c r="BF14" s="541">
        <f t="array" ref="BF14">INDEX(ShipData!$P$81:$X$84,MATCH($AG14,ShipData!$N$81:$N$84,0),MATCH(BF$11&amp;LEFT(BF$9,4),ShipData!$P$79:$X$79&amp;ShipData!$P$80:$X$80,0))</f>
        <v>13.673050526458095</v>
      </c>
      <c r="BG14" s="541">
        <f t="array" ref="BG14">INDEX(ShipData!$P$81:$X$84,MATCH($AG14,ShipData!$N$81:$N$84,0),MATCH(BG$11&amp;LEFT(BG$9,4),ShipData!$P$79:$X$79&amp;ShipData!$P$80:$X$80,0))</f>
        <v>16.195501023810248</v>
      </c>
      <c r="BH14" s="1409">
        <f t="array" ref="BH14">INDEX(ShipData!$P$81:$X$84,MATCH($AG14,ShipData!$N$81:$N$84,0),MATCH(BH$11&amp;LEFT(BH$9,4),ShipData!$P$79:$X$79&amp;ShipData!$P$80:$X$80,0))</f>
        <v>19.628115523844482</v>
      </c>
    </row>
    <row r="15" spans="3:60" ht="13.8" thickBot="1">
      <c r="C15" s="570" t="str">
        <f>"TFS"&amp;LEFT(AB15,1)&amp;AC15&amp;RIGHT(F15,1)&amp;MID(G15,3,1)&amp;"N"</f>
        <v>TFSMFOICD2N</v>
      </c>
      <c r="E15" s="555" t="s">
        <v>1185</v>
      </c>
      <c r="F15" s="548" t="s">
        <v>1339</v>
      </c>
      <c r="G15" s="548">
        <v>2020</v>
      </c>
      <c r="H15" s="1362" t="s">
        <v>1175</v>
      </c>
      <c r="I15" s="1363">
        <f t="array" ref="I15">INDEX($AI$12:$BH$15,MATCH(F15,$AH$12:$AH$15,0),MATCH(I$1&amp;$AB15,$AI$9:$BH$9&amp;$AI$11:$BH$11,0))</f>
        <v>4174</v>
      </c>
      <c r="J15" s="1363">
        <f t="shared" si="0"/>
        <v>4174</v>
      </c>
      <c r="K15" s="1363">
        <v>3330</v>
      </c>
      <c r="L15" s="1397">
        <v>6009</v>
      </c>
      <c r="M15" s="1366">
        <f t="array" ref="M15">1/(INDEX($AI$12:$BH$15,MATCH($F15,$AH$12:$AH$15,0),MATCH(($G15&amp;M$1)&amp;$AB15,$AI$9:$BH$9&amp;$AI$11:$BH$11,0))/1.852)</f>
        <v>1.9439057414379413</v>
      </c>
      <c r="N15" s="1366">
        <f t="shared" si="1"/>
        <v>1.9439057414379413</v>
      </c>
      <c r="O15" s="1362">
        <v>30</v>
      </c>
      <c r="P15" s="1366"/>
      <c r="Q15" s="1366">
        <f>0.035*R15</f>
        <v>2115.4345319081817</v>
      </c>
      <c r="R15" s="1366">
        <f t="array" ref="R15">(AA15*(INDEX(ShipData!$P$19:$R$26,MATCH($AC15,ShipData!$N$19:$N$26,0),MATCH($AD15,ShipData!$P$18:$R$18,0))+INDEX(ShipData!$P$30:$R$37,MATCH($AC15,ShipData!$N$30:$N$37,0),MATCH($AD15,ShipData!$P$29:$R$29,0)))+K15*0.1*(1/M15)*INDEX(ShipData!$P$41:$R$48,MATCH($AC15,ShipData!$N$41:$N$48,0),MATCH($AD15,ShipData!$P$40:$R$40,0)))*6.5/1000</f>
        <v>60440.986625948048</v>
      </c>
      <c r="S15" s="1362"/>
      <c r="T15" s="1362">
        <v>1E-3</v>
      </c>
      <c r="U15" s="1368"/>
      <c r="V15" s="1362"/>
      <c r="W15" s="1362"/>
      <c r="Z15" s="1366">
        <f t="array" ref="Z15">INDEX($AI$12:$BH$15,MATCH(F15,$AH$12:$AH$15,0),MATCH($AB15&amp;$Z$1,$AI$11:$BH$11&amp;$AI$9:$BH$9,0))/1000</f>
        <v>6.956666666666667</v>
      </c>
      <c r="AA15" s="570">
        <f t="array" ref="AA15">(Z15^INDEX(ShipData!$X$36:$X$39,MATCH($F15,ShipData!$U$36:$U$39,0)))*0.756*INDEX(ShipData!$W$36:$W$39,MATCH($F15,ShipData!$U$36:$U$39,0))</f>
        <v>3439.8048335584949</v>
      </c>
      <c r="AB15" s="570" t="s">
        <v>1174</v>
      </c>
      <c r="AC15" s="548" t="s">
        <v>1167</v>
      </c>
      <c r="AD15" s="570" t="s">
        <v>1338</v>
      </c>
      <c r="AG15" s="1408" t="s">
        <v>1342</v>
      </c>
      <c r="AH15" s="1407" t="s">
        <v>1336</v>
      </c>
      <c r="AI15" s="1406">
        <v>1431.4285714285716</v>
      </c>
      <c r="AJ15" s="1261">
        <v>5154.2857142857147</v>
      </c>
      <c r="AK15" s="1405">
        <f>AK14</f>
        <v>16800</v>
      </c>
      <c r="AL15" s="1405">
        <f t="shared" si="2"/>
        <v>1002</v>
      </c>
      <c r="AM15" s="1405">
        <f t="shared" si="2"/>
        <v>3608</v>
      </c>
      <c r="AN15" s="1405">
        <f t="shared" si="2"/>
        <v>11760</v>
      </c>
      <c r="AO15" s="1261">
        <f>AVERAGE(ShipData!E66:E67)</f>
        <v>0.7</v>
      </c>
      <c r="AP15" s="1405">
        <f>SUM(ShipData!F28:G28)</f>
        <v>233.88</v>
      </c>
      <c r="AQ15" s="1263">
        <f t="array" ref="AQ15">INDEX(ShipData!$P$72:$X$75,MATCH($AG15,ShipData!$N$72:$N$75,0),MATCH(AQ$11&amp;LEFT(AQ$9,4),ShipData!$P$70:$X$70&amp;ShipData!$P$71:$X$71,0))</f>
        <v>1.0641630087729568</v>
      </c>
      <c r="AR15" s="1263">
        <f t="array" ref="AR15">INDEX(ShipData!$P$72:$X$75,MATCH($AG15,ShipData!$N$72:$N$75,0),MATCH(AR$11&amp;LEFT(AR$9,4),ShipData!$P$70:$X$70&amp;ShipData!$P$71:$X$71,0))</f>
        <v>2.1067816326238282</v>
      </c>
      <c r="AS15" s="1263">
        <f t="array" ref="AS15">INDEX(ShipData!$P$72:$X$75,MATCH($AG15,ShipData!$N$72:$N$75,0),MATCH(AS$11&amp;LEFT(AS$9,4),ShipData!$P$70:$X$70&amp;ShipData!$P$71:$X$71,0))</f>
        <v>4.539955425015366</v>
      </c>
      <c r="AT15" s="1263">
        <f t="array" ref="AT15">INDEX(ShipData!$P$72:$X$75,MATCH($AG15,ShipData!$N$72:$N$75,0),MATCH(AT$11&amp;LEFT(AT$9,4),ShipData!$P$70:$X$70&amp;ShipData!$P$71:$X$71,0))</f>
        <v>1.0641630087729568</v>
      </c>
      <c r="AU15" s="1263">
        <f t="array" ref="AU15">INDEX(ShipData!$P$72:$X$75,MATCH($AG15,ShipData!$N$72:$N$75,0),MATCH(AU$11&amp;LEFT(AU$9,4),ShipData!$P$70:$X$70&amp;ShipData!$P$71:$X$71,0))</f>
        <v>2.1067816326238282</v>
      </c>
      <c r="AV15" s="1263">
        <f t="array" ref="AV15">INDEX(ShipData!$P$72:$X$75,MATCH($AG15,ShipData!$N$72:$N$75,0),MATCH(AV$11&amp;LEFT(AV$9,4),ShipData!$P$70:$X$70&amp;ShipData!$P$71:$X$71,0))</f>
        <v>4.539955425015366</v>
      </c>
      <c r="AW15" s="1263">
        <f t="array" ref="AW15">INDEX(ShipData!$P$72:$X$75,MATCH($AG15,ShipData!$N$72:$N$75,0),MATCH(AW$11&amp;LEFT(AW$9,4),ShipData!$P$70:$X$70&amp;ShipData!$P$71:$X$71,0))</f>
        <v>1.0641630087729568</v>
      </c>
      <c r="AX15" s="1263">
        <f t="array" ref="AX15">INDEX(ShipData!$P$72:$X$75,MATCH($AG15,ShipData!$N$72:$N$75,0),MATCH(AX$11&amp;LEFT(AX$9,4),ShipData!$P$70:$X$70&amp;ShipData!$P$71:$X$71,0))</f>
        <v>2.1067816326238282</v>
      </c>
      <c r="AY15" s="1263">
        <f t="array" ref="AY15">INDEX(ShipData!$P$72:$X$75,MATCH($AG15,ShipData!$N$72:$N$75,0),MATCH(AY$11&amp;LEFT(AY$9,4),ShipData!$P$70:$X$70&amp;ShipData!$P$71:$X$71,0))</f>
        <v>4.539955425015366</v>
      </c>
      <c r="AZ15" s="1263">
        <f t="array" ref="AZ15">INDEX(ShipData!$P$81:$X$84,MATCH($AG15,ShipData!$N$81:$N$84,0),MATCH(AZ$11&amp;LEFT(AZ$9,4),ShipData!$P$79:$X$79&amp;ShipData!$P$80:$X$80,0))</f>
        <v>13.673050526458095</v>
      </c>
      <c r="BA15" s="1263">
        <f t="array" ref="BA15">INDEX(ShipData!$P$81:$X$84,MATCH($AG15,ShipData!$N$81:$N$84,0),MATCH(BA$11&amp;LEFT(BA$9,4),ShipData!$P$79:$X$79&amp;ShipData!$P$80:$X$80,0))</f>
        <v>16.195501023810248</v>
      </c>
      <c r="BB15" s="1263">
        <f t="array" ref="BB15">INDEX(ShipData!$P$81:$X$84,MATCH($AG15,ShipData!$N$81:$N$84,0),MATCH(BB$11&amp;LEFT(BB$9,4),ShipData!$P$79:$X$79&amp;ShipData!$P$80:$X$80,0))</f>
        <v>19.628115523844482</v>
      </c>
      <c r="BC15" s="1263">
        <f t="array" ref="BC15">INDEX(ShipData!$P$81:$X$84,MATCH($AG15,ShipData!$N$81:$N$84,0),MATCH(BC$11&amp;LEFT(BC$9,4),ShipData!$P$79:$X$79&amp;ShipData!$P$80:$X$80,0))</f>
        <v>13.673050526458095</v>
      </c>
      <c r="BD15" s="1263">
        <f t="array" ref="BD15">INDEX(ShipData!$P$81:$X$84,MATCH($AG15,ShipData!$N$81:$N$84,0),MATCH(BD$11&amp;LEFT(BD$9,4),ShipData!$P$79:$X$79&amp;ShipData!$P$80:$X$80,0))</f>
        <v>16.195501023810248</v>
      </c>
      <c r="BE15" s="1263">
        <f t="array" ref="BE15">INDEX(ShipData!$P$81:$X$84,MATCH($AG15,ShipData!$N$81:$N$84,0),MATCH(BE$11&amp;LEFT(BE$9,4),ShipData!$P$79:$X$79&amp;ShipData!$P$80:$X$80,0))</f>
        <v>19.628115523844482</v>
      </c>
      <c r="BF15" s="1263">
        <f t="array" ref="BF15">INDEX(ShipData!$P$81:$X$84,MATCH($AG15,ShipData!$N$81:$N$84,0),MATCH(BF$11&amp;LEFT(BF$9,4),ShipData!$P$79:$X$79&amp;ShipData!$P$80:$X$80,0))</f>
        <v>13.673050526458095</v>
      </c>
      <c r="BG15" s="1263">
        <f t="array" ref="BG15">INDEX(ShipData!$P$81:$X$84,MATCH($AG15,ShipData!$N$81:$N$84,0),MATCH(BG$11&amp;LEFT(BG$9,4),ShipData!$P$79:$X$79&amp;ShipData!$P$80:$X$80,0))</f>
        <v>16.195501023810248</v>
      </c>
      <c r="BH15" s="1404">
        <f t="array" ref="BH15">INDEX(ShipData!$P$81:$X$84,MATCH($AG15,ShipData!$N$81:$N$84,0),MATCH(BH$11&amp;LEFT(BH$9,4),ShipData!$P$79:$X$79&amp;ShipData!$P$80:$X$80,0))</f>
        <v>19.628115523844482</v>
      </c>
    </row>
    <row r="16" spans="3:60">
      <c r="E16" s="555" t="s">
        <v>1197</v>
      </c>
      <c r="F16" s="548" t="str">
        <f>F15</f>
        <v>TFSD</v>
      </c>
      <c r="G16" s="548">
        <v>2030</v>
      </c>
      <c r="H16" s="1362" t="s">
        <v>1175</v>
      </c>
      <c r="I16" s="1363">
        <f t="array" ref="I16">INDEX($AI$12:$BH$15,MATCH(F16,$AH$12:$AH$15,0),MATCH(I$1&amp;$AB16,$AI$9:$BH$9&amp;$AI$11:$BH$11,0))</f>
        <v>4174</v>
      </c>
      <c r="J16" s="1363">
        <f t="shared" si="0"/>
        <v>4174</v>
      </c>
      <c r="K16" s="1363">
        <v>3330</v>
      </c>
      <c r="L16" s="1397">
        <v>6009</v>
      </c>
      <c r="M16" s="1366">
        <f t="array" ref="M16">1/(INDEX($AI$12:$BH$15,MATCH($F16,$AH$12:$AH$15,0),MATCH(($G16&amp;M$1)&amp;$AB16,$AI$9:$BH$9&amp;$AI$11:$BH$11,0))/1.852)</f>
        <v>2.1794284452298629</v>
      </c>
      <c r="N16" s="1366">
        <f t="shared" si="1"/>
        <v>2.1794284452298629</v>
      </c>
      <c r="O16" s="1362">
        <v>30</v>
      </c>
      <c r="P16" s="1366"/>
      <c r="Q16" s="1363">
        <v>4386.1306860000013</v>
      </c>
      <c r="R16" s="1366">
        <f t="array" ref="R16">(AA16*(INDEX(ShipData!$P$19:$R$26,MATCH($AC16,ShipData!$N$19:$N$26,0),MATCH($AD16,ShipData!$P$18:$R$18,0))+INDEX(ShipData!$P$30:$R$37,MATCH($AC16,ShipData!$N$30:$N$37,0),MATCH($AD16,ShipData!$P$29:$R$29,0)))+K16*0.1*(1/M16)*INDEX(ShipData!$P$41:$R$48,MATCH($AC16,ShipData!$N$41:$N$48,0),MATCH($AD16,ShipData!$P$40:$R$40,0)))*6.5/1000</f>
        <v>60437.376737298517</v>
      </c>
      <c r="S16" s="1362"/>
      <c r="T16" s="1362">
        <v>1E-3</v>
      </c>
      <c r="U16" s="1368"/>
      <c r="V16" s="1362"/>
      <c r="W16" s="1362"/>
      <c r="Z16" s="1366">
        <f t="array" ref="Z16">INDEX($AI$12:$BH$15,MATCH(F16,$AH$12:$AH$15,0),MATCH($AB16&amp;$Z$1,$AI$11:$BH$11&amp;$AI$9:$BH$9,0))/1000</f>
        <v>6.956666666666667</v>
      </c>
      <c r="AA16" s="570">
        <f t="array" ref="AA16">(Z16^INDEX(ShipData!$X$36:$X$39,MATCH($F16,ShipData!$U$36:$U$39,0)))*0.756*INDEX(ShipData!$W$36:$W$39,MATCH($F16,ShipData!$U$36:$U$39,0))</f>
        <v>3439.8048335584949</v>
      </c>
      <c r="AB16" s="570" t="str">
        <f>AB15</f>
        <v>Medium</v>
      </c>
      <c r="AC16" s="548" t="s">
        <v>1167</v>
      </c>
      <c r="AD16" s="570" t="s">
        <v>1338</v>
      </c>
      <c r="AH16" s="575"/>
      <c r="AI16" s="575"/>
    </row>
    <row r="17" spans="3:39">
      <c r="C17" s="570" t="str">
        <f>"TFS"&amp;LEFT(AB17,1)&amp;AC17&amp;RIGHT(F17,1)&amp;MID(G17,3,1)&amp;"N"</f>
        <v>TFSLFOICD2N</v>
      </c>
      <c r="E17" s="555" t="s">
        <v>1185</v>
      </c>
      <c r="F17" s="548" t="s">
        <v>1339</v>
      </c>
      <c r="G17" s="548">
        <v>2020</v>
      </c>
      <c r="H17" s="1362" t="s">
        <v>1175</v>
      </c>
      <c r="I17" s="1363">
        <f t="array" ref="I17">INDEX($AI$12:$BH$15,MATCH(F17,$AH$12:$AH$15,0),MATCH(I$1&amp;$AB17,$AI$9:$BH$9&amp;$AI$11:$BH$11,0))</f>
        <v>9000</v>
      </c>
      <c r="J17" s="1363">
        <f t="shared" si="0"/>
        <v>9000</v>
      </c>
      <c r="K17" s="1363">
        <v>830</v>
      </c>
      <c r="L17" s="1397">
        <v>1498</v>
      </c>
      <c r="M17" s="1366">
        <f t="array" ref="M17">1/(INDEX($AI$12:$BH$15,MATCH($F17,$AH$12:$AH$15,0),MATCH(($G17&amp;M$1)&amp;$AB17,$AI$9:$BH$9&amp;$AI$11:$BH$11,0))/1.852)</f>
        <v>1.1737776538064364</v>
      </c>
      <c r="N17" s="1366">
        <f t="shared" si="1"/>
        <v>1.1737776538064364</v>
      </c>
      <c r="O17" s="1362">
        <v>30</v>
      </c>
      <c r="P17" s="1366"/>
      <c r="Q17" s="1366">
        <f>0.035*R17</f>
        <v>3299.3590202291289</v>
      </c>
      <c r="R17" s="1366">
        <f t="array" ref="R17">(AA17*(INDEX(ShipData!$P$19:$R$26,MATCH($AC17,ShipData!$N$19:$N$26,0),MATCH($AD17,ShipData!$P$18:$R$18,0))+INDEX(ShipData!$P$30:$R$37,MATCH($AC17,ShipData!$N$30:$N$37,0),MATCH($AD17,ShipData!$P$29:$R$29,0)))+K17*0.1*(1/M17)*INDEX(ShipData!$P$41:$R$48,MATCH($AC17,ShipData!$N$41:$N$48,0),MATCH($AD17,ShipData!$P$40:$R$40,0)))*6.5/1000</f>
        <v>94267.400577975102</v>
      </c>
      <c r="S17" s="1362"/>
      <c r="T17" s="1362">
        <v>1E-3</v>
      </c>
      <c r="U17" s="1368"/>
      <c r="V17" s="1362"/>
      <c r="W17" s="1362"/>
      <c r="Z17" s="1366">
        <f t="array" ref="Z17">INDEX($AI$12:$BH$15,MATCH(F17,$AH$12:$AH$15,0),MATCH($AB17&amp;$Z$1,$AI$11:$BH$11&amp;$AI$9:$BH$9,0))/1000</f>
        <v>15</v>
      </c>
      <c r="AA17" s="570">
        <f t="array" ref="AA17">(Z17^INDEX(ShipData!$X$36:$X$39,MATCH($F17,ShipData!$U$36:$U$39,0)))*0.756*INDEX(ShipData!$W$36:$W$39,MATCH($F17,ShipData!$U$36:$U$39,0))</f>
        <v>5367.1081902406004</v>
      </c>
      <c r="AB17" s="570" t="s">
        <v>1190</v>
      </c>
      <c r="AC17" s="548" t="s">
        <v>1167</v>
      </c>
      <c r="AD17" s="570" t="s">
        <v>1338</v>
      </c>
      <c r="AH17" s="575"/>
      <c r="AI17" s="575"/>
    </row>
    <row r="18" spans="3:39">
      <c r="E18" s="555" t="s">
        <v>1197</v>
      </c>
      <c r="F18" s="548" t="str">
        <f>F17</f>
        <v>TFSD</v>
      </c>
      <c r="G18" s="548">
        <v>2030</v>
      </c>
      <c r="H18" s="1362" t="s">
        <v>1175</v>
      </c>
      <c r="I18" s="1363">
        <f t="array" ref="I18">INDEX($AI$12:$BH$15,MATCH(F18,$AH$12:$AH$15,0),MATCH(I$1&amp;$AB18,$AI$9:$BH$9&amp;$AI$11:$BH$11,0))</f>
        <v>9000</v>
      </c>
      <c r="J18" s="1363">
        <f t="shared" si="0"/>
        <v>9000</v>
      </c>
      <c r="K18" s="1363">
        <v>830</v>
      </c>
      <c r="L18" s="1397">
        <v>1498</v>
      </c>
      <c r="M18" s="1366">
        <f t="array" ref="M18">1/(INDEX($AI$12:$BH$15,MATCH($F18,$AH$12:$AH$15,0),MATCH(($G18&amp;M$1)&amp;$AB18,$AI$9:$BH$9&amp;$AI$11:$BH$11,0))/1.852)</f>
        <v>1.310801422750717</v>
      </c>
      <c r="N18" s="1366">
        <f t="shared" si="1"/>
        <v>1.310801422750717</v>
      </c>
      <c r="O18" s="1362">
        <v>30</v>
      </c>
      <c r="P18" s="1366"/>
      <c r="Q18" s="1363">
        <v>6844.1214240000018</v>
      </c>
      <c r="R18" s="1366">
        <f t="array" ref="R18">(AA18*(INDEX(ShipData!$P$19:$R$26,MATCH($AC18,ShipData!$N$19:$N$26,0),MATCH($AD18,ShipData!$P$18:$R$18,0))+INDEX(ShipData!$P$30:$R$37,MATCH($AC18,ShipData!$N$30:$N$37,0),MATCH($AD18,ShipData!$P$29:$R$29,0)))+K18*0.1*(1/M18)*INDEX(ShipData!$P$41:$R$48,MATCH($AC18,ShipData!$N$41:$N$48,0),MATCH($AD18,ShipData!$P$40:$R$40,0)))*6.5/1000</f>
        <v>94265.959173482435</v>
      </c>
      <c r="S18" s="1362"/>
      <c r="T18" s="1362">
        <v>1E-3</v>
      </c>
      <c r="U18" s="1368"/>
      <c r="V18" s="1362"/>
      <c r="W18" s="1362"/>
      <c r="Z18" s="1366">
        <f t="array" ref="Z18">INDEX($AI$12:$BH$15,MATCH(F18,$AH$12:$AH$15,0),MATCH($AB18&amp;$Z$1,$AI$11:$BH$11&amp;$AI$9:$BH$9,0))/1000</f>
        <v>15</v>
      </c>
      <c r="AA18" s="570">
        <f t="array" ref="AA18">(Z18^INDEX(ShipData!$X$36:$X$39,MATCH($F18,ShipData!$U$36:$U$39,0)))*0.756*INDEX(ShipData!$W$36:$W$39,MATCH($F18,ShipData!$U$36:$U$39,0))</f>
        <v>5367.1081902406004</v>
      </c>
      <c r="AB18" s="570" t="str">
        <f>AB17</f>
        <v>Large</v>
      </c>
      <c r="AC18" s="548" t="s">
        <v>1167</v>
      </c>
      <c r="AD18" s="570" t="s">
        <v>1338</v>
      </c>
      <c r="AH18" s="575"/>
      <c r="AI18" s="575"/>
    </row>
    <row r="19" spans="3:39">
      <c r="C19" s="570" t="str">
        <f>"TFS"&amp;LEFT(AB19,1)&amp;AC19&amp;RIGHT(F19,1)&amp;MID(G19,3,1)&amp;"N"</f>
        <v>TFSSFOICC2N</v>
      </c>
      <c r="E19" s="555" t="s">
        <v>1185</v>
      </c>
      <c r="F19" s="548" t="s">
        <v>1337</v>
      </c>
      <c r="G19" s="548">
        <v>2020</v>
      </c>
      <c r="H19" s="1362" t="s">
        <v>1175</v>
      </c>
      <c r="I19" s="1363">
        <f t="array" ref="I19">INDEX($AI$12:$BH$15,MATCH(F19,$AH$12:$AH$15,0),MATCH(I$1&amp;$AB19,$AI$9:$BH$9&amp;$AI$11:$BH$11,0))</f>
        <v>2450</v>
      </c>
      <c r="J19" s="1363">
        <f t="shared" si="0"/>
        <v>2450</v>
      </c>
      <c r="K19" s="1363">
        <v>0</v>
      </c>
      <c r="L19" s="1397">
        <v>0</v>
      </c>
      <c r="M19" s="1366">
        <f t="array" ref="M19">1/(INDEX($AI$12:$BH$15,MATCH($F19,$AH$12:$AH$15,0),MATCH(($G19&amp;M$1)&amp;$AB19,$AI$9:$BH$9&amp;$AI$11:$BH$11,0))/1.852)</f>
        <v>1.7403348779577166</v>
      </c>
      <c r="N19" s="1366">
        <f t="shared" si="1"/>
        <v>1.7403348779577166</v>
      </c>
      <c r="O19" s="1362">
        <v>30</v>
      </c>
      <c r="P19" s="1366"/>
      <c r="Q19" s="1366">
        <f>0.035*R19</f>
        <v>1121.1482088699522</v>
      </c>
      <c r="R19" s="1366">
        <f t="array" ref="R19">(AA19*(INDEX(ShipData!$P$19:$R$26,MATCH($AC19,ShipData!$N$19:$N$26,0),MATCH($AD19,ShipData!$P$18:$R$18,0))+INDEX(ShipData!$P$30:$R$37,MATCH($AC19,ShipData!$N$30:$N$37,0),MATCH($AD19,ShipData!$P$29:$R$29,0)))+K19*0.1*(1/M19)*INDEX(ShipData!$P$41:$R$48,MATCH($AC19,ShipData!$N$41:$N$48,0),MATCH($AD19,ShipData!$P$40:$R$40,0)))*6.5/1000</f>
        <v>32032.805967712917</v>
      </c>
      <c r="S19" s="1362"/>
      <c r="T19" s="1362">
        <v>1E-3</v>
      </c>
      <c r="U19" s="1368"/>
      <c r="V19" s="1362"/>
      <c r="W19" s="1362"/>
      <c r="Z19" s="1366">
        <f t="array" ref="Z19">INDEX($AI$12:$BH$15,MATCH(F19,$AH$12:$AH$15,0),MATCH($AB19&amp;$Z$1,$AI$11:$BH$11&amp;$AI$9:$BH$9,0))/1000</f>
        <v>3.5</v>
      </c>
      <c r="AA19" s="570">
        <f t="array" ref="AA19">(Z19^INDEX(ShipData!$X$36:$X$39,MATCH($F19,ShipData!$U$36:$U$39,0)))*0.756*INDEX(ShipData!$W$36:$W$39,MATCH($F19,ShipData!$U$36:$U$39,0))</f>
        <v>2454.0448908848457</v>
      </c>
      <c r="AB19" s="570" t="s">
        <v>1178</v>
      </c>
      <c r="AC19" s="548" t="s">
        <v>1167</v>
      </c>
      <c r="AD19" s="570" t="s">
        <v>1335</v>
      </c>
      <c r="AH19" s="575"/>
      <c r="AI19" s="575"/>
    </row>
    <row r="20" spans="3:39">
      <c r="E20" s="555" t="s">
        <v>1197</v>
      </c>
      <c r="F20" s="548" t="str">
        <f>F19</f>
        <v>TFSC</v>
      </c>
      <c r="G20" s="548">
        <v>2030</v>
      </c>
      <c r="H20" s="1362" t="s">
        <v>1175</v>
      </c>
      <c r="I20" s="1363">
        <f t="array" ref="I20">INDEX($AI$12:$BH$15,MATCH(F20,$AH$12:$AH$15,0),MATCH(I$1&amp;$AB20,$AI$9:$BH$9&amp;$AI$11:$BH$11,0))</f>
        <v>2450</v>
      </c>
      <c r="J20" s="1363">
        <f t="shared" si="0"/>
        <v>2450</v>
      </c>
      <c r="K20" s="1363">
        <v>0</v>
      </c>
      <c r="L20" s="1397">
        <v>0</v>
      </c>
      <c r="M20" s="1366">
        <f t="array" ref="M20">1/(INDEX($AI$12:$BH$15,MATCH($F20,$AH$12:$AH$15,0),MATCH(($G20&amp;M$1)&amp;$AB20,$AI$9:$BH$9&amp;$AI$11:$BH$11,0))/1.852)</f>
        <v>1.7403348779577166</v>
      </c>
      <c r="N20" s="1366">
        <f t="shared" si="1"/>
        <v>1.7403348779577166</v>
      </c>
      <c r="O20" s="1362">
        <v>30</v>
      </c>
      <c r="P20" s="1366"/>
      <c r="Q20" s="1363">
        <v>2358.2166300000004</v>
      </c>
      <c r="R20" s="1366">
        <f t="array" ref="R20">(AA20*(INDEX(ShipData!$P$19:$R$26,MATCH($AC20,ShipData!$N$19:$N$26,0),MATCH($AD20,ShipData!$P$18:$R$18,0))+INDEX(ShipData!$P$30:$R$37,MATCH($AC20,ShipData!$N$30:$N$37,0),MATCH($AD20,ShipData!$P$29:$R$29,0)))+K20*0.1*(1/M20)*INDEX(ShipData!$P$41:$R$48,MATCH($AC20,ShipData!$N$41:$N$48,0),MATCH($AD20,ShipData!$P$40:$R$40,0)))*6.5/1000</f>
        <v>32032.805967712917</v>
      </c>
      <c r="S20" s="1362"/>
      <c r="T20" s="1362">
        <v>1E-3</v>
      </c>
      <c r="U20" s="1368"/>
      <c r="V20" s="1362"/>
      <c r="W20" s="1362"/>
      <c r="Z20" s="1366">
        <f t="array" ref="Z20">INDEX($AI$12:$BH$15,MATCH(F20,$AH$12:$AH$15,0),MATCH($AB20&amp;$Z$1,$AI$11:$BH$11&amp;$AI$9:$BH$9,0))/1000</f>
        <v>3.5</v>
      </c>
      <c r="AA20" s="570">
        <f t="array" ref="AA20">(Z20^INDEX(ShipData!$X$36:$X$39,MATCH($F20,ShipData!$U$36:$U$39,0)))*0.756*INDEX(ShipData!$W$36:$W$39,MATCH($F20,ShipData!$U$36:$U$39,0))</f>
        <v>2454.0448908848457</v>
      </c>
      <c r="AB20" s="570" t="str">
        <f>AB19</f>
        <v>Small</v>
      </c>
      <c r="AC20" s="548" t="s">
        <v>1167</v>
      </c>
      <c r="AD20" s="570" t="s">
        <v>1335</v>
      </c>
      <c r="AH20" s="575"/>
      <c r="AI20" s="575"/>
    </row>
    <row r="21" spans="3:39">
      <c r="C21" s="570" t="str">
        <f>"TFS"&amp;LEFT(AB21,1)&amp;AC21&amp;RIGHT(F21,1)&amp;MID(G21,3,1)&amp;"N"</f>
        <v>TFSMFOICC2N</v>
      </c>
      <c r="E21" s="555" t="s">
        <v>1185</v>
      </c>
      <c r="F21" s="548" t="s">
        <v>1337</v>
      </c>
      <c r="G21" s="548">
        <v>2020</v>
      </c>
      <c r="H21" s="1362" t="s">
        <v>1175</v>
      </c>
      <c r="I21" s="1363">
        <f t="array" ref="I21">INDEX($AI$12:$BH$15,MATCH(F21,$AH$12:$AH$15,0),MATCH(I$1&amp;$AB21,$AI$9:$BH$9&amp;$AI$11:$BH$11,0))</f>
        <v>4900</v>
      </c>
      <c r="J21" s="1363">
        <f t="shared" si="0"/>
        <v>4900</v>
      </c>
      <c r="K21" s="1363">
        <v>362</v>
      </c>
      <c r="L21" s="1397">
        <v>653</v>
      </c>
      <c r="M21" s="1366">
        <f t="array" ref="M21">1/(INDEX($AI$12:$BH$15,MATCH($F21,$AH$12:$AH$15,0),MATCH(($G21&amp;M$1)&amp;$AB21,$AI$9:$BH$9&amp;$AI$11:$BH$11,0))/1.852)</f>
        <v>0.87906595126970144</v>
      </c>
      <c r="N21" s="1366">
        <f t="shared" si="1"/>
        <v>0.87906595126970144</v>
      </c>
      <c r="O21" s="1362">
        <v>30</v>
      </c>
      <c r="P21" s="1366"/>
      <c r="Q21" s="1366">
        <f>0.035*R21</f>
        <v>2505.5231589511036</v>
      </c>
      <c r="R21" s="1366">
        <f t="array" ref="R21">(AA21*(INDEX(ShipData!$P$19:$R$26,MATCH($AC21,ShipData!$N$19:$N$26,0),MATCH($AD21,ShipData!$P$18:$R$18,0))+INDEX(ShipData!$P$30:$R$37,MATCH($AC21,ShipData!$N$30:$N$37,0),MATCH($AD21,ShipData!$P$29:$R$29,0)))+K21*0.1*(1/M21)*INDEX(ShipData!$P$41:$R$48,MATCH($AC21,ShipData!$N$41:$N$48,0),MATCH($AD21,ShipData!$P$40:$R$40,0)))*6.5/1000</f>
        <v>71586.375970031528</v>
      </c>
      <c r="S21" s="1362"/>
      <c r="T21" s="1362">
        <v>1E-3</v>
      </c>
      <c r="U21" s="1368"/>
      <c r="V21" s="1362"/>
      <c r="W21" s="1362"/>
      <c r="Z21" s="1366">
        <f t="array" ref="Z21">INDEX($AI$12:$BH$15,MATCH(F21,$AH$12:$AH$15,0),MATCH($AB21&amp;$Z$1,$AI$11:$BH$11&amp;$AI$9:$BH$9,0))/1000</f>
        <v>7</v>
      </c>
      <c r="AA21" s="570">
        <f t="array" ref="AA21">(Z21^INDEX(ShipData!$X$36:$X$39,MATCH($F21,ShipData!$U$36:$U$39,0)))*0.756*INDEX(ShipData!$W$36:$W$39,MATCH($F21,ShipData!$U$36:$U$39,0))</f>
        <v>5483.7455856749639</v>
      </c>
      <c r="AB21" s="570" t="s">
        <v>1174</v>
      </c>
      <c r="AC21" s="548" t="s">
        <v>1167</v>
      </c>
      <c r="AD21" s="570" t="s">
        <v>1335</v>
      </c>
      <c r="AM21" s="548"/>
    </row>
    <row r="22" spans="3:39">
      <c r="E22" s="555" t="s">
        <v>1197</v>
      </c>
      <c r="F22" s="548" t="str">
        <f>F21</f>
        <v>TFSC</v>
      </c>
      <c r="G22" s="548">
        <v>2030</v>
      </c>
      <c r="H22" s="1362" t="s">
        <v>1175</v>
      </c>
      <c r="I22" s="1363">
        <f t="array" ref="I22">INDEX($AI$12:$BH$15,MATCH(F22,$AH$12:$AH$15,0),MATCH(I$1&amp;$AB22,$AI$9:$BH$9&amp;$AI$11:$BH$11,0))</f>
        <v>4900</v>
      </c>
      <c r="J22" s="1363">
        <f t="shared" si="0"/>
        <v>4900</v>
      </c>
      <c r="K22" s="1363">
        <v>362</v>
      </c>
      <c r="L22" s="1397">
        <v>653</v>
      </c>
      <c r="M22" s="1366">
        <f t="array" ref="M22">1/(INDEX($AI$12:$BH$15,MATCH($F22,$AH$12:$AH$15,0),MATCH(($G22&amp;M$1)&amp;$AB22,$AI$9:$BH$9&amp;$AI$11:$BH$11,0))/1.852)</f>
        <v>0.87906595126970144</v>
      </c>
      <c r="N22" s="1366">
        <f t="shared" si="1"/>
        <v>0.87906595126970144</v>
      </c>
      <c r="O22" s="1362">
        <v>30</v>
      </c>
      <c r="P22" s="1366"/>
      <c r="Q22" s="1363">
        <v>5268.5013150000013</v>
      </c>
      <c r="R22" s="1366">
        <f t="array" ref="R22">(AA22*(INDEX(ShipData!$P$19:$R$26,MATCH($AC22,ShipData!$N$19:$N$26,0),MATCH($AD22,ShipData!$P$18:$R$18,0))+INDEX(ShipData!$P$30:$R$37,MATCH($AC22,ShipData!$N$30:$N$37,0),MATCH($AD22,ShipData!$P$29:$R$29,0)))+K22*0.1*(1/M22)*INDEX(ShipData!$P$41:$R$48,MATCH($AC22,ShipData!$N$41:$N$48,0),MATCH($AD22,ShipData!$P$40:$R$40,0)))*6.5/1000</f>
        <v>71586.375970031528</v>
      </c>
      <c r="S22" s="1362"/>
      <c r="T22" s="1362">
        <v>1E-3</v>
      </c>
      <c r="U22" s="1368"/>
      <c r="V22" s="1362"/>
      <c r="W22" s="1362"/>
      <c r="Z22" s="1366">
        <f t="array" ref="Z22">INDEX($AI$12:$BH$15,MATCH(F22,$AH$12:$AH$15,0),MATCH($AB22&amp;$Z$1,$AI$11:$BH$11&amp;$AI$9:$BH$9,0))/1000</f>
        <v>7</v>
      </c>
      <c r="AA22" s="570">
        <f t="array" ref="AA22">(Z22^INDEX(ShipData!$X$36:$X$39,MATCH($F22,ShipData!$U$36:$U$39,0)))*0.756*INDEX(ShipData!$W$36:$W$39,MATCH($F22,ShipData!$U$36:$U$39,0))</f>
        <v>5483.7455856749639</v>
      </c>
      <c r="AB22" s="570" t="str">
        <f>AB21</f>
        <v>Medium</v>
      </c>
      <c r="AC22" s="548" t="s">
        <v>1167</v>
      </c>
      <c r="AD22" s="570" t="s">
        <v>1335</v>
      </c>
      <c r="AM22" s="548"/>
    </row>
    <row r="23" spans="3:39">
      <c r="C23" s="570" t="str">
        <f>"TFS"&amp;LEFT(AB23,1)&amp;AC23&amp;RIGHT(F23,1)&amp;MID(G23,3,1)&amp;"N"</f>
        <v>TFSLFOICC2N</v>
      </c>
      <c r="E23" s="555" t="s">
        <v>1185</v>
      </c>
      <c r="F23" s="548" t="s">
        <v>1337</v>
      </c>
      <c r="G23" s="548">
        <v>2020</v>
      </c>
      <c r="H23" s="1362" t="s">
        <v>1175</v>
      </c>
      <c r="I23" s="1363">
        <f t="array" ref="I23">INDEX($AI$12:$BH$15,MATCH(F23,$AH$12:$AH$15,0),MATCH(I$1&amp;$AB23,$AI$9:$BH$9&amp;$AI$11:$BH$11,0))</f>
        <v>11760</v>
      </c>
      <c r="J23" s="1363">
        <f t="shared" si="0"/>
        <v>11760</v>
      </c>
      <c r="K23" s="1363">
        <v>579</v>
      </c>
      <c r="L23" s="1397">
        <v>1045</v>
      </c>
      <c r="M23" s="1366">
        <f t="array" ref="M23">1/(INDEX($AI$12:$BH$15,MATCH($F23,$AH$12:$AH$15,0),MATCH(($G23&amp;M$1)&amp;$AB23,$AI$9:$BH$9&amp;$AI$11:$BH$11,0))/1.852)</f>
        <v>0.40793352062343913</v>
      </c>
      <c r="N23" s="1366">
        <f t="shared" si="1"/>
        <v>0.40793352062343913</v>
      </c>
      <c r="O23" s="1362">
        <v>30</v>
      </c>
      <c r="P23" s="1366"/>
      <c r="Q23" s="1366">
        <f>0.035*R23</f>
        <v>6917.5697415468376</v>
      </c>
      <c r="R23" s="1366">
        <f t="array" ref="R23">(AA23*(INDEX(ShipData!$P$19:$R$26,MATCH($AC23,ShipData!$N$19:$N$26,0),MATCH($AD23,ShipData!$P$18:$R$18,0))+INDEX(ShipData!$P$30:$R$37,MATCH($AC23,ShipData!$N$30:$N$37,0),MATCH($AD23,ShipData!$P$29:$R$29,0)))+K23*0.1*(1/M23)*INDEX(ShipData!$P$41:$R$48,MATCH($AC23,ShipData!$N$41:$N$48,0),MATCH($AD23,ShipData!$P$40:$R$40,0)))*6.5/1000</f>
        <v>197644.84975848105</v>
      </c>
      <c r="S23" s="1362"/>
      <c r="T23" s="1362">
        <v>1E-3</v>
      </c>
      <c r="U23" s="1368"/>
      <c r="V23" s="1362"/>
      <c r="W23" s="1362"/>
      <c r="Z23" s="1366">
        <f t="array" ref="Z23">INDEX($AI$12:$BH$15,MATCH(F23,$AH$12:$AH$15,0),MATCH($AB23&amp;$Z$1,$AI$11:$BH$11&amp;$AI$9:$BH$9,0))/1000</f>
        <v>16.8</v>
      </c>
      <c r="AA23" s="570">
        <f t="array" ref="AA23">(Z23^INDEX(ShipData!$X$36:$X$39,MATCH($F23,ShipData!$U$36:$U$39,0)))*0.756*INDEX(ShipData!$W$36:$W$39,MATCH($F23,ShipData!$U$36:$U$39,0))</f>
        <v>15139.876697863274</v>
      </c>
      <c r="AB23" s="570" t="s">
        <v>1190</v>
      </c>
      <c r="AC23" s="548" t="s">
        <v>1167</v>
      </c>
      <c r="AD23" s="570" t="s">
        <v>1335</v>
      </c>
    </row>
    <row r="24" spans="3:39">
      <c r="E24" s="555" t="s">
        <v>1197</v>
      </c>
      <c r="F24" s="548" t="str">
        <f>F23</f>
        <v>TFSC</v>
      </c>
      <c r="G24" s="548">
        <v>2030</v>
      </c>
      <c r="H24" s="1362" t="s">
        <v>1175</v>
      </c>
      <c r="I24" s="1363">
        <f t="array" ref="I24">INDEX($AI$12:$BH$15,MATCH(F24,$AH$12:$AH$15,0),MATCH(I$1&amp;$AB24,$AI$9:$BH$9&amp;$AI$11:$BH$11,0))</f>
        <v>11760</v>
      </c>
      <c r="J24" s="1363">
        <f t="shared" si="0"/>
        <v>11760</v>
      </c>
      <c r="K24" s="1363">
        <v>579</v>
      </c>
      <c r="L24" s="1397">
        <v>1045</v>
      </c>
      <c r="M24" s="1366">
        <f t="array" ref="M24">1/(INDEX($AI$12:$BH$15,MATCH($F24,$AH$12:$AH$15,0),MATCH(($G24&amp;M$1)&amp;$AB24,$AI$9:$BH$9&amp;$AI$11:$BH$11,0))/1.852)</f>
        <v>0.40793352062343913</v>
      </c>
      <c r="N24" s="1366">
        <f t="shared" si="1"/>
        <v>0.40793352062343913</v>
      </c>
      <c r="O24" s="1362">
        <v>30</v>
      </c>
      <c r="P24" s="1366"/>
      <c r="Q24" s="1363">
        <v>14546.555100000003</v>
      </c>
      <c r="R24" s="1366">
        <f t="array" ref="R24">(AA24*(INDEX(ShipData!$P$19:$R$26,MATCH($AC24,ShipData!$N$19:$N$26,0),MATCH($AD24,ShipData!$P$18:$R$18,0))+INDEX(ShipData!$P$30:$R$37,MATCH($AC24,ShipData!$N$30:$N$37,0),MATCH($AD24,ShipData!$P$29:$R$29,0)))+K24*0.1*(1/M24)*INDEX(ShipData!$P$41:$R$48,MATCH($AC24,ShipData!$N$41:$N$48,0),MATCH($AD24,ShipData!$P$40:$R$40,0)))*6.5/1000</f>
        <v>197644.84975848105</v>
      </c>
      <c r="S24" s="1362"/>
      <c r="T24" s="1362">
        <v>1E-3</v>
      </c>
      <c r="U24" s="1368"/>
      <c r="V24" s="1362"/>
      <c r="W24" s="1362"/>
      <c r="Z24" s="1366">
        <f t="array" ref="Z24">INDEX($AI$12:$BH$15,MATCH(F24,$AH$12:$AH$15,0),MATCH($AB24&amp;$Z$1,$AI$11:$BH$11&amp;$AI$9:$BH$9,0))/1000</f>
        <v>16.8</v>
      </c>
      <c r="AA24" s="570">
        <f t="array" ref="AA24">(Z24^INDEX(ShipData!$X$36:$X$39,MATCH($F24,ShipData!$U$36:$U$39,0)))*0.756*INDEX(ShipData!$W$36:$W$39,MATCH($F24,ShipData!$U$36:$U$39,0))</f>
        <v>15139.876697863274</v>
      </c>
      <c r="AB24" s="570" t="str">
        <f>AB23</f>
        <v>Large</v>
      </c>
      <c r="AC24" s="548" t="s">
        <v>1167</v>
      </c>
      <c r="AD24" s="570" t="s">
        <v>1335</v>
      </c>
    </row>
    <row r="25" spans="3:39">
      <c r="C25" s="570" t="str">
        <f>"TFS"&amp;LEFT(AB25,1)&amp;AC25&amp;RIGHT(F25,1)&amp;MID(G25,3,1)&amp;"N"</f>
        <v>TFSSFOICR2N</v>
      </c>
      <c r="E25" s="555" t="s">
        <v>1185</v>
      </c>
      <c r="F25" s="548" t="s">
        <v>1336</v>
      </c>
      <c r="G25" s="548">
        <v>2020</v>
      </c>
      <c r="H25" s="1362" t="s">
        <v>1175</v>
      </c>
      <c r="I25" s="1363">
        <f t="array" ref="I25">INDEX($AI$12:$BH$15,MATCH(F25,$AH$12:$AH$15,0),MATCH(I$1&amp;$AB25,$AI$9:$BH$9&amp;$AI$11:$BH$11,0))</f>
        <v>1002</v>
      </c>
      <c r="J25" s="1363">
        <f t="shared" si="0"/>
        <v>1002</v>
      </c>
      <c r="K25" s="1363">
        <v>38287</v>
      </c>
      <c r="L25" s="1397">
        <v>69083</v>
      </c>
      <c r="M25" s="1366">
        <f t="array" ref="M25">1/(INDEX($AI$12:$BH$15,MATCH($F25,$AH$12:$AH$15,0),MATCH(($G25&amp;M$1)&amp;$AB25,$AI$9:$BH$9&amp;$AI$11:$BH$11,0))/1.852)</f>
        <v>1.7403348779577166</v>
      </c>
      <c r="N25" s="1366">
        <f t="shared" si="1"/>
        <v>1.7403348779577166</v>
      </c>
      <c r="O25" s="1362">
        <v>30</v>
      </c>
      <c r="P25" s="1366"/>
      <c r="Q25" s="1366">
        <f>0.035*R25</f>
        <v>796.15442609164143</v>
      </c>
      <c r="R25" s="1366">
        <f t="array" ref="R25">(AA25*(INDEX(ShipData!$P$19:$R$26,MATCH($AC25,ShipData!$N$19:$N$26,0),MATCH($AD25,ShipData!$P$18:$R$18,0))+INDEX(ShipData!$P$30:$R$37,MATCH($AC25,ShipData!$N$30:$N$37,0),MATCH($AD25,ShipData!$P$29:$R$29,0)))+K25*0.1*(1/M25)*INDEX(ShipData!$P$41:$R$48,MATCH($AC25,ShipData!$N$41:$N$48,0),MATCH($AD25,ShipData!$P$40:$R$40,0)))*6.5/1000</f>
        <v>22747.269316904039</v>
      </c>
      <c r="S25" s="1362"/>
      <c r="T25" s="1362">
        <v>1E-3</v>
      </c>
      <c r="U25" s="1368"/>
      <c r="V25" s="1362"/>
      <c r="W25" s="1362"/>
      <c r="Z25" s="1366">
        <f t="array" ref="Z25">INDEX($AI$12:$BH$15,MATCH(F25,$AH$12:$AH$15,0),MATCH($AB25&amp;$Z$1,$AI$11:$BH$11&amp;$AI$9:$BH$9,0))/1000</f>
        <v>1.4314285714285715</v>
      </c>
      <c r="AA25" s="570">
        <f t="array" ref="AA25">(Z25^INDEX(ShipData!$X$36:$X$39,MATCH($F25,ShipData!$U$36:$U$39,0)))*0.756*INDEX(ShipData!$W$36:$W$39,MATCH($F25,ShipData!$U$36:$U$39,0))</f>
        <v>1715.2886160618959</v>
      </c>
      <c r="AB25" s="570" t="s">
        <v>1178</v>
      </c>
      <c r="AC25" s="548" t="s">
        <v>1167</v>
      </c>
      <c r="AD25" s="570" t="s">
        <v>1335</v>
      </c>
    </row>
    <row r="26" spans="3:39">
      <c r="E26" s="555" t="s">
        <v>1197</v>
      </c>
      <c r="F26" s="548" t="str">
        <f>F25</f>
        <v>TFSR</v>
      </c>
      <c r="G26" s="548">
        <v>2030</v>
      </c>
      <c r="H26" s="1362" t="s">
        <v>1175</v>
      </c>
      <c r="I26" s="1363">
        <f t="array" ref="I26">INDEX($AI$12:$BH$15,MATCH(F26,$AH$12:$AH$15,0),MATCH(I$1&amp;$AB26,$AI$9:$BH$9&amp;$AI$11:$BH$11,0))</f>
        <v>1002</v>
      </c>
      <c r="J26" s="1363">
        <f t="shared" si="0"/>
        <v>1002</v>
      </c>
      <c r="K26" s="1363">
        <v>38287</v>
      </c>
      <c r="L26" s="1397">
        <v>69083</v>
      </c>
      <c r="M26" s="1366">
        <f t="array" ref="M26">1/(INDEX($AI$12:$BH$15,MATCH($F26,$AH$12:$AH$15,0),MATCH(($G26&amp;M$1)&amp;$AB26,$AI$9:$BH$9&amp;$AI$11:$BH$11,0))/1.852)</f>
        <v>1.7403348779577166</v>
      </c>
      <c r="N26" s="1366">
        <f t="shared" si="1"/>
        <v>1.7403348779577166</v>
      </c>
      <c r="O26" s="1362">
        <v>30</v>
      </c>
      <c r="P26" s="1366"/>
      <c r="Q26" s="1363">
        <v>2187.8960670000006</v>
      </c>
      <c r="R26" s="1366">
        <f t="array" ref="R26">(AA26*(INDEX(ShipData!$P$19:$R$26,MATCH($AC26,ShipData!$N$19:$N$26,0),MATCH($AD26,ShipData!$P$18:$R$18,0))+INDEX(ShipData!$P$30:$R$37,MATCH($AC26,ShipData!$N$30:$N$37,0),MATCH($AD26,ShipData!$P$29:$R$29,0)))+K26*0.1*(1/M26)*INDEX(ShipData!$P$41:$R$48,MATCH($AC26,ShipData!$N$41:$N$48,0),MATCH($AD26,ShipData!$P$40:$R$40,0)))*6.5/1000</f>
        <v>22747.269316904039</v>
      </c>
      <c r="S26" s="1362"/>
      <c r="T26" s="1362">
        <v>1E-3</v>
      </c>
      <c r="U26" s="1368"/>
      <c r="V26" s="1362"/>
      <c r="W26" s="1362"/>
      <c r="Z26" s="1366">
        <f t="array" ref="Z26">INDEX($AI$12:$BH$15,MATCH(F26,$AH$12:$AH$15,0),MATCH($AB26&amp;$Z$1,$AI$11:$BH$11&amp;$AI$9:$BH$9,0))/1000</f>
        <v>1.4314285714285715</v>
      </c>
      <c r="AA26" s="570">
        <f t="array" ref="AA26">(Z26^INDEX(ShipData!$X$36:$X$39,MATCH($F26,ShipData!$U$36:$U$39,0)))*0.756*INDEX(ShipData!$W$36:$W$39,MATCH($F26,ShipData!$U$36:$U$39,0))</f>
        <v>1715.2886160618959</v>
      </c>
      <c r="AB26" s="570" t="str">
        <f>AB25</f>
        <v>Small</v>
      </c>
      <c r="AC26" s="548" t="s">
        <v>1167</v>
      </c>
      <c r="AD26" s="570" t="s">
        <v>1335</v>
      </c>
    </row>
    <row r="27" spans="3:39">
      <c r="C27" s="570" t="str">
        <f>"TFS"&amp;LEFT(AB27,1)&amp;AC27&amp;RIGHT(F27,1)&amp;MID(G27,3,1)&amp;"N"</f>
        <v>TFSMFOICR2N</v>
      </c>
      <c r="E27" s="555" t="s">
        <v>1185</v>
      </c>
      <c r="F27" s="548" t="s">
        <v>1336</v>
      </c>
      <c r="G27" s="548">
        <v>2020</v>
      </c>
      <c r="H27" s="1362" t="s">
        <v>1175</v>
      </c>
      <c r="I27" s="1363">
        <f t="array" ref="I27">INDEX($AI$12:$BH$15,MATCH(F27,$AH$12:$AH$15,0),MATCH(I$1&amp;$AB27,$AI$9:$BH$9&amp;$AI$11:$BH$11,0))</f>
        <v>3608</v>
      </c>
      <c r="J27" s="1363">
        <f t="shared" si="0"/>
        <v>3608</v>
      </c>
      <c r="K27" s="1363">
        <v>925</v>
      </c>
      <c r="L27" s="1397">
        <v>1668</v>
      </c>
      <c r="M27" s="1366">
        <f t="array" ref="M27">1/(INDEX($AI$12:$BH$15,MATCH($F27,$AH$12:$AH$15,0),MATCH(($G27&amp;M$1)&amp;$AB27,$AI$9:$BH$9&amp;$AI$11:$BH$11,0))/1.852)</f>
        <v>0.87906595126970144</v>
      </c>
      <c r="N27" s="1366">
        <f t="shared" si="1"/>
        <v>0.87906595126970144</v>
      </c>
      <c r="O27" s="1362">
        <v>30</v>
      </c>
      <c r="P27" s="1366"/>
      <c r="Q27" s="1366">
        <f>0.035*R27</f>
        <v>2498.9793660660216</v>
      </c>
      <c r="R27" s="1366">
        <f t="array" ref="R27">(AA27*(INDEX(ShipData!$P$19:$R$26,MATCH($AC27,ShipData!$N$19:$N$26,0),MATCH($AD27,ShipData!$P$18:$R$18,0))+INDEX(ShipData!$P$30:$R$37,MATCH($AC27,ShipData!$N$30:$N$37,0),MATCH($AD27,ShipData!$P$29:$R$29,0)))+K27*0.1*(1/M27)*INDEX(ShipData!$P$41:$R$48,MATCH($AC27,ShipData!$N$41:$N$48,0),MATCH($AD27,ShipData!$P$40:$R$40,0)))*6.5/1000</f>
        <v>71399.410459029183</v>
      </c>
      <c r="S27" s="1362"/>
      <c r="T27" s="1362">
        <v>1E-3</v>
      </c>
      <c r="U27" s="1368"/>
      <c r="V27" s="1362"/>
      <c r="W27" s="1362"/>
      <c r="Z27" s="1366">
        <f t="array" ref="Z27">INDEX($AI$12:$BH$15,MATCH(F27,$AH$12:$AH$15,0),MATCH($AB27&amp;$Z$1,$AI$11:$BH$11&amp;$AI$9:$BH$9,0))/1000</f>
        <v>5.1542857142857148</v>
      </c>
      <c r="AA27" s="570">
        <f t="array" ref="AA27">(Z27^INDEX(ShipData!$X$36:$X$39,MATCH($F27,ShipData!$U$36:$U$39,0)))*0.756*INDEX(ShipData!$W$36:$W$39,MATCH($F27,ShipData!$U$36:$U$39,0))</f>
        <v>5468.6247789018307</v>
      </c>
      <c r="AB27" s="570" t="s">
        <v>1174</v>
      </c>
      <c r="AC27" s="548" t="s">
        <v>1167</v>
      </c>
      <c r="AD27" s="570" t="s">
        <v>1335</v>
      </c>
    </row>
    <row r="28" spans="3:39">
      <c r="C28" s="1149"/>
      <c r="D28" s="1149"/>
      <c r="E28" s="1387" t="s">
        <v>1197</v>
      </c>
      <c r="F28" s="1386" t="str">
        <f>F27</f>
        <v>TFSR</v>
      </c>
      <c r="G28" s="1386">
        <v>2030</v>
      </c>
      <c r="H28" s="1374" t="s">
        <v>1175</v>
      </c>
      <c r="I28" s="1375">
        <f t="array" ref="I28">INDEX($AI$12:$BH$15,MATCH(F28,$AH$12:$AH$15,0),MATCH(I$1&amp;$AB28,$AI$9:$BH$9&amp;$AI$11:$BH$11,0))</f>
        <v>3608</v>
      </c>
      <c r="J28" s="1375">
        <f t="shared" si="0"/>
        <v>3608</v>
      </c>
      <c r="K28" s="1375">
        <v>925</v>
      </c>
      <c r="L28" s="1399">
        <v>1668</v>
      </c>
      <c r="M28" s="1398">
        <f t="array" ref="M28">1/(INDEX($AI$12:$BH$15,MATCH($F28,$AH$12:$AH$15,0),MATCH(($G28&amp;M$1)&amp;$AB28,$AI$9:$BH$9&amp;$AI$11:$BH$11,0))/1.852)</f>
        <v>0.87906595126970144</v>
      </c>
      <c r="N28" s="1398">
        <f t="shared" si="1"/>
        <v>0.87906595126970144</v>
      </c>
      <c r="O28" s="1374">
        <v>30</v>
      </c>
      <c r="P28" s="1398"/>
      <c r="Q28" s="1375">
        <v>6973.3533240000024</v>
      </c>
      <c r="R28" s="1398">
        <f t="array" ref="R28">(AA28*(INDEX(ShipData!$P$19:$R$26,MATCH($AC28,ShipData!$N$19:$N$26,0),MATCH($AD28,ShipData!$P$18:$R$18,0))+INDEX(ShipData!$P$30:$R$37,MATCH($AC28,ShipData!$N$30:$N$37,0),MATCH($AD28,ShipData!$P$29:$R$29,0)))+K28*0.1*(1/M28)*INDEX(ShipData!$P$41:$R$48,MATCH($AC28,ShipData!$N$41:$N$48,0),MATCH($AD28,ShipData!$P$40:$R$40,0)))*6.5/1000</f>
        <v>71399.410459029183</v>
      </c>
      <c r="S28" s="1374"/>
      <c r="T28" s="1374">
        <v>1E-3</v>
      </c>
      <c r="U28" s="1385"/>
      <c r="V28" s="1374"/>
      <c r="W28" s="1448"/>
      <c r="Z28" s="1366">
        <f t="array" ref="Z28">INDEX($AI$12:$BH$15,MATCH(F28,$AH$12:$AH$15,0),MATCH($AB28&amp;$Z$1,$AI$11:$BH$11&amp;$AI$9:$BH$9,0))/1000</f>
        <v>5.1542857142857148</v>
      </c>
      <c r="AA28" s="570">
        <f t="array" ref="AA28">(Z28^INDEX(ShipData!$X$36:$X$39,MATCH($F28,ShipData!$U$36:$U$39,0)))*0.756*INDEX(ShipData!$W$36:$W$39,MATCH($F28,ShipData!$U$36:$U$39,0))</f>
        <v>5468.6247789018307</v>
      </c>
      <c r="AB28" s="570" t="str">
        <f>AB27</f>
        <v>Medium</v>
      </c>
      <c r="AC28" s="548" t="s">
        <v>1167</v>
      </c>
      <c r="AD28" s="570" t="s">
        <v>1335</v>
      </c>
    </row>
    <row r="29" spans="3:39">
      <c r="C29" s="570" t="str">
        <f t="shared" ref="C29:C73" si="3">"TFS"&amp;LEFT(AB29,1)&amp;AC29&amp;RIGHT(F29,1)&amp;MID(G29,3,1)&amp;"N"</f>
        <v>TFSSFOICD1N</v>
      </c>
      <c r="E29" s="555" t="s">
        <v>486</v>
      </c>
      <c r="F29" s="548" t="s">
        <v>1339</v>
      </c>
      <c r="G29" s="548">
        <v>2010</v>
      </c>
      <c r="H29" s="1362" t="s">
        <v>1175</v>
      </c>
      <c r="I29" s="1363">
        <f t="array" ref="I29">INDEX($AI$12:$BH$15,MATCH(F29,$AH$12:$AH$15,0),MATCH(I$1&amp;$AB29,$AI$9:$BH$9&amp;$AI$11:$BH$11,0))</f>
        <v>1527</v>
      </c>
      <c r="J29" s="1363">
        <f t="shared" si="0"/>
        <v>1527</v>
      </c>
      <c r="K29" s="1363">
        <v>17027</v>
      </c>
      <c r="L29" s="1397">
        <v>30722</v>
      </c>
      <c r="M29" s="1366">
        <f t="array" ref="M29">1/(INDEX($AI$12:$BH$15,MATCH($F29,$AH$12:$AH$15,0),MATCH(($G29&amp;M$1)&amp;$AB29,$AI$9:$BH$9&amp;$AI$11:$BH$11,0))/1.852)</f>
        <v>2.6654676915984226</v>
      </c>
      <c r="N29" s="1366">
        <f t="shared" si="1"/>
        <v>2.6654676915984226</v>
      </c>
      <c r="O29" s="1362">
        <v>30</v>
      </c>
      <c r="P29" s="1366"/>
      <c r="Q29" s="1366">
        <f t="shared" ref="Q29:Q39" si="4">0.035*R29</f>
        <v>1185.5026845276268</v>
      </c>
      <c r="R29" s="1366">
        <f t="array" ref="R29">(AA29*(INDEX(ShipData!$P$19:$R$26,MATCH($AC29,ShipData!$N$19:$N$26,0),MATCH($AD29,ShipData!$P$18:$R$18,0))+INDEX(ShipData!$P$30:$R$37,MATCH($AC29,ShipData!$N$30:$N$37,0),MATCH($AD29,ShipData!$P$29:$R$29,0)))+K29*0.1*(1/M29)*INDEX(ShipData!$P$41:$R$48,MATCH($AC29,ShipData!$N$41:$N$48,0),MATCH($AD29,ShipData!$P$40:$R$40,0)))*6.5/1000</f>
        <v>33871.505272217903</v>
      </c>
      <c r="S29" s="1362"/>
      <c r="T29" s="1362">
        <v>1E-3</v>
      </c>
      <c r="U29" s="1368">
        <v>2012</v>
      </c>
      <c r="V29" s="1362"/>
      <c r="W29" s="1362"/>
      <c r="Z29" s="1366">
        <f t="array" ref="Z29">INDEX($AI$12:$BH$15,MATCH(F29,$AH$12:$AH$15,0),MATCH($AB29&amp;$Z$1,$AI$11:$BH$11&amp;$AI$9:$BH$9,0))/1000</f>
        <v>2.5449999999999999</v>
      </c>
      <c r="AA29" s="570">
        <f t="array" ref="AA29">(Z29^INDEX(ShipData!$X$36:$X$39,MATCH($F29,ShipData!$U$36:$U$39,0)))*0.756*INDEX(ShipData!$W$36:$W$39,MATCH($F29,ShipData!$U$36:$U$39,0))</f>
        <v>1921.6608368614334</v>
      </c>
      <c r="AB29" s="570" t="s">
        <v>1178</v>
      </c>
      <c r="AC29" s="548" t="s">
        <v>1167</v>
      </c>
      <c r="AD29" s="570" t="s">
        <v>1338</v>
      </c>
    </row>
    <row r="30" spans="3:39">
      <c r="C30" s="570" t="str">
        <f t="shared" si="3"/>
        <v>TFSMFOICD1N</v>
      </c>
      <c r="E30" s="555" t="s">
        <v>486</v>
      </c>
      <c r="F30" s="548" t="s">
        <v>1339</v>
      </c>
      <c r="G30" s="548">
        <v>2010</v>
      </c>
      <c r="H30" s="1362" t="s">
        <v>1175</v>
      </c>
      <c r="I30" s="1363">
        <f t="array" ref="I30">INDEX($AI$12:$BH$15,MATCH(F30,$AH$12:$AH$15,0),MATCH(I$1&amp;$AB30,$AI$9:$BH$9&amp;$AI$11:$BH$11,0))</f>
        <v>4174</v>
      </c>
      <c r="J30" s="1363">
        <f t="shared" si="0"/>
        <v>4174</v>
      </c>
      <c r="K30" s="1363">
        <v>3330</v>
      </c>
      <c r="L30" s="1397">
        <v>6009</v>
      </c>
      <c r="M30" s="1366">
        <f t="array" ref="M30">1/(INDEX($AI$12:$BH$15,MATCH($F30,$AH$12:$AH$15,0),MATCH(($G30&amp;M$1)&amp;$AB30,$AI$9:$BH$9&amp;$AI$11:$BH$11,0))/1.852)</f>
        <v>1.5461667073427376</v>
      </c>
      <c r="N30" s="1366">
        <f t="shared" si="1"/>
        <v>1.5461667073427376</v>
      </c>
      <c r="O30" s="1362">
        <v>30</v>
      </c>
      <c r="P30" s="1366"/>
      <c r="Q30" s="1366">
        <f t="shared" si="4"/>
        <v>2115.7352874121107</v>
      </c>
      <c r="R30" s="1366">
        <f t="array" ref="R30">(AA30*(INDEX(ShipData!$P$19:$R$26,MATCH($AC30,ShipData!$N$19:$N$26,0),MATCH($AD30,ShipData!$P$18:$R$18,0))+INDEX(ShipData!$P$30:$R$37,MATCH($AC30,ShipData!$N$30:$N$37,0),MATCH($AD30,ShipData!$P$29:$R$29,0)))+K30*0.1*(1/M30)*INDEX(ShipData!$P$41:$R$48,MATCH($AC30,ShipData!$N$41:$N$48,0),MATCH($AD30,ShipData!$P$40:$R$40,0)))*6.5/1000</f>
        <v>60449.579640346019</v>
      </c>
      <c r="S30" s="1362"/>
      <c r="T30" s="1362">
        <v>1E-3</v>
      </c>
      <c r="U30" s="1368">
        <v>2012</v>
      </c>
      <c r="V30" s="1362"/>
      <c r="W30" s="1362"/>
      <c r="Z30" s="1366">
        <f t="array" ref="Z30">INDEX($AI$12:$BH$15,MATCH(F30,$AH$12:$AH$15,0),MATCH($AB30&amp;$Z$1,$AI$11:$BH$11&amp;$AI$9:$BH$9,0))/1000</f>
        <v>6.956666666666667</v>
      </c>
      <c r="AA30" s="570">
        <f t="array" ref="AA30">(Z30^INDEX(ShipData!$X$36:$X$39,MATCH($F30,ShipData!$U$36:$U$39,0)))*0.756*INDEX(ShipData!$W$36:$W$39,MATCH($F30,ShipData!$U$36:$U$39,0))</f>
        <v>3439.8048335584949</v>
      </c>
      <c r="AB30" s="570" t="s">
        <v>1174</v>
      </c>
      <c r="AC30" s="548" t="s">
        <v>1167</v>
      </c>
      <c r="AD30" s="570" t="s">
        <v>1338</v>
      </c>
    </row>
    <row r="31" spans="3:39">
      <c r="C31" s="570" t="str">
        <f t="shared" si="3"/>
        <v>TFSLFOICD1N</v>
      </c>
      <c r="E31" s="555" t="s">
        <v>486</v>
      </c>
      <c r="F31" s="548" t="s">
        <v>1339</v>
      </c>
      <c r="G31" s="548">
        <v>2010</v>
      </c>
      <c r="H31" s="1362" t="s">
        <v>1175</v>
      </c>
      <c r="I31" s="1363">
        <f t="array" ref="I31">INDEX($AI$12:$BH$15,MATCH(F31,$AH$12:$AH$15,0),MATCH(I$1&amp;$AB31,$AI$9:$BH$9&amp;$AI$11:$BH$11,0))</f>
        <v>9000</v>
      </c>
      <c r="J31" s="1363">
        <f t="shared" si="0"/>
        <v>9000</v>
      </c>
      <c r="K31" s="1363">
        <v>830</v>
      </c>
      <c r="L31" s="1397">
        <v>1498</v>
      </c>
      <c r="M31" s="1366">
        <f t="array" ref="M31">1/(INDEX($AI$12:$BH$15,MATCH($F31,$AH$12:$AH$15,0),MATCH(($G31&amp;M$1)&amp;$AB31,$AI$9:$BH$9&amp;$AI$11:$BH$11,0))/1.852)</f>
        <v>0.93443023881003751</v>
      </c>
      <c r="N31" s="1366">
        <f t="shared" si="1"/>
        <v>0.93443023881003751</v>
      </c>
      <c r="O31" s="1362">
        <v>30</v>
      </c>
      <c r="P31" s="1366"/>
      <c r="Q31" s="1366">
        <f t="shared" si="4"/>
        <v>3299.4826368216586</v>
      </c>
      <c r="R31" s="1366">
        <f t="array" ref="R31">(AA31*(INDEX(ShipData!$P$19:$R$26,MATCH($AC31,ShipData!$N$19:$N$26,0),MATCH($AD31,ShipData!$P$18:$R$18,0))+INDEX(ShipData!$P$30:$R$37,MATCH($AC31,ShipData!$N$30:$N$37,0),MATCH($AD31,ShipData!$P$29:$R$29,0)))+K31*0.1*(1/M31)*INDEX(ShipData!$P$41:$R$48,MATCH($AC31,ShipData!$N$41:$N$48,0),MATCH($AD31,ShipData!$P$40:$R$40,0)))*6.5/1000</f>
        <v>94270.932480618809</v>
      </c>
      <c r="S31" s="1362"/>
      <c r="T31" s="1362">
        <v>1E-3</v>
      </c>
      <c r="U31" s="1368">
        <v>2012</v>
      </c>
      <c r="V31" s="1362"/>
      <c r="W31" s="1362"/>
      <c r="Z31" s="1366">
        <f t="array" ref="Z31">INDEX($AI$12:$BH$15,MATCH(F31,$AH$12:$AH$15,0),MATCH($AB31&amp;$Z$1,$AI$11:$BH$11&amp;$AI$9:$BH$9,0))/1000</f>
        <v>15</v>
      </c>
      <c r="AA31" s="570">
        <f t="array" ref="AA31">(Z31^INDEX(ShipData!$X$36:$X$39,MATCH($F31,ShipData!$U$36:$U$39,0)))*0.756*INDEX(ShipData!$W$36:$W$39,MATCH($F31,ShipData!$U$36:$U$39,0))</f>
        <v>5367.1081902406004</v>
      </c>
      <c r="AB31" s="570" t="s">
        <v>1190</v>
      </c>
      <c r="AC31" s="548" t="s">
        <v>1167</v>
      </c>
      <c r="AD31" s="570" t="s">
        <v>1338</v>
      </c>
    </row>
    <row r="32" spans="3:39">
      <c r="C32" s="570" t="str">
        <f t="shared" si="3"/>
        <v>TFSSFOICL1N</v>
      </c>
      <c r="E32" s="555" t="s">
        <v>486</v>
      </c>
      <c r="F32" s="548" t="s">
        <v>1340</v>
      </c>
      <c r="G32" s="548">
        <v>2010</v>
      </c>
      <c r="H32" s="1362" t="s">
        <v>1175</v>
      </c>
      <c r="I32" s="1363">
        <f t="array" ref="I32">INDEX($AI$12:$BH$15,MATCH(F32,$AH$12:$AH$15,0),MATCH(I$1&amp;$AB32,$AI$9:$BH$9&amp;$AI$11:$BH$11,0))</f>
        <v>810</v>
      </c>
      <c r="J32" s="1363">
        <f t="shared" si="0"/>
        <v>810</v>
      </c>
      <c r="K32" s="1363">
        <v>46488</v>
      </c>
      <c r="L32" s="1362">
        <v>83879</v>
      </c>
      <c r="M32" s="1366">
        <f t="array" ref="M32">1/(INDEX($AI$12:$BH$15,MATCH($F32,$AH$12:$AH$15,0),MATCH(($G32&amp;M$1)&amp;$AB32,$AI$9:$BH$9&amp;$AI$11:$BH$11,0))/1.852)</f>
        <v>2.3851577038350111</v>
      </c>
      <c r="N32" s="1366">
        <f t="shared" si="1"/>
        <v>2.3851577038350111</v>
      </c>
      <c r="O32" s="1362">
        <v>30</v>
      </c>
      <c r="P32" s="1366"/>
      <c r="Q32" s="1366">
        <f t="shared" si="4"/>
        <v>998.47681686538454</v>
      </c>
      <c r="R32" s="1366">
        <f t="array" ref="R32">(AA32*(INDEX(ShipData!$P$19:$R$26,MATCH($AC32,ShipData!$N$19:$N$26,0),MATCH($AD32,ShipData!$P$18:$R$18,0))+INDEX(ShipData!$P$30:$R$37,MATCH($AC32,ShipData!$N$30:$N$37,0),MATCH($AD32,ShipData!$P$29:$R$29,0)))+K32*0.1*(1/M32)*INDEX(ShipData!$P$41:$R$48,MATCH($AC32,ShipData!$N$41:$N$48,0),MATCH($AD32,ShipData!$P$40:$R$40,0)))*6.5/1000</f>
        <v>28527.909053296698</v>
      </c>
      <c r="S32" s="1362"/>
      <c r="T32" s="1362">
        <v>1E-3</v>
      </c>
      <c r="U32" s="1368">
        <v>2012</v>
      </c>
      <c r="V32" s="1362"/>
      <c r="W32" s="1362"/>
      <c r="Z32" s="1366">
        <f t="array" ref="Z32">INDEX($AI$12:$BH$15,MATCH(F32,$AH$12:$AH$15,0),MATCH($AB32&amp;$Z$1,$AI$11:$BH$11&amp;$AI$9:$BH$9,0))/1000</f>
        <v>1.5804878048780491</v>
      </c>
      <c r="AA32" s="570">
        <f t="array" ref="AA32">(Z32^INDEX(ShipData!$X$36:$X$39,MATCH($F32,ShipData!$U$36:$U$39,0)))*0.756*INDEX(ShipData!$W$36:$W$39,MATCH($F32,ShipData!$U$36:$U$39,0))</f>
        <v>1602.8300580975306</v>
      </c>
      <c r="AB32" s="570" t="s">
        <v>1178</v>
      </c>
      <c r="AC32" s="548" t="s">
        <v>1167</v>
      </c>
      <c r="AD32" s="570" t="s">
        <v>1338</v>
      </c>
    </row>
    <row r="33" spans="3:30">
      <c r="C33" s="570" t="str">
        <f t="shared" si="3"/>
        <v>TFSMFOICL1N</v>
      </c>
      <c r="E33" s="555" t="s">
        <v>486</v>
      </c>
      <c r="F33" s="548" t="s">
        <v>1340</v>
      </c>
      <c r="G33" s="548">
        <v>2010</v>
      </c>
      <c r="H33" s="1362" t="s">
        <v>1175</v>
      </c>
      <c r="I33" s="1363">
        <f t="array" ref="I33">INDEX($AI$12:$BH$15,MATCH(F33,$AH$12:$AH$15,0),MATCH(I$1&amp;$AB33,$AI$9:$BH$9&amp;$AI$11:$BH$11,0))</f>
        <v>3045.9905660377353</v>
      </c>
      <c r="J33" s="1363">
        <f t="shared" si="0"/>
        <v>3045.9905660377353</v>
      </c>
      <c r="K33" s="1363">
        <v>25616</v>
      </c>
      <c r="L33" s="1362">
        <v>46219</v>
      </c>
      <c r="M33" s="1366">
        <f t="array" ref="M33">1/(INDEX($AI$12:$BH$15,MATCH($F33,$AH$12:$AH$15,0),MATCH(($G33&amp;M$1)&amp;$AB33,$AI$9:$BH$9&amp;$AI$11:$BH$11,0))/1.852)</f>
        <v>1.4368739525950787</v>
      </c>
      <c r="N33" s="1366">
        <f t="shared" si="1"/>
        <v>1.4368739525950787</v>
      </c>
      <c r="O33" s="1362">
        <v>30</v>
      </c>
      <c r="P33" s="1366"/>
      <c r="Q33" s="1366">
        <f t="shared" si="4"/>
        <v>2083.3804913094973</v>
      </c>
      <c r="R33" s="1366">
        <f t="array" ref="R33">(AA33*(INDEX(ShipData!$P$19:$R$26,MATCH($AC33,ShipData!$N$19:$N$26,0),MATCH($AD33,ShipData!$P$18:$R$18,0))+INDEX(ShipData!$P$30:$R$37,MATCH($AC33,ShipData!$N$30:$N$37,0),MATCH($AD33,ShipData!$P$29:$R$29,0)))+K33*0.1*(1/M33)*INDEX(ShipData!$P$41:$R$48,MATCH($AC33,ShipData!$N$41:$N$48,0),MATCH($AD33,ShipData!$P$40:$R$40,0)))*6.5/1000</f>
        <v>59525.156894557054</v>
      </c>
      <c r="S33" s="1362"/>
      <c r="T33" s="1362">
        <v>1E-3</v>
      </c>
      <c r="U33" s="1368">
        <v>2012</v>
      </c>
      <c r="V33" s="1362"/>
      <c r="W33" s="1362"/>
      <c r="Z33" s="1366">
        <f t="array" ref="Z33">INDEX($AI$12:$BH$15,MATCH(F33,$AH$12:$AH$15,0),MATCH($AB33&amp;$Z$1,$AI$11:$BH$11&amp;$AI$9:$BH$9,0))/1000</f>
        <v>5.9433962264150946</v>
      </c>
      <c r="AA33" s="570">
        <f t="array" ref="AA33">(Z33^INDEX(ShipData!$X$36:$X$39,MATCH($F33,ShipData!$U$36:$U$39,0)))*0.756*INDEX(ShipData!$W$36:$W$39,MATCH($F33,ShipData!$U$36:$U$39,0))</f>
        <v>3369.7610132900404</v>
      </c>
      <c r="AB33" s="570" t="s">
        <v>1174</v>
      </c>
      <c r="AC33" s="548" t="s">
        <v>1167</v>
      </c>
      <c r="AD33" s="570" t="s">
        <v>1338</v>
      </c>
    </row>
    <row r="34" spans="3:30">
      <c r="C34" s="570" t="str">
        <f t="shared" si="3"/>
        <v>TFSLFOICL1N</v>
      </c>
      <c r="E34" s="555" t="s">
        <v>486</v>
      </c>
      <c r="F34" s="548" t="s">
        <v>1340</v>
      </c>
      <c r="G34" s="548">
        <v>2010</v>
      </c>
      <c r="H34" s="1362" t="s">
        <v>1175</v>
      </c>
      <c r="I34" s="1363">
        <f t="array" ref="I34">INDEX($AI$12:$BH$15,MATCH(F34,$AH$12:$AH$15,0),MATCH(I$1&amp;$AB34,$AI$9:$BH$9&amp;$AI$11:$BH$11,0))</f>
        <v>7427.5362318840562</v>
      </c>
      <c r="J34" s="1363">
        <f t="shared" si="0"/>
        <v>7427.5362318840562</v>
      </c>
      <c r="K34" s="1363">
        <v>3985</v>
      </c>
      <c r="L34" s="1362">
        <v>7190</v>
      </c>
      <c r="M34" s="1366">
        <f t="array" ref="M34">1/(INDEX($AI$12:$BH$15,MATCH($F34,$AH$12:$AH$15,0),MATCH(($G34&amp;M$1)&amp;$AB34,$AI$9:$BH$9&amp;$AI$11:$BH$11,0))/1.852)</f>
        <v>0.83821960153291475</v>
      </c>
      <c r="N34" s="1366">
        <f t="shared" si="1"/>
        <v>0.83821960153291475</v>
      </c>
      <c r="O34" s="1362">
        <v>30</v>
      </c>
      <c r="P34" s="1366"/>
      <c r="Q34" s="1366">
        <f t="shared" si="4"/>
        <v>3418.294160590448</v>
      </c>
      <c r="R34" s="1366">
        <f t="array" ref="R34">(AA34*(INDEX(ShipData!$P$19:$R$26,MATCH($AC34,ShipData!$N$19:$N$26,0),MATCH($AD34,ShipData!$P$18:$R$18,0))+INDEX(ShipData!$P$30:$R$37,MATCH($AC34,ShipData!$N$30:$N$37,0),MATCH($AD34,ShipData!$P$29:$R$29,0)))+K34*0.1*(1/M34)*INDEX(ShipData!$P$41:$R$48,MATCH($AC34,ShipData!$N$41:$N$48,0),MATCH($AD34,ShipData!$P$40:$R$40,0)))*6.5/1000</f>
        <v>97665.547445441363</v>
      </c>
      <c r="S34" s="1362"/>
      <c r="T34" s="1362">
        <v>1E-3</v>
      </c>
      <c r="U34" s="1368">
        <v>2012</v>
      </c>
      <c r="V34" s="1362"/>
      <c r="W34" s="1362"/>
      <c r="Z34" s="1366">
        <f t="array" ref="Z34">INDEX($AI$12:$BH$15,MATCH(F34,$AH$12:$AH$15,0),MATCH($AB34&amp;$Z$1,$AI$11:$BH$11&amp;$AI$9:$BH$9,0))/1000</f>
        <v>14.492753623188404</v>
      </c>
      <c r="AA34" s="570">
        <f t="array" ref="AA34">(Z34^INDEX(ShipData!$X$36:$X$39,MATCH($F34,ShipData!$U$36:$U$39,0)))*0.756*INDEX(ShipData!$W$36:$W$39,MATCH($F34,ShipData!$U$36:$U$39,0))</f>
        <v>5556.1159914410127</v>
      </c>
      <c r="AB34" s="570" t="s">
        <v>1190</v>
      </c>
      <c r="AC34" s="548" t="s">
        <v>1167</v>
      </c>
      <c r="AD34" s="570" t="s">
        <v>1338</v>
      </c>
    </row>
    <row r="35" spans="3:30">
      <c r="C35" s="570" t="str">
        <f t="shared" si="3"/>
        <v>TFSSFOICC1N</v>
      </c>
      <c r="E35" s="555" t="s">
        <v>486</v>
      </c>
      <c r="F35" s="548" t="s">
        <v>1337</v>
      </c>
      <c r="G35" s="548">
        <v>2010</v>
      </c>
      <c r="H35" s="1362" t="s">
        <v>1175</v>
      </c>
      <c r="I35" s="1363">
        <f t="array" ref="I35">INDEX($AI$12:$BH$15,MATCH(F35,$AH$12:$AH$15,0),MATCH(I$1&amp;$AB35,$AI$9:$BH$9&amp;$AI$11:$BH$11,0))</f>
        <v>2450</v>
      </c>
      <c r="J35" s="1363">
        <f t="shared" si="0"/>
        <v>2450</v>
      </c>
      <c r="K35" s="1363">
        <v>0</v>
      </c>
      <c r="L35" s="1397">
        <v>0</v>
      </c>
      <c r="M35" s="1366">
        <f t="array" ref="M35">1/(INDEX($AI$12:$BH$15,MATCH($F35,$AH$12:$AH$15,0),MATCH(($G35&amp;M$1)&amp;$AB35,$AI$9:$BH$9&amp;$AI$11:$BH$11,0))/1.852)</f>
        <v>1.7403348779577166</v>
      </c>
      <c r="N35" s="1366">
        <f t="shared" si="1"/>
        <v>1.7403348779577166</v>
      </c>
      <c r="O35" s="1362">
        <v>30</v>
      </c>
      <c r="P35" s="1366"/>
      <c r="Q35" s="1366">
        <f t="shared" si="4"/>
        <v>1121.1482088699522</v>
      </c>
      <c r="R35" s="1366">
        <f t="array" ref="R35">(AA35*(INDEX(ShipData!$P$19:$R$26,MATCH($AC35,ShipData!$N$19:$N$26,0),MATCH($AD35,ShipData!$P$18:$R$18,0))+INDEX(ShipData!$P$30:$R$37,MATCH($AC35,ShipData!$N$30:$N$37,0),MATCH($AD35,ShipData!$P$29:$R$29,0)))+K35*0.1*(1/M35)*INDEX(ShipData!$P$41:$R$48,MATCH($AC35,ShipData!$N$41:$N$48,0),MATCH($AD35,ShipData!$P$40:$R$40,0)))*6.5/1000</f>
        <v>32032.805967712917</v>
      </c>
      <c r="S35" s="1362"/>
      <c r="T35" s="1362">
        <v>1E-3</v>
      </c>
      <c r="U35" s="1368">
        <v>2012</v>
      </c>
      <c r="V35" s="1362"/>
      <c r="W35" s="1362"/>
      <c r="Z35" s="1366">
        <f t="array" ref="Z35">INDEX($AI$12:$BH$15,MATCH(F35,$AH$12:$AH$15,0),MATCH($AB35&amp;$Z$1,$AI$11:$BH$11&amp;$AI$9:$BH$9,0))/1000</f>
        <v>3.5</v>
      </c>
      <c r="AA35" s="570">
        <f t="array" ref="AA35">(Z35^INDEX(ShipData!$X$36:$X$39,MATCH($F35,ShipData!$U$36:$U$39,0)))*0.756*INDEX(ShipData!$W$36:$W$39,MATCH($F35,ShipData!$U$36:$U$39,0))</f>
        <v>2454.0448908848457</v>
      </c>
      <c r="AB35" s="570" t="s">
        <v>1178</v>
      </c>
      <c r="AC35" s="548" t="s">
        <v>1167</v>
      </c>
      <c r="AD35" s="570" t="s">
        <v>1335</v>
      </c>
    </row>
    <row r="36" spans="3:30">
      <c r="C36" s="570" t="str">
        <f t="shared" si="3"/>
        <v>TFSMFOICC1N</v>
      </c>
      <c r="E36" s="555" t="s">
        <v>486</v>
      </c>
      <c r="F36" s="548" t="s">
        <v>1337</v>
      </c>
      <c r="G36" s="548">
        <v>2010</v>
      </c>
      <c r="H36" s="1362" t="s">
        <v>1175</v>
      </c>
      <c r="I36" s="1363">
        <f t="array" ref="I36">INDEX($AI$12:$BH$15,MATCH(F36,$AH$12:$AH$15,0),MATCH(I$1&amp;$AB36,$AI$9:$BH$9&amp;$AI$11:$BH$11,0))</f>
        <v>4900</v>
      </c>
      <c r="J36" s="1363">
        <f t="shared" si="0"/>
        <v>4900</v>
      </c>
      <c r="K36" s="1363">
        <v>362</v>
      </c>
      <c r="L36" s="1397">
        <v>653</v>
      </c>
      <c r="M36" s="1366">
        <f t="array" ref="M36">1/(INDEX($AI$12:$BH$15,MATCH($F36,$AH$12:$AH$15,0),MATCH(($G36&amp;M$1)&amp;$AB36,$AI$9:$BH$9&amp;$AI$11:$BH$11,0))/1.852)</f>
        <v>0.87906595126970144</v>
      </c>
      <c r="N36" s="1366">
        <f t="shared" si="1"/>
        <v>0.87906595126970144</v>
      </c>
      <c r="O36" s="1362">
        <v>30</v>
      </c>
      <c r="P36" s="1366"/>
      <c r="Q36" s="1366">
        <f t="shared" si="4"/>
        <v>2505.5231589511036</v>
      </c>
      <c r="R36" s="1366">
        <f t="array" ref="R36">(AA36*(INDEX(ShipData!$P$19:$R$26,MATCH($AC36,ShipData!$N$19:$N$26,0),MATCH($AD36,ShipData!$P$18:$R$18,0))+INDEX(ShipData!$P$30:$R$37,MATCH($AC36,ShipData!$N$30:$N$37,0),MATCH($AD36,ShipData!$P$29:$R$29,0)))+K36*0.1*(1/M36)*INDEX(ShipData!$P$41:$R$48,MATCH($AC36,ShipData!$N$41:$N$48,0),MATCH($AD36,ShipData!$P$40:$R$40,0)))*6.5/1000</f>
        <v>71586.375970031528</v>
      </c>
      <c r="S36" s="1362"/>
      <c r="T36" s="1362">
        <v>1E-3</v>
      </c>
      <c r="U36" s="1368">
        <v>2012</v>
      </c>
      <c r="V36" s="1362"/>
      <c r="W36" s="1362"/>
      <c r="Z36" s="1366">
        <f t="array" ref="Z36">INDEX($AI$12:$BH$15,MATCH(F36,$AH$12:$AH$15,0),MATCH($AB36&amp;$Z$1,$AI$11:$BH$11&amp;$AI$9:$BH$9,0))/1000</f>
        <v>7</v>
      </c>
      <c r="AA36" s="570">
        <f t="array" ref="AA36">(Z36^INDEX(ShipData!$X$36:$X$39,MATCH($F36,ShipData!$U$36:$U$39,0)))*0.756*INDEX(ShipData!$W$36:$W$39,MATCH($F36,ShipData!$U$36:$U$39,0))</f>
        <v>5483.7455856749639</v>
      </c>
      <c r="AB36" s="570" t="s">
        <v>1174</v>
      </c>
      <c r="AC36" s="548" t="s">
        <v>1167</v>
      </c>
      <c r="AD36" s="570" t="s">
        <v>1335</v>
      </c>
    </row>
    <row r="37" spans="3:30">
      <c r="C37" s="570" t="str">
        <f t="shared" si="3"/>
        <v>TFSLFOICC1N</v>
      </c>
      <c r="E37" s="555" t="s">
        <v>486</v>
      </c>
      <c r="F37" s="548" t="s">
        <v>1337</v>
      </c>
      <c r="G37" s="548">
        <v>2010</v>
      </c>
      <c r="H37" s="1362" t="s">
        <v>1175</v>
      </c>
      <c r="I37" s="1363">
        <f t="array" ref="I37">INDEX($AI$12:$BH$15,MATCH(F37,$AH$12:$AH$15,0),MATCH(I$1&amp;$AB37,$AI$9:$BH$9&amp;$AI$11:$BH$11,0))</f>
        <v>11760</v>
      </c>
      <c r="J37" s="1363">
        <f t="shared" si="0"/>
        <v>11760</v>
      </c>
      <c r="K37" s="1363">
        <v>579</v>
      </c>
      <c r="L37" s="1397">
        <v>1045</v>
      </c>
      <c r="M37" s="1366">
        <f t="array" ref="M37">1/(INDEX($AI$12:$BH$15,MATCH($F37,$AH$12:$AH$15,0),MATCH(($G37&amp;M$1)&amp;$AB37,$AI$9:$BH$9&amp;$AI$11:$BH$11,0))/1.852)</f>
        <v>0.40793352062343913</v>
      </c>
      <c r="N37" s="1366">
        <f t="shared" si="1"/>
        <v>0.40793352062343913</v>
      </c>
      <c r="O37" s="1362">
        <v>30</v>
      </c>
      <c r="P37" s="1366"/>
      <c r="Q37" s="1366">
        <f t="shared" si="4"/>
        <v>6917.5697415468376</v>
      </c>
      <c r="R37" s="1366">
        <f t="array" ref="R37">(AA37*(INDEX(ShipData!$P$19:$R$26,MATCH($AC37,ShipData!$N$19:$N$26,0),MATCH($AD37,ShipData!$P$18:$R$18,0))+INDEX(ShipData!$P$30:$R$37,MATCH($AC37,ShipData!$N$30:$N$37,0),MATCH($AD37,ShipData!$P$29:$R$29,0)))+K37*0.1*(1/M37)*INDEX(ShipData!$P$41:$R$48,MATCH($AC37,ShipData!$N$41:$N$48,0),MATCH($AD37,ShipData!$P$40:$R$40,0)))*6.5/1000</f>
        <v>197644.84975848105</v>
      </c>
      <c r="S37" s="1362"/>
      <c r="T37" s="1362">
        <v>1E-3</v>
      </c>
      <c r="U37" s="1368">
        <v>2012</v>
      </c>
      <c r="V37" s="1362"/>
      <c r="W37" s="1362"/>
      <c r="Z37" s="1366">
        <f t="array" ref="Z37">INDEX($AI$12:$BH$15,MATCH(F37,$AH$12:$AH$15,0),MATCH($AB37&amp;$Z$1,$AI$11:$BH$11&amp;$AI$9:$BH$9,0))/1000</f>
        <v>16.8</v>
      </c>
      <c r="AA37" s="570">
        <f t="array" ref="AA37">(Z37^INDEX(ShipData!$X$36:$X$39,MATCH($F37,ShipData!$U$36:$U$39,0)))*0.756*INDEX(ShipData!$W$36:$W$39,MATCH($F37,ShipData!$U$36:$U$39,0))</f>
        <v>15139.876697863274</v>
      </c>
      <c r="AB37" s="570" t="s">
        <v>1190</v>
      </c>
      <c r="AC37" s="548" t="s">
        <v>1167</v>
      </c>
      <c r="AD37" s="570" t="s">
        <v>1335</v>
      </c>
    </row>
    <row r="38" spans="3:30">
      <c r="C38" s="570" t="str">
        <f t="shared" si="3"/>
        <v>TFSLFOICR1N</v>
      </c>
      <c r="E38" s="555" t="s">
        <v>486</v>
      </c>
      <c r="F38" s="548" t="s">
        <v>1336</v>
      </c>
      <c r="G38" s="548">
        <v>2010</v>
      </c>
      <c r="H38" s="1362" t="s">
        <v>1175</v>
      </c>
      <c r="I38" s="1363">
        <f t="array" ref="I38">INDEX($AI$12:$BH$15,MATCH(F38,$AH$12:$AH$15,0),MATCH(I$1&amp;$AB38,$AI$9:$BH$9&amp;$AI$11:$BH$11,0))</f>
        <v>11760</v>
      </c>
      <c r="J38" s="1363">
        <f t="shared" si="0"/>
        <v>11760</v>
      </c>
      <c r="K38" s="1363">
        <v>38287</v>
      </c>
      <c r="L38" s="1397">
        <v>69083</v>
      </c>
      <c r="M38" s="1366">
        <f t="array" ref="M38">1/(INDEX($AI$12:$BH$15,MATCH($F38,$AH$12:$AH$15,0),MATCH(($G38&amp;M$1)&amp;$AB38,$AI$9:$BH$9&amp;$AI$11:$BH$11,0))/1.852)</f>
        <v>0.40793352062343913</v>
      </c>
      <c r="N38" s="1366">
        <f t="shared" si="1"/>
        <v>0.40793352062343913</v>
      </c>
      <c r="O38" s="1362">
        <v>30</v>
      </c>
      <c r="P38" s="1366"/>
      <c r="Q38" s="1366">
        <f t="shared" si="4"/>
        <v>7332.0344703435194</v>
      </c>
      <c r="R38" s="1366">
        <f t="array" ref="R38">(AA38*(INDEX(ShipData!$P$19:$R$26,MATCH($AC38,ShipData!$N$19:$N$26,0),MATCH($AD38,ShipData!$P$18:$R$18,0))+INDEX(ShipData!$P$30:$R$37,MATCH($AC38,ShipData!$N$30:$N$37,0),MATCH($AD38,ShipData!$P$29:$R$29,0)))+K38*0.1*(1/M38)*INDEX(ShipData!$P$41:$R$48,MATCH($AC38,ShipData!$N$41:$N$48,0),MATCH($AD38,ShipData!$P$40:$R$40,0)))*6.5/1000</f>
        <v>209486.69915267196</v>
      </c>
      <c r="S38" s="1362"/>
      <c r="T38" s="1362">
        <v>1E-3</v>
      </c>
      <c r="U38" s="1368">
        <v>2012</v>
      </c>
      <c r="V38" s="1362"/>
      <c r="W38" s="1362"/>
      <c r="Z38" s="1366">
        <f t="array" ref="Z38">INDEX($AI$12:$BH$15,MATCH(F38,$AH$12:$AH$15,0),MATCH($AB38&amp;$Z$1,$AI$11:$BH$11&amp;$AI$9:$BH$9,0))/1000</f>
        <v>16.8</v>
      </c>
      <c r="AA38" s="570">
        <f t="array" ref="AA38">(Z38^INDEX(ShipData!$X$36:$X$39,MATCH($F38,ShipData!$U$36:$U$39,0)))*0.756*INDEX(ShipData!$W$36:$W$39,MATCH($F38,ShipData!$U$36:$U$39,0))</f>
        <v>15932.009016151462</v>
      </c>
      <c r="AB38" s="570" t="s">
        <v>1190</v>
      </c>
      <c r="AC38" s="548" t="s">
        <v>1167</v>
      </c>
      <c r="AD38" s="570" t="s">
        <v>1335</v>
      </c>
    </row>
    <row r="39" spans="3:30">
      <c r="C39" s="1149" t="str">
        <f t="shared" si="3"/>
        <v>TFSLFOICR1N</v>
      </c>
      <c r="D39" s="1149"/>
      <c r="E39" s="1387" t="s">
        <v>486</v>
      </c>
      <c r="F39" s="1386" t="s">
        <v>1336</v>
      </c>
      <c r="G39" s="1386">
        <v>2010</v>
      </c>
      <c r="H39" s="1374" t="s">
        <v>1175</v>
      </c>
      <c r="I39" s="1375">
        <f t="array" ref="I39">INDEX($AI$12:$BH$15,MATCH(F39,$AH$12:$AH$15,0),MATCH(I$1&amp;$AB39,$AI$9:$BH$9&amp;$AI$11:$BH$11,0))</f>
        <v>11760</v>
      </c>
      <c r="J39" s="1375">
        <f t="shared" ref="J39:J70" si="5">I39</f>
        <v>11760</v>
      </c>
      <c r="K39" s="1375">
        <v>925</v>
      </c>
      <c r="L39" s="1399">
        <v>1668</v>
      </c>
      <c r="M39" s="1398">
        <f t="array" ref="M39">1/(INDEX($AI$12:$BH$15,MATCH($F39,$AH$12:$AH$15,0),MATCH(($G39&amp;M$1)&amp;$AB39,$AI$9:$BH$9&amp;$AI$11:$BH$11,0))/1.852)</f>
        <v>0.40793352062343913</v>
      </c>
      <c r="N39" s="1398">
        <f t="shared" ref="N39:N70" si="6">M39</f>
        <v>0.40793352062343913</v>
      </c>
      <c r="O39" s="1374">
        <v>30</v>
      </c>
      <c r="P39" s="1398"/>
      <c r="Q39" s="1398">
        <f t="shared" si="4"/>
        <v>7279.9435378123444</v>
      </c>
      <c r="R39" s="1398">
        <f t="array" ref="R39">(AA39*(INDEX(ShipData!$P$19:$R$26,MATCH($AC39,ShipData!$N$19:$N$26,0),MATCH($AD39,ShipData!$P$18:$R$18,0))+INDEX(ShipData!$P$30:$R$37,MATCH($AC39,ShipData!$N$30:$N$37,0),MATCH($AD39,ShipData!$P$29:$R$29,0)))+K39*0.1*(1/M39)*INDEX(ShipData!$P$41:$R$48,MATCH($AC39,ShipData!$N$41:$N$48,0),MATCH($AD39,ShipData!$P$40:$R$40,0)))*6.5/1000</f>
        <v>207998.38679463838</v>
      </c>
      <c r="S39" s="1374"/>
      <c r="T39" s="1374">
        <v>1E-3</v>
      </c>
      <c r="U39" s="1385">
        <v>2012</v>
      </c>
      <c r="V39" s="1374"/>
      <c r="W39" s="1448"/>
      <c r="Z39" s="1366">
        <f t="array" ref="Z39">INDEX($AI$12:$BH$15,MATCH(F39,$AH$12:$AH$15,0),MATCH($AB39&amp;$Z$1,$AI$11:$BH$11&amp;$AI$9:$BH$9,0))/1000</f>
        <v>16.8</v>
      </c>
      <c r="AA39" s="570">
        <f t="array" ref="AA39">(Z39^INDEX(ShipData!$X$36:$X$39,MATCH($F39,ShipData!$U$36:$U$39,0)))*0.756*INDEX(ShipData!$W$36:$W$39,MATCH($F39,ShipData!$U$36:$U$39,0))</f>
        <v>15932.009016151462</v>
      </c>
      <c r="AB39" s="570" t="str">
        <f>AB38</f>
        <v>Large</v>
      </c>
      <c r="AC39" s="548" t="s">
        <v>1167</v>
      </c>
      <c r="AD39" s="570" t="s">
        <v>1335</v>
      </c>
    </row>
    <row r="40" spans="3:30">
      <c r="C40" s="570" t="str">
        <f t="shared" si="3"/>
        <v>TFSSMOICL2N</v>
      </c>
      <c r="E40" s="555" t="s">
        <v>1183</v>
      </c>
      <c r="F40" s="548" t="s">
        <v>1340</v>
      </c>
      <c r="G40" s="548">
        <v>2020</v>
      </c>
      <c r="H40" s="1362" t="s">
        <v>1175</v>
      </c>
      <c r="I40" s="1363">
        <f t="array" ref="I40">INDEX($AI$12:$BH$15,MATCH(F40,$AH$12:$AH$15,0),MATCH(I$1&amp;$AB40,$AI$9:$BH$9&amp;$AI$11:$BH$11,0))</f>
        <v>810</v>
      </c>
      <c r="J40" s="1363">
        <f t="shared" si="5"/>
        <v>810</v>
      </c>
      <c r="K40" s="1363">
        <v>46488</v>
      </c>
      <c r="L40" s="1362">
        <v>83879</v>
      </c>
      <c r="M40" s="1366">
        <f t="array" ref="M40">1/(INDEX($AI$12:$BH$15,MATCH($F40,$AH$12:$AH$15,0),MATCH(($G40&amp;M$1)&amp;$AB40,$AI$9:$BH$9&amp;$AI$11:$BH$11,0))/1.852)</f>
        <v>2.3752039567310899</v>
      </c>
      <c r="N40" s="1366">
        <f t="shared" si="6"/>
        <v>2.3752039567310899</v>
      </c>
      <c r="O40" s="1362">
        <v>30</v>
      </c>
      <c r="P40" s="1366"/>
      <c r="Q40" s="1366">
        <f t="array" ref="Q40">0.035*R40</f>
        <v>1019.7302751242955</v>
      </c>
      <c r="R40" s="1366">
        <f t="array" ref="R40">(AA40*(INDEX(ShipData!$P$19:$R$26,MATCH($AC40,ShipData!$N$19:$N$26,0),MATCH($AD40,ShipData!$P$18:$R$18,0))+INDEX(ShipData!$P$30:$R$37,MATCH($AC40,ShipData!$N$30:$N$37,0),MATCH($AD40,ShipData!$P$29:$R$29,0)))+K40*0.1*(1/M40)*INDEX(ShipData!$P$41:$R$48,MATCH($AC40,ShipData!$N$41:$N$48,0),MATCH($AD40,ShipData!$P$40:$R$40,0)))*6.5/1000</f>
        <v>29135.150717837012</v>
      </c>
      <c r="S40" s="1362"/>
      <c r="T40" s="1362">
        <v>1E-3</v>
      </c>
      <c r="U40" s="1368"/>
      <c r="V40" s="1362"/>
      <c r="W40" s="1362"/>
      <c r="Z40" s="1366">
        <f t="array" ref="Z40">INDEX($AI$12:$BH$15,MATCH(F40,$AH$12:$AH$15,0),MATCH($AB40&amp;$Z$1,$AI$11:$BH$11&amp;$AI$9:$BH$9,0))/1000</f>
        <v>1.5804878048780491</v>
      </c>
      <c r="AA40" s="570">
        <f t="array" ref="AA40">(Z40^INDEX(ShipData!$X$36:$X$39,MATCH($F40,ShipData!$U$36:$U$39,0)))*0.756*INDEX(ShipData!$W$36:$W$39,MATCH($F40,ShipData!$U$36:$U$39,0))</f>
        <v>1602.8300580975306</v>
      </c>
      <c r="AB40" s="570" t="s">
        <v>1178</v>
      </c>
      <c r="AC40" s="548" t="s">
        <v>1187</v>
      </c>
      <c r="AD40" s="570" t="s">
        <v>1338</v>
      </c>
    </row>
    <row r="41" spans="3:30">
      <c r="C41" s="570" t="str">
        <f t="shared" si="3"/>
        <v>TFSMMOICL2N</v>
      </c>
      <c r="E41" s="555" t="s">
        <v>1183</v>
      </c>
      <c r="F41" s="548" t="s">
        <v>1340</v>
      </c>
      <c r="G41" s="548">
        <v>2020</v>
      </c>
      <c r="H41" s="1362" t="s">
        <v>1175</v>
      </c>
      <c r="I41" s="1363">
        <f t="array" ref="I41">INDEX($AI$12:$BH$15,MATCH(F41,$AH$12:$AH$15,0),MATCH(I$1&amp;$AB41,$AI$9:$BH$9&amp;$AI$11:$BH$11,0))</f>
        <v>3045.9905660377353</v>
      </c>
      <c r="J41" s="1363">
        <f t="shared" si="5"/>
        <v>3045.9905660377353</v>
      </c>
      <c r="K41" s="1363">
        <v>25616</v>
      </c>
      <c r="L41" s="1362">
        <v>46219</v>
      </c>
      <c r="M41" s="1366">
        <f t="array" ref="M41">1/(INDEX($AI$12:$BH$15,MATCH($F41,$AH$12:$AH$15,0),MATCH(($G41&amp;M$1)&amp;$AB41,$AI$9:$BH$9&amp;$AI$11:$BH$11,0))/1.852)</f>
        <v>1.4081877865043426</v>
      </c>
      <c r="N41" s="1366">
        <f t="shared" si="6"/>
        <v>1.4081877865043426</v>
      </c>
      <c r="O41" s="1362">
        <v>30</v>
      </c>
      <c r="P41" s="1366"/>
      <c r="Q41" s="1366">
        <f t="shared" ref="Q41:Q73" si="7">0.035*R41</f>
        <v>2117.7483713601755</v>
      </c>
      <c r="R41" s="1366">
        <f t="array" ref="R41">(AA41*(INDEX(ShipData!$P$19:$R$26,MATCH($AC41,ShipData!$N$19:$N$26,0),MATCH($AD41,ShipData!$P$18:$R$18,0))+INDEX(ShipData!$P$30:$R$37,MATCH($AC41,ShipData!$N$30:$N$37,0),MATCH($AD41,ShipData!$P$29:$R$29,0)))+K41*0.1*(1/M41)*INDEX(ShipData!$P$41:$R$48,MATCH($AC41,ShipData!$N$41:$N$48,0),MATCH($AD41,ShipData!$P$40:$R$40,0)))*6.5/1000</f>
        <v>60507.096324576436</v>
      </c>
      <c r="S41" s="1362"/>
      <c r="T41" s="1362">
        <v>1E-3</v>
      </c>
      <c r="U41" s="1368"/>
      <c r="V41" s="1362"/>
      <c r="W41" s="1362"/>
      <c r="Z41" s="1366">
        <f t="array" ref="Z41">INDEX($AI$12:$BH$15,MATCH(F41,$AH$12:$AH$15,0),MATCH($AB41&amp;$Z$1,$AI$11:$BH$11&amp;$AI$9:$BH$9,0))/1000</f>
        <v>5.9433962264150946</v>
      </c>
      <c r="AA41" s="570">
        <f t="array" ref="AA41">(Z41^INDEX(ShipData!$X$36:$X$39,MATCH($F41,ShipData!$U$36:$U$39,0)))*0.756*INDEX(ShipData!$W$36:$W$39,MATCH($F41,ShipData!$U$36:$U$39,0))</f>
        <v>3369.7610132900404</v>
      </c>
      <c r="AB41" s="570" t="s">
        <v>1174</v>
      </c>
      <c r="AC41" s="548" t="s">
        <v>1187</v>
      </c>
      <c r="AD41" s="570" t="s">
        <v>1338</v>
      </c>
    </row>
    <row r="42" spans="3:30">
      <c r="C42" s="570" t="str">
        <f t="shared" si="3"/>
        <v>TFSLMOICL2N</v>
      </c>
      <c r="E42" s="555" t="s">
        <v>1183</v>
      </c>
      <c r="F42" s="548" t="s">
        <v>1340</v>
      </c>
      <c r="G42" s="548">
        <v>2020</v>
      </c>
      <c r="H42" s="1362" t="s">
        <v>1175</v>
      </c>
      <c r="I42" s="1363">
        <f t="array" ref="I42">INDEX($AI$12:$BH$15,MATCH(F42,$AH$12:$AH$15,0),MATCH(I$1&amp;$AB42,$AI$9:$BH$9&amp;$AI$11:$BH$11,0))</f>
        <v>7427.5362318840562</v>
      </c>
      <c r="J42" s="1363">
        <f t="shared" si="5"/>
        <v>7427.5362318840562</v>
      </c>
      <c r="K42" s="1363">
        <v>3985</v>
      </c>
      <c r="L42" s="1362">
        <v>7190</v>
      </c>
      <c r="M42" s="1366">
        <f t="array" ref="M42">1/(INDEX($AI$12:$BH$15,MATCH($F42,$AH$12:$AH$15,0),MATCH(($G42&amp;M$1)&amp;$AB42,$AI$9:$BH$9&amp;$AI$11:$BH$11,0))/1.852)</f>
        <v>0.84765820280384263</v>
      </c>
      <c r="N42" s="1366">
        <f t="shared" si="6"/>
        <v>0.84765820280384263</v>
      </c>
      <c r="O42" s="1362">
        <v>30</v>
      </c>
      <c r="P42" s="1366"/>
      <c r="Q42" s="1366">
        <f t="shared" si="7"/>
        <v>3463.0077964991838</v>
      </c>
      <c r="R42" s="1366">
        <f t="array" ref="R42">(AA42*(INDEX(ShipData!$P$19:$R$26,MATCH($AC42,ShipData!$N$19:$N$26,0),MATCH($AD42,ShipData!$P$18:$R$18,0))+INDEX(ShipData!$P$30:$R$37,MATCH($AC42,ShipData!$N$30:$N$37,0),MATCH($AD42,ShipData!$P$29:$R$29,0)))+K42*0.1*(1/M42)*INDEX(ShipData!$P$41:$R$48,MATCH($AC42,ShipData!$N$41:$N$48,0),MATCH($AD42,ShipData!$P$40:$R$40,0)))*6.5/1000</f>
        <v>98943.07989997667</v>
      </c>
      <c r="S42" s="1362"/>
      <c r="T42" s="1362">
        <v>1E-3</v>
      </c>
      <c r="U42" s="1368"/>
      <c r="V42" s="1362"/>
      <c r="W42" s="1362"/>
      <c r="Z42" s="1366">
        <f t="array" ref="Z42">INDEX($AI$12:$BH$15,MATCH(F42,$AH$12:$AH$15,0),MATCH($AB42&amp;$Z$1,$AI$11:$BH$11&amp;$AI$9:$BH$9,0))/1000</f>
        <v>14.492753623188404</v>
      </c>
      <c r="AA42" s="570">
        <f t="array" ref="AA42">(Z42^INDEX(ShipData!$X$36:$X$39,MATCH($F42,ShipData!$U$36:$U$39,0)))*0.756*INDEX(ShipData!$W$36:$W$39,MATCH($F42,ShipData!$U$36:$U$39,0))</f>
        <v>5556.1159914410127</v>
      </c>
      <c r="AB42" s="570" t="s">
        <v>1190</v>
      </c>
      <c r="AC42" s="548" t="s">
        <v>1187</v>
      </c>
      <c r="AD42" s="570" t="s">
        <v>1338</v>
      </c>
    </row>
    <row r="43" spans="3:30">
      <c r="C43" s="570" t="str">
        <f t="shared" si="3"/>
        <v>TFSSMOICD2N</v>
      </c>
      <c r="E43" s="555" t="s">
        <v>1183</v>
      </c>
      <c r="F43" s="548" t="s">
        <v>1339</v>
      </c>
      <c r="G43" s="548">
        <v>2020</v>
      </c>
      <c r="H43" s="1362" t="s">
        <v>1175</v>
      </c>
      <c r="I43" s="1363">
        <f t="array" ref="I43">INDEX($AI$12:$BH$15,MATCH(F43,$AH$12:$AH$15,0),MATCH(I$1&amp;$AB43,$AI$9:$BH$9&amp;$AI$11:$BH$11,0))</f>
        <v>1527</v>
      </c>
      <c r="J43" s="1363">
        <f t="shared" si="5"/>
        <v>1527</v>
      </c>
      <c r="K43" s="1363">
        <v>17027</v>
      </c>
      <c r="L43" s="1397">
        <v>30722</v>
      </c>
      <c r="M43" s="1366">
        <f t="array" ref="M43">1/(INDEX($AI$12:$BH$15,MATCH($F43,$AH$12:$AH$15,0),MATCH(($G43&amp;M$1)&amp;$AB43,$AI$9:$BH$9&amp;$AI$11:$BH$11,0))/1.852)</f>
        <v>3.4190010788978875</v>
      </c>
      <c r="N43" s="1366">
        <f t="shared" si="6"/>
        <v>3.4190010788978875</v>
      </c>
      <c r="O43" s="1362">
        <v>30</v>
      </c>
      <c r="P43" s="1366"/>
      <c r="Q43" s="1366">
        <f t="shared" si="7"/>
        <v>1201.5452694862249</v>
      </c>
      <c r="R43" s="1366">
        <f t="array" ref="R43">(AA43*(INDEX(ShipData!$P$19:$R$26,MATCH($AC43,ShipData!$N$19:$N$26,0),MATCH($AD43,ShipData!$P$18:$R$18,0))+INDEX(ShipData!$P$30:$R$37,MATCH($AC43,ShipData!$N$30:$N$37,0),MATCH($AD43,ShipData!$P$29:$R$29,0)))+K43*0.1*(1/M43)*INDEX(ShipData!$P$41:$R$48,MATCH($AC43,ShipData!$N$41:$N$48,0),MATCH($AD43,ShipData!$P$40:$R$40,0)))*6.5/1000</f>
        <v>34329.864842463568</v>
      </c>
      <c r="S43" s="1362"/>
      <c r="T43" s="1362">
        <v>1E-3</v>
      </c>
      <c r="U43" s="1368"/>
      <c r="V43" s="1362"/>
      <c r="W43" s="1362"/>
      <c r="Z43" s="1366">
        <f t="array" ref="Z43">INDEX($AI$12:$BH$15,MATCH(F43,$AH$12:$AH$15,0),MATCH($AB43&amp;$Z$1,$AI$11:$BH$11&amp;$AI$9:$BH$9,0))/1000</f>
        <v>2.5449999999999999</v>
      </c>
      <c r="AA43" s="570">
        <f t="array" ref="AA43">(Z43^INDEX(ShipData!$X$36:$X$39,MATCH($F43,ShipData!$U$36:$U$39,0)))*0.756*INDEX(ShipData!$W$36:$W$39,MATCH($F43,ShipData!$U$36:$U$39,0))</f>
        <v>1921.6608368614334</v>
      </c>
      <c r="AB43" s="570" t="s">
        <v>1178</v>
      </c>
      <c r="AC43" s="548" t="s">
        <v>1187</v>
      </c>
      <c r="AD43" s="570" t="s">
        <v>1338</v>
      </c>
    </row>
    <row r="44" spans="3:30">
      <c r="C44" s="570" t="str">
        <f t="shared" si="3"/>
        <v>TFSMMOICD2N</v>
      </c>
      <c r="E44" s="555" t="s">
        <v>1183</v>
      </c>
      <c r="F44" s="548" t="s">
        <v>1339</v>
      </c>
      <c r="G44" s="548">
        <v>2020</v>
      </c>
      <c r="H44" s="1362" t="s">
        <v>1175</v>
      </c>
      <c r="I44" s="1363">
        <f t="array" ref="I44">INDEX($AI$12:$BH$15,MATCH(F44,$AH$12:$AH$15,0),MATCH(I$1&amp;$AB44,$AI$9:$BH$9&amp;$AI$11:$BH$11,0))</f>
        <v>4174</v>
      </c>
      <c r="J44" s="1363">
        <f t="shared" si="5"/>
        <v>4174</v>
      </c>
      <c r="K44" s="1363">
        <v>3330</v>
      </c>
      <c r="L44" s="1397">
        <v>6009</v>
      </c>
      <c r="M44" s="1366">
        <f t="array" ref="M44">1/(INDEX($AI$12:$BH$15,MATCH($F44,$AH$12:$AH$15,0),MATCH(($G44&amp;M$1)&amp;$AB44,$AI$9:$BH$9&amp;$AI$11:$BH$11,0))/1.852)</f>
        <v>1.9439057414379413</v>
      </c>
      <c r="N44" s="1366">
        <f t="shared" si="6"/>
        <v>1.9439057414379413</v>
      </c>
      <c r="O44" s="1362">
        <v>30</v>
      </c>
      <c r="P44" s="1366"/>
      <c r="Q44" s="1366">
        <f t="shared" si="7"/>
        <v>2142.5943706514181</v>
      </c>
      <c r="R44" s="1366">
        <f t="array" ref="R44">(AA44*(INDEX(ShipData!$P$19:$R$26,MATCH($AC44,ShipData!$N$19:$N$26,0),MATCH($AD44,ShipData!$P$18:$R$18,0))+INDEX(ShipData!$P$30:$R$37,MATCH($AC44,ShipData!$N$30:$N$37,0),MATCH($AD44,ShipData!$P$29:$R$29,0)))+K44*0.1*(1/M44)*INDEX(ShipData!$P$41:$R$48,MATCH($AC44,ShipData!$N$41:$N$48,0),MATCH($AD44,ShipData!$P$40:$R$40,0)))*6.5/1000</f>
        <v>61216.98201861194</v>
      </c>
      <c r="S44" s="1362"/>
      <c r="T44" s="1362">
        <v>1E-3</v>
      </c>
      <c r="U44" s="1368"/>
      <c r="V44" s="1362"/>
      <c r="W44" s="1362"/>
      <c r="Z44" s="1366">
        <f t="array" ref="Z44">INDEX($AI$12:$BH$15,MATCH(F44,$AH$12:$AH$15,0),MATCH($AB44&amp;$Z$1,$AI$11:$BH$11&amp;$AI$9:$BH$9,0))/1000</f>
        <v>6.956666666666667</v>
      </c>
      <c r="AA44" s="570">
        <f t="array" ref="AA44">(Z44^INDEX(ShipData!$X$36:$X$39,MATCH($F44,ShipData!$U$36:$U$39,0)))*0.756*INDEX(ShipData!$W$36:$W$39,MATCH($F44,ShipData!$U$36:$U$39,0))</f>
        <v>3439.8048335584949</v>
      </c>
      <c r="AB44" s="570" t="s">
        <v>1174</v>
      </c>
      <c r="AC44" s="548" t="s">
        <v>1187</v>
      </c>
      <c r="AD44" s="570" t="s">
        <v>1338</v>
      </c>
    </row>
    <row r="45" spans="3:30">
      <c r="C45" s="570" t="str">
        <f t="shared" si="3"/>
        <v>TFSLMOICD2N</v>
      </c>
      <c r="E45" s="555" t="s">
        <v>1183</v>
      </c>
      <c r="F45" s="548" t="s">
        <v>1339</v>
      </c>
      <c r="G45" s="548">
        <v>2020</v>
      </c>
      <c r="H45" s="1362" t="s">
        <v>1175</v>
      </c>
      <c r="I45" s="1363">
        <f t="array" ref="I45">INDEX($AI$12:$BH$15,MATCH(F45,$AH$12:$AH$15,0),MATCH(I$1&amp;$AB45,$AI$9:$BH$9&amp;$AI$11:$BH$11,0))</f>
        <v>9000</v>
      </c>
      <c r="J45" s="1363">
        <f t="shared" si="5"/>
        <v>9000</v>
      </c>
      <c r="K45" s="1363">
        <v>830</v>
      </c>
      <c r="L45" s="1397">
        <v>1498</v>
      </c>
      <c r="M45" s="1366">
        <f t="array" ref="M45">1/(INDEX($AI$12:$BH$15,MATCH($F45,$AH$12:$AH$15,0),MATCH(($G45&amp;M$1)&amp;$AB45,$AI$9:$BH$9&amp;$AI$11:$BH$11,0))/1.852)</f>
        <v>1.1737776538064364</v>
      </c>
      <c r="N45" s="1366">
        <f t="shared" si="6"/>
        <v>1.1737776538064364</v>
      </c>
      <c r="O45" s="1362">
        <v>30</v>
      </c>
      <c r="P45" s="1366"/>
      <c r="Q45" s="1366">
        <f t="shared" si="7"/>
        <v>3340.84195373072</v>
      </c>
      <c r="R45" s="1366">
        <f t="array" ref="R45">(AA45*(INDEX(ShipData!$P$19:$R$26,MATCH($AC45,ShipData!$N$19:$N$26,0),MATCH($AD45,ShipData!$P$18:$R$18,0))+INDEX(ShipData!$P$30:$R$37,MATCH($AC45,ShipData!$N$30:$N$37,0),MATCH($AD45,ShipData!$P$29:$R$29,0)))+K45*0.1*(1/M45)*INDEX(ShipData!$P$41:$R$48,MATCH($AC45,ShipData!$N$41:$N$48,0),MATCH($AD45,ShipData!$P$40:$R$40,0)))*6.5/1000</f>
        <v>95452.627249449128</v>
      </c>
      <c r="S45" s="1362"/>
      <c r="T45" s="1362">
        <v>1E-3</v>
      </c>
      <c r="U45" s="1368"/>
      <c r="V45" s="1362"/>
      <c r="W45" s="1362"/>
      <c r="Z45" s="1366">
        <f t="array" ref="Z45">INDEX($AI$12:$BH$15,MATCH(F45,$AH$12:$AH$15,0),MATCH($AB45&amp;$Z$1,$AI$11:$BH$11&amp;$AI$9:$BH$9,0))/1000</f>
        <v>15</v>
      </c>
      <c r="AA45" s="570">
        <f t="array" ref="AA45">(Z45^INDEX(ShipData!$X$36:$X$39,MATCH($F45,ShipData!$U$36:$U$39,0)))*0.756*INDEX(ShipData!$W$36:$W$39,MATCH($F45,ShipData!$U$36:$U$39,0))</f>
        <v>5367.1081902406004</v>
      </c>
      <c r="AB45" s="570" t="s">
        <v>1190</v>
      </c>
      <c r="AC45" s="548" t="s">
        <v>1187</v>
      </c>
      <c r="AD45" s="570" t="s">
        <v>1338</v>
      </c>
    </row>
    <row r="46" spans="3:30">
      <c r="C46" s="570" t="str">
        <f t="shared" si="3"/>
        <v>TFSSMOICC2N</v>
      </c>
      <c r="E46" s="555" t="s">
        <v>1183</v>
      </c>
      <c r="F46" s="548" t="s">
        <v>1337</v>
      </c>
      <c r="G46" s="548">
        <v>2020</v>
      </c>
      <c r="H46" s="1362" t="s">
        <v>1175</v>
      </c>
      <c r="I46" s="1363">
        <f t="array" ref="I46">INDEX($AI$12:$BH$15,MATCH(F46,$AH$12:$AH$15,0),MATCH(I$1&amp;$AB46,$AI$9:$BH$9&amp;$AI$11:$BH$11,0))</f>
        <v>2450</v>
      </c>
      <c r="J46" s="1363">
        <f t="shared" si="5"/>
        <v>2450</v>
      </c>
      <c r="K46" s="1363">
        <v>0</v>
      </c>
      <c r="L46" s="1397">
        <v>0</v>
      </c>
      <c r="M46" s="1366">
        <f t="array" ref="M46">1/(INDEX($AI$12:$BH$15,MATCH($F46,$AH$12:$AH$15,0),MATCH(($G46&amp;M$1)&amp;$AB46,$AI$9:$BH$9&amp;$AI$11:$BH$11,0))/1.852)</f>
        <v>1.7403348779577166</v>
      </c>
      <c r="N46" s="1366">
        <f t="shared" si="6"/>
        <v>1.7403348779577166</v>
      </c>
      <c r="O46" s="1362">
        <v>30</v>
      </c>
      <c r="P46" s="1366"/>
      <c r="Q46" s="1366">
        <f t="shared" si="7"/>
        <v>1147.6232149876928</v>
      </c>
      <c r="R46" s="1366">
        <f t="array" ref="R46">(AA46*(INDEX(ShipData!$P$19:$R$26,MATCH($AC46,ShipData!$N$19:$N$26,0),MATCH($AD46,ShipData!$P$18:$R$18,0))+INDEX(ShipData!$P$30:$R$37,MATCH($AC46,ShipData!$N$30:$N$37,0),MATCH($AD46,ShipData!$P$29:$R$29,0)))+K46*0.1*(1/M46)*INDEX(ShipData!$P$41:$R$48,MATCH($AC46,ShipData!$N$41:$N$48,0),MATCH($AD46,ShipData!$P$40:$R$40,0)))*6.5/1000</f>
        <v>32789.234713934078</v>
      </c>
      <c r="S46" s="1362"/>
      <c r="T46" s="1362">
        <v>1E-3</v>
      </c>
      <c r="U46" s="1368"/>
      <c r="V46" s="1362"/>
      <c r="W46" s="1362"/>
      <c r="Z46" s="1366">
        <f t="array" ref="Z46">INDEX($AI$12:$BH$15,MATCH(F46,$AH$12:$AH$15,0),MATCH($AB46&amp;$Z$1,$AI$11:$BH$11&amp;$AI$9:$BH$9,0))/1000</f>
        <v>3.5</v>
      </c>
      <c r="AA46" s="570">
        <f t="array" ref="AA46">(Z46^INDEX(ShipData!$X$36:$X$39,MATCH($F46,ShipData!$U$36:$U$39,0)))*0.756*INDEX(ShipData!$W$36:$W$39,MATCH($F46,ShipData!$U$36:$U$39,0))</f>
        <v>2454.0448908848457</v>
      </c>
      <c r="AB46" s="570" t="s">
        <v>1178</v>
      </c>
      <c r="AC46" s="548" t="s">
        <v>1187</v>
      </c>
      <c r="AD46" s="570" t="s">
        <v>1335</v>
      </c>
    </row>
    <row r="47" spans="3:30">
      <c r="C47" s="570" t="str">
        <f t="shared" si="3"/>
        <v>TFSMMOICC2N</v>
      </c>
      <c r="E47" s="555" t="s">
        <v>1183</v>
      </c>
      <c r="F47" s="548" t="s">
        <v>1337</v>
      </c>
      <c r="G47" s="548">
        <v>2020</v>
      </c>
      <c r="H47" s="1362" t="s">
        <v>1175</v>
      </c>
      <c r="I47" s="1363">
        <f t="array" ref="I47">INDEX($AI$12:$BH$15,MATCH(F47,$AH$12:$AH$15,0),MATCH(I$1&amp;$AB47,$AI$9:$BH$9&amp;$AI$11:$BH$11,0))</f>
        <v>4900</v>
      </c>
      <c r="J47" s="1363">
        <f t="shared" si="5"/>
        <v>4900</v>
      </c>
      <c r="K47" s="1363">
        <v>362</v>
      </c>
      <c r="L47" s="1397">
        <v>653</v>
      </c>
      <c r="M47" s="1366">
        <f t="array" ref="M47">1/(INDEX($AI$12:$BH$15,MATCH($F47,$AH$12:$AH$15,0),MATCH(($G47&amp;M$1)&amp;$AB47,$AI$9:$BH$9&amp;$AI$11:$BH$11,0))/1.852)</f>
        <v>0.87906595126970144</v>
      </c>
      <c r="N47" s="1366">
        <f t="shared" si="6"/>
        <v>0.87906595126970144</v>
      </c>
      <c r="O47" s="1362">
        <v>30</v>
      </c>
      <c r="P47" s="1366"/>
      <c r="Q47" s="1366">
        <f t="shared" si="7"/>
        <v>2564.8240535815112</v>
      </c>
      <c r="R47" s="1366">
        <f t="array" ref="R47">(AA47*(INDEX(ShipData!$P$19:$R$26,MATCH($AC47,ShipData!$N$19:$N$26,0),MATCH($AD47,ShipData!$P$18:$R$18,0))+INDEX(ShipData!$P$30:$R$37,MATCH($AC47,ShipData!$N$30:$N$37,0),MATCH($AD47,ShipData!$P$29:$R$29,0)))+K47*0.1*(1/M47)*INDEX(ShipData!$P$41:$R$48,MATCH($AC47,ShipData!$N$41:$N$48,0),MATCH($AD47,ShipData!$P$40:$R$40,0)))*6.5/1000</f>
        <v>73280.687245186025</v>
      </c>
      <c r="S47" s="1362"/>
      <c r="T47" s="1362">
        <v>1E-3</v>
      </c>
      <c r="U47" s="1368"/>
      <c r="V47" s="1362"/>
      <c r="W47" s="1362"/>
      <c r="Z47" s="1366">
        <f t="array" ref="Z47">INDEX($AI$12:$BH$15,MATCH(F47,$AH$12:$AH$15,0),MATCH($AB47&amp;$Z$1,$AI$11:$BH$11&amp;$AI$9:$BH$9,0))/1000</f>
        <v>7</v>
      </c>
      <c r="AA47" s="570">
        <f t="array" ref="AA47">(Z47^INDEX(ShipData!$X$36:$X$39,MATCH($F47,ShipData!$U$36:$U$39,0)))*0.756*INDEX(ShipData!$W$36:$W$39,MATCH($F47,ShipData!$U$36:$U$39,0))</f>
        <v>5483.7455856749639</v>
      </c>
      <c r="AB47" s="570" t="s">
        <v>1174</v>
      </c>
      <c r="AC47" s="548" t="s">
        <v>1187</v>
      </c>
      <c r="AD47" s="570" t="s">
        <v>1335</v>
      </c>
    </row>
    <row r="48" spans="3:30">
      <c r="C48" s="570" t="str">
        <f t="shared" si="3"/>
        <v>TFSLMOICC2N</v>
      </c>
      <c r="E48" s="555" t="s">
        <v>1183</v>
      </c>
      <c r="F48" s="548" t="s">
        <v>1337</v>
      </c>
      <c r="G48" s="548">
        <v>2020</v>
      </c>
      <c r="H48" s="1362" t="s">
        <v>1175</v>
      </c>
      <c r="I48" s="1363">
        <f t="array" ref="I48">INDEX($AI$12:$BH$15,MATCH(F48,$AH$12:$AH$15,0),MATCH(I$1&amp;$AB48,$AI$9:$BH$9&amp;$AI$11:$BH$11,0))</f>
        <v>11760</v>
      </c>
      <c r="J48" s="1363">
        <f t="shared" si="5"/>
        <v>11760</v>
      </c>
      <c r="K48" s="1363">
        <v>579</v>
      </c>
      <c r="L48" s="1397">
        <v>1045</v>
      </c>
      <c r="M48" s="1366">
        <f t="array" ref="M48">1/(INDEX($AI$12:$BH$15,MATCH($F48,$AH$12:$AH$15,0),MATCH(($G48&amp;M$1)&amp;$AB48,$AI$9:$BH$9&amp;$AI$11:$BH$11,0))/1.852)</f>
        <v>0.40793352062343913</v>
      </c>
      <c r="N48" s="1366">
        <f t="shared" si="6"/>
        <v>0.40793352062343913</v>
      </c>
      <c r="O48" s="1362">
        <v>30</v>
      </c>
      <c r="P48" s="1366"/>
      <c r="Q48" s="1366">
        <f t="shared" si="7"/>
        <v>7081.3878335661684</v>
      </c>
      <c r="R48" s="1366">
        <f t="array" ref="R48">(AA48*(INDEX(ShipData!$P$19:$R$26,MATCH($AC48,ShipData!$N$19:$N$26,0),MATCH($AD48,ShipData!$P$18:$R$18,0))+INDEX(ShipData!$P$30:$R$37,MATCH($AC48,ShipData!$N$30:$N$37,0),MATCH($AD48,ShipData!$P$29:$R$29,0)))+K48*0.1*(1/M48)*INDEX(ShipData!$P$41:$R$48,MATCH($AC48,ShipData!$N$41:$N$48,0),MATCH($AD48,ShipData!$P$40:$R$40,0)))*6.5/1000</f>
        <v>202325.36667331908</v>
      </c>
      <c r="S48" s="1362"/>
      <c r="T48" s="1362">
        <v>1E-3</v>
      </c>
      <c r="U48" s="1368"/>
      <c r="V48" s="1362"/>
      <c r="W48" s="1362"/>
      <c r="Z48" s="1366">
        <f t="array" ref="Z48">INDEX($AI$12:$BH$15,MATCH(F48,$AH$12:$AH$15,0),MATCH($AB48&amp;$Z$1,$AI$11:$BH$11&amp;$AI$9:$BH$9,0))/1000</f>
        <v>16.8</v>
      </c>
      <c r="AA48" s="570">
        <f t="array" ref="AA48">(Z48^INDEX(ShipData!$X$36:$X$39,MATCH($F48,ShipData!$U$36:$U$39,0)))*0.756*INDEX(ShipData!$W$36:$W$39,MATCH($F48,ShipData!$U$36:$U$39,0))</f>
        <v>15139.876697863274</v>
      </c>
      <c r="AB48" s="570" t="s">
        <v>1190</v>
      </c>
      <c r="AC48" s="548" t="s">
        <v>1187</v>
      </c>
      <c r="AD48" s="570" t="s">
        <v>1335</v>
      </c>
    </row>
    <row r="49" spans="3:35">
      <c r="C49" s="570" t="str">
        <f t="shared" si="3"/>
        <v>TFSSMOICR2N</v>
      </c>
      <c r="E49" s="555" t="s">
        <v>1183</v>
      </c>
      <c r="F49" s="548" t="s">
        <v>1336</v>
      </c>
      <c r="G49" s="548">
        <v>2020</v>
      </c>
      <c r="H49" s="1362" t="s">
        <v>1175</v>
      </c>
      <c r="I49" s="1363">
        <f t="array" ref="I49">INDEX($AI$12:$BH$15,MATCH(F49,$AH$12:$AH$15,0),MATCH(I$1&amp;$AB49,$AI$9:$BH$9&amp;$AI$11:$BH$11,0))</f>
        <v>1002</v>
      </c>
      <c r="J49" s="1363">
        <f t="shared" si="5"/>
        <v>1002</v>
      </c>
      <c r="K49" s="1363">
        <v>38287</v>
      </c>
      <c r="L49" s="1397">
        <v>69083</v>
      </c>
      <c r="M49" s="1366">
        <f t="array" ref="M49">1/(INDEX($AI$12:$BH$15,MATCH($F49,$AH$12:$AH$15,0),MATCH(($G49&amp;M$1)&amp;$AB49,$AI$9:$BH$9&amp;$AI$11:$BH$11,0))/1.852)</f>
        <v>1.7403348779577166</v>
      </c>
      <c r="N49" s="1366">
        <f t="shared" si="6"/>
        <v>1.7403348779577166</v>
      </c>
      <c r="O49" s="1362">
        <v>30</v>
      </c>
      <c r="P49" s="1366"/>
      <c r="Q49" s="1366">
        <f t="shared" si="7"/>
        <v>822.16692574422666</v>
      </c>
      <c r="R49" s="1366">
        <f t="array" ref="R49">(AA49*(INDEX(ShipData!$P$19:$R$26,MATCH($AC49,ShipData!$N$19:$N$26,0),MATCH($AD49,ShipData!$P$18:$R$18,0))+INDEX(ShipData!$P$30:$R$37,MATCH($AC49,ShipData!$N$30:$N$37,0),MATCH($AD49,ShipData!$P$29:$R$29,0)))+K49*0.1*(1/M49)*INDEX(ShipData!$P$41:$R$48,MATCH($AC49,ShipData!$N$41:$N$48,0),MATCH($AD49,ShipData!$P$40:$R$40,0)))*6.5/1000</f>
        <v>23490.483592692188</v>
      </c>
      <c r="S49" s="1362"/>
      <c r="T49" s="1362">
        <v>1E-3</v>
      </c>
      <c r="U49" s="1368"/>
      <c r="V49" s="1362"/>
      <c r="W49" s="1362"/>
      <c r="Z49" s="1366">
        <f t="array" ref="Z49">INDEX($AI$12:$BH$15,MATCH(F49,$AH$12:$AH$15,0),MATCH($AB49&amp;$Z$1,$AI$11:$BH$11&amp;$AI$9:$BH$9,0))/1000</f>
        <v>1.4314285714285715</v>
      </c>
      <c r="AA49" s="570">
        <f t="array" ref="AA49">(Z49^INDEX(ShipData!$X$36:$X$39,MATCH($F49,ShipData!$U$36:$U$39,0)))*0.756*INDEX(ShipData!$W$36:$W$39,MATCH($F49,ShipData!$U$36:$U$39,0))</f>
        <v>1715.2886160618959</v>
      </c>
      <c r="AB49" s="570" t="s">
        <v>1178</v>
      </c>
      <c r="AC49" s="548" t="s">
        <v>1187</v>
      </c>
      <c r="AD49" s="570" t="s">
        <v>1335</v>
      </c>
      <c r="AH49" s="575"/>
      <c r="AI49" s="575"/>
    </row>
    <row r="50" spans="3:35">
      <c r="C50" s="1149" t="str">
        <f t="shared" si="3"/>
        <v>TFSMMOICR2N</v>
      </c>
      <c r="D50" s="1149"/>
      <c r="E50" s="1387" t="s">
        <v>1183</v>
      </c>
      <c r="F50" s="1386" t="s">
        <v>1336</v>
      </c>
      <c r="G50" s="1386">
        <v>2020</v>
      </c>
      <c r="H50" s="1374" t="s">
        <v>1175</v>
      </c>
      <c r="I50" s="1375">
        <f t="array" ref="I50">INDEX($AI$12:$BH$15,MATCH(F50,$AH$12:$AH$15,0),MATCH(I$1&amp;$AB50,$AI$9:$BH$9&amp;$AI$11:$BH$11,0))</f>
        <v>3608</v>
      </c>
      <c r="J50" s="1375">
        <f t="shared" si="5"/>
        <v>3608</v>
      </c>
      <c r="K50" s="1375">
        <v>925</v>
      </c>
      <c r="L50" s="1399">
        <v>1668</v>
      </c>
      <c r="M50" s="1398">
        <f t="array" ref="M50">1/(INDEX($AI$12:$BH$15,MATCH($F50,$AH$12:$AH$15,0),MATCH(($G50&amp;M$1)&amp;$AB50,$AI$9:$BH$9&amp;$AI$11:$BH$11,0))/1.852)</f>
        <v>0.87906595126970144</v>
      </c>
      <c r="N50" s="1398">
        <f t="shared" si="6"/>
        <v>0.87906595126970144</v>
      </c>
      <c r="O50" s="1374">
        <v>30</v>
      </c>
      <c r="P50" s="1398"/>
      <c r="Q50" s="1398">
        <f t="shared" si="7"/>
        <v>2558.3356871105566</v>
      </c>
      <c r="R50" s="1398">
        <f t="array" ref="R50">(AA50*(INDEX(ShipData!$P$19:$R$26,MATCH($AC50,ShipData!$N$19:$N$26,0),MATCH($AD50,ShipData!$P$18:$R$18,0))+INDEX(ShipData!$P$30:$R$37,MATCH($AC50,ShipData!$N$30:$N$37,0),MATCH($AD50,ShipData!$P$29:$R$29,0)))+K50*0.1*(1/M50)*INDEX(ShipData!$P$41:$R$48,MATCH($AC50,ShipData!$N$41:$N$48,0),MATCH($AD50,ShipData!$P$40:$R$40,0)))*6.5/1000</f>
        <v>73095.305346015899</v>
      </c>
      <c r="S50" s="1374"/>
      <c r="T50" s="1374">
        <v>1E-3</v>
      </c>
      <c r="U50" s="1385"/>
      <c r="V50" s="1374"/>
      <c r="W50" s="1448"/>
      <c r="Z50" s="1366">
        <f t="array" ref="Z50">INDEX($AI$12:$BH$15,MATCH(F50,$AH$12:$AH$15,0),MATCH($AB50&amp;$Z$1,$AI$11:$BH$11&amp;$AI$9:$BH$9,0))/1000</f>
        <v>5.1542857142857148</v>
      </c>
      <c r="AA50" s="570">
        <f t="array" ref="AA50">(Z50^INDEX(ShipData!$X$36:$X$39,MATCH($F50,ShipData!$U$36:$U$39,0)))*0.756*INDEX(ShipData!$W$36:$W$39,MATCH($F50,ShipData!$U$36:$U$39,0))</f>
        <v>5468.6247789018307</v>
      </c>
      <c r="AB50" s="570" t="s">
        <v>1174</v>
      </c>
      <c r="AC50" s="548" t="s">
        <v>1187</v>
      </c>
      <c r="AD50" s="570" t="s">
        <v>1335</v>
      </c>
      <c r="AH50" s="575"/>
      <c r="AI50" s="575"/>
    </row>
    <row r="51" spans="3:35">
      <c r="C51" s="570" t="str">
        <f t="shared" si="3"/>
        <v>TFSSH2ICL2N</v>
      </c>
      <c r="E51" s="555" t="s">
        <v>1181</v>
      </c>
      <c r="F51" s="548" t="s">
        <v>1340</v>
      </c>
      <c r="G51" s="548">
        <v>2020</v>
      </c>
      <c r="H51" s="1362" t="s">
        <v>1175</v>
      </c>
      <c r="I51" s="1363">
        <f t="array" ref="I51">INDEX($AI$12:$BH$15,MATCH(F51,$AH$12:$AH$15,0),MATCH(I$1&amp;$AB51,$AI$9:$BH$9&amp;$AI$11:$BH$11,0))</f>
        <v>810</v>
      </c>
      <c r="J51" s="1363">
        <f t="shared" si="5"/>
        <v>810</v>
      </c>
      <c r="K51" s="1363">
        <v>46488</v>
      </c>
      <c r="L51" s="1362">
        <v>83879</v>
      </c>
      <c r="M51" s="1366">
        <f t="array" ref="M51">1/(INDEX($AI$12:$BH$15,MATCH($F51,$AH$12:$AH$15,0),MATCH(($G51&amp;M$1)&amp;$AB51,$AI$9:$BH$9&amp;$AI$11:$BH$11,0))/1.852)</f>
        <v>2.3752039567310899</v>
      </c>
      <c r="N51" s="1366">
        <f t="shared" si="6"/>
        <v>2.3752039567310899</v>
      </c>
      <c r="O51" s="1362">
        <v>30</v>
      </c>
      <c r="P51" s="1366"/>
      <c r="Q51" s="1366">
        <f t="shared" si="7"/>
        <v>1313.6093495319874</v>
      </c>
      <c r="R51" s="1366">
        <f t="array" ref="R51">(AA51*(INDEX(ShipData!$P$19:$R$26,MATCH($AC51,ShipData!$N$19:$N$26,0),MATCH($AD51,ShipData!$P$18:$R$18,0))+INDEX(ShipData!$P$30:$R$37,MATCH($AC51,ShipData!$N$30:$N$37,0),MATCH($AD51,ShipData!$P$29:$R$29,0)))+K51*0.1*(1/M51)*INDEX(ShipData!$P$41:$R$48,MATCH($AC51,ShipData!$N$41:$N$48,0),MATCH($AD51,ShipData!$P$40:$R$40,0)))*6.5/1000</f>
        <v>37531.695700913922</v>
      </c>
      <c r="S51" s="1362"/>
      <c r="T51" s="1362">
        <v>1E-3</v>
      </c>
      <c r="U51" s="1368"/>
      <c r="V51" s="1362"/>
      <c r="W51" s="1362"/>
      <c r="Z51" s="1366">
        <f t="array" ref="Z51">INDEX($AI$12:$BH$15,MATCH(F51,$AH$12:$AH$15,0),MATCH($AB51&amp;$Z$1,$AI$11:$BH$11&amp;$AI$9:$BH$9,0))/1000</f>
        <v>1.5804878048780491</v>
      </c>
      <c r="AA51" s="570">
        <f t="array" ref="AA51">(Z51^INDEX(ShipData!$X$36:$X$39,MATCH($F51,ShipData!$U$36:$U$39,0)))*0.756*INDEX(ShipData!$W$36:$W$39,MATCH($F51,ShipData!$U$36:$U$39,0))</f>
        <v>1602.8300580975306</v>
      </c>
      <c r="AB51" s="570" t="s">
        <v>1178</v>
      </c>
      <c r="AC51" s="548" t="s">
        <v>1186</v>
      </c>
      <c r="AD51" s="570" t="s">
        <v>1338</v>
      </c>
    </row>
    <row r="52" spans="3:35">
      <c r="C52" s="570" t="str">
        <f t="shared" si="3"/>
        <v>TFSMH2ICL2N</v>
      </c>
      <c r="E52" s="555" t="s">
        <v>1181</v>
      </c>
      <c r="F52" s="548" t="s">
        <v>1340</v>
      </c>
      <c r="G52" s="548">
        <v>2020</v>
      </c>
      <c r="H52" s="1362" t="s">
        <v>1175</v>
      </c>
      <c r="I52" s="1363">
        <f t="array" ref="I52">INDEX($AI$12:$BH$15,MATCH(F52,$AH$12:$AH$15,0),MATCH(I$1&amp;$AB52,$AI$9:$BH$9&amp;$AI$11:$BH$11,0))</f>
        <v>3045.9905660377353</v>
      </c>
      <c r="J52" s="1363">
        <f t="shared" si="5"/>
        <v>3045.9905660377353</v>
      </c>
      <c r="K52" s="1363">
        <v>25616</v>
      </c>
      <c r="L52" s="1362">
        <v>46219</v>
      </c>
      <c r="M52" s="1366">
        <f t="array" ref="M52">1/(INDEX($AI$12:$BH$15,MATCH($F52,$AH$12:$AH$15,0),MATCH(($G52&amp;M$1)&amp;$AB52,$AI$9:$BH$9&amp;$AI$11:$BH$11,0))/1.852)</f>
        <v>1.4081877865043426</v>
      </c>
      <c r="N52" s="1366">
        <f t="shared" si="6"/>
        <v>1.4081877865043426</v>
      </c>
      <c r="O52" s="1362">
        <v>30</v>
      </c>
      <c r="P52" s="1366"/>
      <c r="Q52" s="1366">
        <f t="shared" si="7"/>
        <v>2605.0235776143213</v>
      </c>
      <c r="R52" s="1366">
        <f t="array" ref="R52">(AA52*(INDEX(ShipData!$P$19:$R$26,MATCH($AC52,ShipData!$N$19:$N$26,0),MATCH($AD52,ShipData!$P$18:$R$18,0))+INDEX(ShipData!$P$30:$R$37,MATCH($AC52,ShipData!$N$30:$N$37,0),MATCH($AD52,ShipData!$P$29:$R$29,0)))+K52*0.1*(1/M52)*INDEX(ShipData!$P$41:$R$48,MATCH($AC52,ShipData!$N$41:$N$48,0),MATCH($AD52,ShipData!$P$40:$R$40,0)))*6.5/1000</f>
        <v>74429.245074694889</v>
      </c>
      <c r="S52" s="1362"/>
      <c r="T52" s="1362">
        <v>1E-3</v>
      </c>
      <c r="U52" s="1368"/>
      <c r="V52" s="1362"/>
      <c r="W52" s="1362"/>
      <c r="Z52" s="1366">
        <f t="array" ref="Z52">INDEX($AI$12:$BH$15,MATCH(F52,$AH$12:$AH$15,0),MATCH($AB52&amp;$Z$1,$AI$11:$BH$11&amp;$AI$9:$BH$9,0))/1000</f>
        <v>5.9433962264150946</v>
      </c>
      <c r="AA52" s="570">
        <f t="array" ref="AA52">(Z52^INDEX(ShipData!$X$36:$X$39,MATCH($F52,ShipData!$U$36:$U$39,0)))*0.756*INDEX(ShipData!$W$36:$W$39,MATCH($F52,ShipData!$U$36:$U$39,0))</f>
        <v>3369.7610132900404</v>
      </c>
      <c r="AB52" s="570" t="s">
        <v>1174</v>
      </c>
      <c r="AC52" s="548" t="s">
        <v>1186</v>
      </c>
      <c r="AD52" s="570" t="s">
        <v>1338</v>
      </c>
    </row>
    <row r="53" spans="3:35">
      <c r="C53" s="570" t="str">
        <f t="shared" si="3"/>
        <v>TFSLH2ICL2N</v>
      </c>
      <c r="E53" s="555" t="s">
        <v>1181</v>
      </c>
      <c r="F53" s="548" t="s">
        <v>1340</v>
      </c>
      <c r="G53" s="548">
        <v>2020</v>
      </c>
      <c r="H53" s="1362" t="s">
        <v>1175</v>
      </c>
      <c r="I53" s="1363">
        <f t="array" ref="I53">INDEX($AI$12:$BH$15,MATCH(F53,$AH$12:$AH$15,0),MATCH(I$1&amp;$AB53,$AI$9:$BH$9&amp;$AI$11:$BH$11,0))</f>
        <v>7427.5362318840562</v>
      </c>
      <c r="J53" s="1363">
        <f t="shared" si="5"/>
        <v>7427.5362318840562</v>
      </c>
      <c r="K53" s="1363">
        <v>3985</v>
      </c>
      <c r="L53" s="1362">
        <v>7190</v>
      </c>
      <c r="M53" s="1366">
        <f t="array" ref="M53">1/(INDEX($AI$12:$BH$15,MATCH($F53,$AH$12:$AH$15,0),MATCH(($G53&amp;M$1)&amp;$AB53,$AI$9:$BH$9&amp;$AI$11:$BH$11,0))/1.852)</f>
        <v>0.84765820280384263</v>
      </c>
      <c r="N53" s="1366">
        <f t="shared" si="6"/>
        <v>0.84765820280384263</v>
      </c>
      <c r="O53" s="1362">
        <v>30</v>
      </c>
      <c r="P53" s="1366"/>
      <c r="Q53" s="1366">
        <f t="shared" si="7"/>
        <v>4122.586592721048</v>
      </c>
      <c r="R53" s="1366">
        <f t="array" ref="R53">(AA53*(INDEX(ShipData!$P$19:$R$26,MATCH($AC53,ShipData!$N$19:$N$26,0),MATCH($AD53,ShipData!$P$18:$R$18,0))+INDEX(ShipData!$P$30:$R$37,MATCH($AC53,ShipData!$N$30:$N$37,0),MATCH($AD53,ShipData!$P$29:$R$29,0)))+K53*0.1*(1/M53)*INDEX(ShipData!$P$41:$R$48,MATCH($AC53,ShipData!$N$41:$N$48,0),MATCH($AD53,ShipData!$P$40:$R$40,0)))*6.5/1000</f>
        <v>117788.1883634585</v>
      </c>
      <c r="S53" s="1362"/>
      <c r="T53" s="1362">
        <v>1E-3</v>
      </c>
      <c r="U53" s="1368"/>
      <c r="V53" s="1362"/>
      <c r="W53" s="1362"/>
      <c r="Z53" s="1366">
        <f t="array" ref="Z53">INDEX($AI$12:$BH$15,MATCH(F53,$AH$12:$AH$15,0),MATCH($AB53&amp;$Z$1,$AI$11:$BH$11&amp;$AI$9:$BH$9,0))/1000</f>
        <v>14.492753623188404</v>
      </c>
      <c r="AA53" s="570">
        <f t="array" ref="AA53">(Z53^INDEX(ShipData!$X$36:$X$39,MATCH($F53,ShipData!$U$36:$U$39,0)))*0.756*INDEX(ShipData!$W$36:$W$39,MATCH($F53,ShipData!$U$36:$U$39,0))</f>
        <v>5556.1159914410127</v>
      </c>
      <c r="AB53" s="570" t="s">
        <v>1190</v>
      </c>
      <c r="AC53" s="548" t="s">
        <v>1186</v>
      </c>
      <c r="AD53" s="570" t="s">
        <v>1338</v>
      </c>
    </row>
    <row r="54" spans="3:35">
      <c r="C54" s="570" t="str">
        <f t="shared" si="3"/>
        <v>TFSSH2ICD2N</v>
      </c>
      <c r="E54" s="555" t="s">
        <v>1181</v>
      </c>
      <c r="F54" s="548" t="s">
        <v>1339</v>
      </c>
      <c r="G54" s="548">
        <v>2020</v>
      </c>
      <c r="H54" s="1362" t="s">
        <v>1175</v>
      </c>
      <c r="I54" s="1363">
        <f t="array" ref="I54">INDEX($AI$12:$BH$15,MATCH(F54,$AH$12:$AH$15,0),MATCH(I$1&amp;$AB54,$AI$9:$BH$9&amp;$AI$11:$BH$11,0))</f>
        <v>1527</v>
      </c>
      <c r="J54" s="1363">
        <f t="shared" si="5"/>
        <v>1527</v>
      </c>
      <c r="K54" s="1363">
        <v>17027</v>
      </c>
      <c r="L54" s="1397">
        <v>30722</v>
      </c>
      <c r="M54" s="1366">
        <f t="array" ref="M54">1/(INDEX($AI$12:$BH$15,MATCH($F54,$AH$12:$AH$15,0),MATCH(($G54&amp;M$1)&amp;$AB54,$AI$9:$BH$9&amp;$AI$11:$BH$11,0))/1.852)</f>
        <v>3.4190010788978875</v>
      </c>
      <c r="N54" s="1366">
        <f t="shared" si="6"/>
        <v>3.4190010788978875</v>
      </c>
      <c r="O54" s="1362">
        <v>30</v>
      </c>
      <c r="P54" s="1366"/>
      <c r="Q54" s="1366">
        <f t="shared" si="7"/>
        <v>1448.746529037267</v>
      </c>
      <c r="R54" s="1366">
        <f t="array" ref="R54">(AA54*(INDEX(ShipData!$P$19:$R$26,MATCH($AC54,ShipData!$N$19:$N$26,0),MATCH($AD54,ShipData!$P$18:$R$18,0))+INDEX(ShipData!$P$30:$R$37,MATCH($AC54,ShipData!$N$30:$N$37,0),MATCH($AD54,ShipData!$P$29:$R$29,0)))+K54*0.1*(1/M54)*INDEX(ShipData!$P$41:$R$48,MATCH($AC54,ShipData!$N$41:$N$48,0),MATCH($AD54,ShipData!$P$40:$R$40,0)))*6.5/1000</f>
        <v>41392.757972493338</v>
      </c>
      <c r="S54" s="1362"/>
      <c r="T54" s="1362">
        <v>1E-3</v>
      </c>
      <c r="U54" s="1368"/>
      <c r="V54" s="1362"/>
      <c r="W54" s="1362"/>
      <c r="Z54" s="1366">
        <f t="array" ref="Z54">INDEX($AI$12:$BH$15,MATCH(F54,$AH$12:$AH$15,0),MATCH($AB54&amp;$Z$1,$AI$11:$BH$11&amp;$AI$9:$BH$9,0))/1000</f>
        <v>2.5449999999999999</v>
      </c>
      <c r="AA54" s="570">
        <f t="array" ref="AA54">(Z54^INDEX(ShipData!$X$36:$X$39,MATCH($F54,ShipData!$U$36:$U$39,0)))*0.756*INDEX(ShipData!$W$36:$W$39,MATCH($F54,ShipData!$U$36:$U$39,0))</f>
        <v>1921.6608368614334</v>
      </c>
      <c r="AB54" s="570" t="s">
        <v>1178</v>
      </c>
      <c r="AC54" s="548" t="s">
        <v>1186</v>
      </c>
      <c r="AD54" s="570" t="s">
        <v>1338</v>
      </c>
    </row>
    <row r="55" spans="3:35">
      <c r="C55" s="570" t="str">
        <f t="shared" si="3"/>
        <v>TFSMH2ICD2N</v>
      </c>
      <c r="E55" s="555" t="s">
        <v>1181</v>
      </c>
      <c r="F55" s="548" t="s">
        <v>1339</v>
      </c>
      <c r="G55" s="548">
        <v>2020</v>
      </c>
      <c r="H55" s="1362" t="s">
        <v>1175</v>
      </c>
      <c r="I55" s="1363">
        <f t="array" ref="I55">INDEX($AI$12:$BH$15,MATCH(F55,$AH$12:$AH$15,0),MATCH(I$1&amp;$AB55,$AI$9:$BH$9&amp;$AI$11:$BH$11,0))</f>
        <v>4174</v>
      </c>
      <c r="J55" s="1363">
        <f t="shared" si="5"/>
        <v>4174</v>
      </c>
      <c r="K55" s="1363">
        <v>3330</v>
      </c>
      <c r="L55" s="1397">
        <v>6009</v>
      </c>
      <c r="M55" s="1366">
        <f t="array" ref="M55">1/(INDEX($AI$12:$BH$15,MATCH($F55,$AH$12:$AH$15,0),MATCH(($G55&amp;M$1)&amp;$AB55,$AI$9:$BH$9&amp;$AI$11:$BH$11,0))/1.852)</f>
        <v>1.9439057414379413</v>
      </c>
      <c r="N55" s="1366">
        <f t="shared" si="6"/>
        <v>1.9439057414379413</v>
      </c>
      <c r="O55" s="1362">
        <v>30</v>
      </c>
      <c r="P55" s="1366"/>
      <c r="Q55" s="1366">
        <f t="shared" si="7"/>
        <v>2544.1305839503048</v>
      </c>
      <c r="R55" s="1366">
        <f t="array" ref="R55">(AA55*(INDEX(ShipData!$P$19:$R$26,MATCH($AC55,ShipData!$N$19:$N$26,0),MATCH($AD55,ShipData!$P$18:$R$18,0))+INDEX(ShipData!$P$30:$R$37,MATCH($AC55,ShipData!$N$30:$N$37,0),MATCH($AD55,ShipData!$P$29:$R$29,0)))+K55*0.1*(1/M55)*INDEX(ShipData!$P$41:$R$48,MATCH($AC55,ShipData!$N$41:$N$48,0),MATCH($AD55,ShipData!$P$40:$R$40,0)))*6.5/1000</f>
        <v>72689.445255722982</v>
      </c>
      <c r="S55" s="1362"/>
      <c r="T55" s="1362">
        <v>1E-3</v>
      </c>
      <c r="U55" s="1368"/>
      <c r="V55" s="1362"/>
      <c r="W55" s="1362"/>
      <c r="Z55" s="1366">
        <f t="array" ref="Z55">INDEX($AI$12:$BH$15,MATCH(F55,$AH$12:$AH$15,0),MATCH($AB55&amp;$Z$1,$AI$11:$BH$11&amp;$AI$9:$BH$9,0))/1000</f>
        <v>6.956666666666667</v>
      </c>
      <c r="AA55" s="570">
        <f t="array" ref="AA55">(Z55^INDEX(ShipData!$X$36:$X$39,MATCH($F55,ShipData!$U$36:$U$39,0)))*0.756*INDEX(ShipData!$W$36:$W$39,MATCH($F55,ShipData!$U$36:$U$39,0))</f>
        <v>3439.8048335584949</v>
      </c>
      <c r="AB55" s="570" t="s">
        <v>1174</v>
      </c>
      <c r="AC55" s="548" t="s">
        <v>1186</v>
      </c>
      <c r="AD55" s="570" t="s">
        <v>1338</v>
      </c>
    </row>
    <row r="56" spans="3:35">
      <c r="C56" s="570" t="str">
        <f t="shared" si="3"/>
        <v>TFSLH2ICD2N</v>
      </c>
      <c r="E56" s="555" t="s">
        <v>1181</v>
      </c>
      <c r="F56" s="548" t="s">
        <v>1339</v>
      </c>
      <c r="G56" s="548">
        <v>2020</v>
      </c>
      <c r="H56" s="1362" t="s">
        <v>1175</v>
      </c>
      <c r="I56" s="1363">
        <f t="array" ref="I56">INDEX($AI$12:$BH$15,MATCH(F56,$AH$12:$AH$15,0),MATCH(I$1&amp;$AB56,$AI$9:$BH$9&amp;$AI$11:$BH$11,0))</f>
        <v>9000</v>
      </c>
      <c r="J56" s="1363">
        <f t="shared" si="5"/>
        <v>9000</v>
      </c>
      <c r="K56" s="1363">
        <v>830</v>
      </c>
      <c r="L56" s="1397">
        <v>1498</v>
      </c>
      <c r="M56" s="1366">
        <f t="array" ref="M56">1/(INDEX($AI$12:$BH$15,MATCH($F56,$AH$12:$AH$15,0),MATCH(($G56&amp;M$1)&amp;$AB56,$AI$9:$BH$9&amp;$AI$11:$BH$11,0))/1.852)</f>
        <v>1.1737776538064364</v>
      </c>
      <c r="N56" s="1366">
        <f t="shared" si="6"/>
        <v>1.1737776538064364</v>
      </c>
      <c r="O56" s="1362">
        <v>30</v>
      </c>
      <c r="P56" s="1366"/>
      <c r="Q56" s="1366">
        <f t="shared" si="7"/>
        <v>3956.1765232916132</v>
      </c>
      <c r="R56" s="1366">
        <f t="array" ref="R56">(AA56*(INDEX(ShipData!$P$19:$R$26,MATCH($AC56,ShipData!$N$19:$N$26,0),MATCH($AD56,ShipData!$P$18:$R$18,0))+INDEX(ShipData!$P$30:$R$37,MATCH($AC56,ShipData!$N$30:$N$37,0),MATCH($AD56,ShipData!$P$29:$R$29,0)))+K56*0.1*(1/M56)*INDEX(ShipData!$P$41:$R$48,MATCH($AC56,ShipData!$N$41:$N$48,0),MATCH($AD56,ShipData!$P$40:$R$40,0)))*6.5/1000</f>
        <v>113033.61495118894</v>
      </c>
      <c r="S56" s="1362"/>
      <c r="T56" s="1362">
        <v>1E-3</v>
      </c>
      <c r="U56" s="1368"/>
      <c r="V56" s="1362"/>
      <c r="W56" s="1362"/>
      <c r="Z56" s="1366">
        <f t="array" ref="Z56">INDEX($AI$12:$BH$15,MATCH(F56,$AH$12:$AH$15,0),MATCH($AB56&amp;$Z$1,$AI$11:$BH$11&amp;$AI$9:$BH$9,0))/1000</f>
        <v>15</v>
      </c>
      <c r="AA56" s="570">
        <f t="array" ref="AA56">(Z56^INDEX(ShipData!$X$36:$X$39,MATCH($F56,ShipData!$U$36:$U$39,0)))*0.756*INDEX(ShipData!$W$36:$W$39,MATCH($F56,ShipData!$U$36:$U$39,0))</f>
        <v>5367.1081902406004</v>
      </c>
      <c r="AB56" s="570" t="s">
        <v>1190</v>
      </c>
      <c r="AC56" s="548" t="s">
        <v>1186</v>
      </c>
      <c r="AD56" s="570" t="s">
        <v>1338</v>
      </c>
    </row>
    <row r="57" spans="3:35">
      <c r="C57" s="570" t="str">
        <f t="shared" si="3"/>
        <v>TFSSH2ICC2N</v>
      </c>
      <c r="E57" s="555" t="s">
        <v>1181</v>
      </c>
      <c r="F57" s="548" t="s">
        <v>1337</v>
      </c>
      <c r="G57" s="548">
        <v>2020</v>
      </c>
      <c r="H57" s="1362" t="s">
        <v>1175</v>
      </c>
      <c r="I57" s="1363">
        <f t="array" ref="I57">INDEX($AI$12:$BH$15,MATCH(F57,$AH$12:$AH$15,0),MATCH(I$1&amp;$AB57,$AI$9:$BH$9&amp;$AI$11:$BH$11,0))</f>
        <v>2450</v>
      </c>
      <c r="J57" s="1363">
        <f t="shared" si="5"/>
        <v>2450</v>
      </c>
      <c r="K57" s="1363">
        <v>0</v>
      </c>
      <c r="L57" s="1397">
        <v>0</v>
      </c>
      <c r="M57" s="1366">
        <f t="array" ref="M57">1/(INDEX($AI$12:$BH$15,MATCH($F57,$AH$12:$AH$15,0),MATCH(($G57&amp;M$1)&amp;$AB57,$AI$9:$BH$9&amp;$AI$11:$BH$11,0))/1.852)</f>
        <v>1.7403348779577166</v>
      </c>
      <c r="N57" s="1366">
        <f t="shared" si="6"/>
        <v>1.7403348779577166</v>
      </c>
      <c r="O57" s="1362">
        <v>30</v>
      </c>
      <c r="P57" s="1366"/>
      <c r="Q57" s="1366">
        <f t="shared" si="7"/>
        <v>1399.855650364266</v>
      </c>
      <c r="R57" s="1366">
        <f t="array" ref="R57">(AA57*(INDEX(ShipData!$P$19:$R$26,MATCH($AC57,ShipData!$N$19:$N$26,0),MATCH($AD57,ShipData!$P$18:$R$18,0))+INDEX(ShipData!$P$30:$R$37,MATCH($AC57,ShipData!$N$30:$N$37,0),MATCH($AD57,ShipData!$P$29:$R$29,0)))+K57*0.1*(1/M57)*INDEX(ShipData!$P$41:$R$48,MATCH($AC57,ShipData!$N$41:$N$48,0),MATCH($AD57,ShipData!$P$40:$R$40,0)))*6.5/1000</f>
        <v>39995.875724693309</v>
      </c>
      <c r="S57" s="1362"/>
      <c r="T57" s="1362">
        <v>1E-3</v>
      </c>
      <c r="U57" s="1368"/>
      <c r="V57" s="1362"/>
      <c r="W57" s="1362"/>
      <c r="Z57" s="1366">
        <f t="array" ref="Z57">INDEX($AI$12:$BH$15,MATCH(F57,$AH$12:$AH$15,0),MATCH($AB57&amp;$Z$1,$AI$11:$BH$11&amp;$AI$9:$BH$9,0))/1000</f>
        <v>3.5</v>
      </c>
      <c r="AA57" s="570">
        <f t="array" ref="AA57">(Z57^INDEX(ShipData!$X$36:$X$39,MATCH($F57,ShipData!$U$36:$U$39,0)))*0.756*INDEX(ShipData!$W$36:$W$39,MATCH($F57,ShipData!$U$36:$U$39,0))</f>
        <v>2454.0448908848457</v>
      </c>
      <c r="AB57" s="570" t="s">
        <v>1178</v>
      </c>
      <c r="AC57" s="548" t="s">
        <v>1186</v>
      </c>
      <c r="AD57" s="570" t="s">
        <v>1335</v>
      </c>
    </row>
    <row r="58" spans="3:35">
      <c r="C58" s="570" t="str">
        <f t="shared" si="3"/>
        <v>TFSMH2ICC2N</v>
      </c>
      <c r="E58" s="555" t="s">
        <v>1181</v>
      </c>
      <c r="F58" s="548" t="s">
        <v>1337</v>
      </c>
      <c r="G58" s="548">
        <v>2020</v>
      </c>
      <c r="H58" s="1362" t="s">
        <v>1175</v>
      </c>
      <c r="I58" s="1363">
        <f t="array" ref="I58">INDEX($AI$12:$BH$15,MATCH(F58,$AH$12:$AH$15,0),MATCH(I$1&amp;$AB58,$AI$9:$BH$9&amp;$AI$11:$BH$11,0))</f>
        <v>4900</v>
      </c>
      <c r="J58" s="1363">
        <f t="shared" si="5"/>
        <v>4900</v>
      </c>
      <c r="K58" s="1363">
        <v>362</v>
      </c>
      <c r="L58" s="1397">
        <v>653</v>
      </c>
      <c r="M58" s="1366">
        <f t="array" ref="M58">1/(INDEX($AI$12:$BH$15,MATCH($F58,$AH$12:$AH$15,0),MATCH(($G58&amp;M$1)&amp;$AB58,$AI$9:$BH$9&amp;$AI$11:$BH$11,0))/1.852)</f>
        <v>0.87906595126970144</v>
      </c>
      <c r="N58" s="1366">
        <f t="shared" si="6"/>
        <v>0.87906595126970144</v>
      </c>
      <c r="O58" s="1362">
        <v>30</v>
      </c>
      <c r="P58" s="1366"/>
      <c r="Q58" s="1366">
        <f t="shared" si="7"/>
        <v>3130.1893316034939</v>
      </c>
      <c r="R58" s="1366">
        <f t="array" ref="R58">(AA58*(INDEX(ShipData!$P$19:$R$26,MATCH($AC58,ShipData!$N$19:$N$26,0),MATCH($AD58,ShipData!$P$18:$R$18,0))+INDEX(ShipData!$P$30:$R$37,MATCH($AC58,ShipData!$N$30:$N$37,0),MATCH($AD58,ShipData!$P$29:$R$29,0)))+K58*0.1*(1/M58)*INDEX(ShipData!$P$41:$R$48,MATCH($AC58,ShipData!$N$41:$N$48,0),MATCH($AD58,ShipData!$P$40:$R$40,0)))*6.5/1000</f>
        <v>89433.980902956959</v>
      </c>
      <c r="S58" s="1362"/>
      <c r="T58" s="1362">
        <v>1E-3</v>
      </c>
      <c r="U58" s="1368"/>
      <c r="V58" s="1362"/>
      <c r="W58" s="1362"/>
      <c r="Z58" s="1366">
        <f t="array" ref="Z58">INDEX($AI$12:$BH$15,MATCH(F58,$AH$12:$AH$15,0),MATCH($AB58&amp;$Z$1,$AI$11:$BH$11&amp;$AI$9:$BH$9,0))/1000</f>
        <v>7</v>
      </c>
      <c r="AA58" s="570">
        <f t="array" ref="AA58">(Z58^INDEX(ShipData!$X$36:$X$39,MATCH($F58,ShipData!$U$36:$U$39,0)))*0.756*INDEX(ShipData!$W$36:$W$39,MATCH($F58,ShipData!$U$36:$U$39,0))</f>
        <v>5483.7455856749639</v>
      </c>
      <c r="AB58" s="570" t="s">
        <v>1174</v>
      </c>
      <c r="AC58" s="548" t="s">
        <v>1186</v>
      </c>
      <c r="AD58" s="570" t="s">
        <v>1335</v>
      </c>
      <c r="AH58" s="575"/>
      <c r="AI58" s="575"/>
    </row>
    <row r="59" spans="3:35">
      <c r="C59" s="570" t="str">
        <f t="shared" si="3"/>
        <v>TFSLH2ICC2N</v>
      </c>
      <c r="E59" s="555" t="s">
        <v>1181</v>
      </c>
      <c r="F59" s="548" t="s">
        <v>1337</v>
      </c>
      <c r="G59" s="548">
        <v>2020</v>
      </c>
      <c r="H59" s="1362" t="s">
        <v>1175</v>
      </c>
      <c r="I59" s="1363">
        <f t="array" ref="I59">INDEX($AI$12:$BH$15,MATCH(F59,$AH$12:$AH$15,0),MATCH(I$1&amp;$AB59,$AI$9:$BH$9&amp;$AI$11:$BH$11,0))</f>
        <v>11760</v>
      </c>
      <c r="J59" s="1363">
        <f t="shared" si="5"/>
        <v>11760</v>
      </c>
      <c r="K59" s="1363">
        <v>579</v>
      </c>
      <c r="L59" s="1397">
        <v>1045</v>
      </c>
      <c r="M59" s="1366">
        <f t="array" ref="M59">1/(INDEX($AI$12:$BH$15,MATCH($F59,$AH$12:$AH$15,0),MATCH(($G59&amp;M$1)&amp;$AB59,$AI$9:$BH$9&amp;$AI$11:$BH$11,0))/1.852)</f>
        <v>0.40793352062343913</v>
      </c>
      <c r="N59" s="1366">
        <f t="shared" si="6"/>
        <v>0.40793352062343913</v>
      </c>
      <c r="O59" s="1362">
        <v>30</v>
      </c>
      <c r="P59" s="1366"/>
      <c r="Q59" s="1366">
        <f t="shared" si="7"/>
        <v>8643.4732198503516</v>
      </c>
      <c r="R59" s="1366">
        <f t="array" ref="R59">(AA59*(INDEX(ShipData!$P$19:$R$26,MATCH($AC59,ShipData!$N$19:$N$26,0),MATCH($AD59,ShipData!$P$18:$R$18,0))+INDEX(ShipData!$P$30:$R$37,MATCH($AC59,ShipData!$N$30:$N$37,0),MATCH($AD59,ShipData!$P$29:$R$29,0)))+K59*0.1*(1/M59)*INDEX(ShipData!$P$41:$R$48,MATCH($AC59,ShipData!$N$41:$N$48,0),MATCH($AD59,ShipData!$P$40:$R$40,0)))*6.5/1000</f>
        <v>246956.37771001001</v>
      </c>
      <c r="S59" s="1362"/>
      <c r="T59" s="1362">
        <v>1E-3</v>
      </c>
      <c r="U59" s="1368"/>
      <c r="V59" s="1362"/>
      <c r="W59" s="1362"/>
      <c r="Z59" s="1366">
        <f t="array" ref="Z59">INDEX($AI$12:$BH$15,MATCH(F59,$AH$12:$AH$15,0),MATCH($AB59&amp;$Z$1,$AI$11:$BH$11&amp;$AI$9:$BH$9,0))/1000</f>
        <v>16.8</v>
      </c>
      <c r="AA59" s="570">
        <f t="array" ref="AA59">(Z59^INDEX(ShipData!$X$36:$X$39,MATCH($F59,ShipData!$U$36:$U$39,0)))*0.756*INDEX(ShipData!$W$36:$W$39,MATCH($F59,ShipData!$U$36:$U$39,0))</f>
        <v>15139.876697863274</v>
      </c>
      <c r="AB59" s="570" t="s">
        <v>1190</v>
      </c>
      <c r="AC59" s="548" t="s">
        <v>1186</v>
      </c>
      <c r="AD59" s="570" t="s">
        <v>1335</v>
      </c>
      <c r="AH59" s="575"/>
      <c r="AI59" s="575"/>
    </row>
    <row r="60" spans="3:35">
      <c r="C60" s="570" t="str">
        <f t="shared" si="3"/>
        <v>TFSLH2ICR2N</v>
      </c>
      <c r="E60" s="555" t="s">
        <v>1181</v>
      </c>
      <c r="F60" s="548" t="s">
        <v>1336</v>
      </c>
      <c r="G60" s="548">
        <v>2020</v>
      </c>
      <c r="H60" s="1362" t="s">
        <v>1175</v>
      </c>
      <c r="I60" s="1363">
        <f t="array" ref="I60">INDEX($AI$12:$BH$15,MATCH(F60,$AH$12:$AH$15,0),MATCH(I$1&amp;$AB60,$AI$9:$BH$9&amp;$AI$11:$BH$11,0))</f>
        <v>11760</v>
      </c>
      <c r="J60" s="1363">
        <f t="shared" si="5"/>
        <v>11760</v>
      </c>
      <c r="K60" s="1363">
        <v>38287</v>
      </c>
      <c r="L60" s="1397">
        <v>69083</v>
      </c>
      <c r="M60" s="1366">
        <f t="array" ref="M60">1/(INDEX($AI$12:$BH$15,MATCH($F60,$AH$12:$AH$15,0),MATCH(($G60&amp;M$1)&amp;$AB60,$AI$9:$BH$9&amp;$AI$11:$BH$11,0))/1.852)</f>
        <v>0.40793352062343913</v>
      </c>
      <c r="N60" s="1366">
        <f t="shared" si="6"/>
        <v>0.40793352062343913</v>
      </c>
      <c r="O60" s="1362">
        <v>30</v>
      </c>
      <c r="P60" s="1366"/>
      <c r="Q60" s="1366">
        <f t="shared" si="7"/>
        <v>9568.4875881251555</v>
      </c>
      <c r="R60" s="1366">
        <f t="array" ref="R60">(AA60*(INDEX(ShipData!$P$19:$R$26,MATCH($AC60,ShipData!$N$19:$N$26,0),MATCH($AD60,ShipData!$P$18:$R$18,0))+INDEX(ShipData!$P$30:$R$37,MATCH($AC60,ShipData!$N$30:$N$37,0),MATCH($AD60,ShipData!$P$29:$R$29,0)))+K60*0.1*(1/M60)*INDEX(ShipData!$P$41:$R$48,MATCH($AC60,ShipData!$N$41:$N$48,0),MATCH($AD60,ShipData!$P$40:$R$40,0)))*6.5/1000</f>
        <v>273385.35966071871</v>
      </c>
      <c r="S60" s="1362"/>
      <c r="T60" s="1362">
        <v>1E-3</v>
      </c>
      <c r="U60" s="1368"/>
      <c r="V60" s="1362"/>
      <c r="W60" s="1362"/>
      <c r="Z60" s="1366">
        <f t="array" ref="Z60">INDEX($AI$12:$BH$15,MATCH(F60,$AH$12:$AH$15,0),MATCH($AB60&amp;$Z$1,$AI$11:$BH$11&amp;$AI$9:$BH$9,0))/1000</f>
        <v>16.8</v>
      </c>
      <c r="AA60" s="570">
        <f t="array" ref="AA60">(Z60^INDEX(ShipData!$X$36:$X$39,MATCH($F60,ShipData!$U$36:$U$39,0)))*0.756*INDEX(ShipData!$W$36:$W$39,MATCH($F60,ShipData!$U$36:$U$39,0))</f>
        <v>15932.009016151462</v>
      </c>
      <c r="AB60" s="570" t="s">
        <v>1190</v>
      </c>
      <c r="AC60" s="548" t="s">
        <v>1186</v>
      </c>
      <c r="AD60" s="570" t="s">
        <v>1335</v>
      </c>
      <c r="AH60" s="575"/>
      <c r="AI60" s="575"/>
    </row>
    <row r="61" spans="3:35">
      <c r="C61" s="1149" t="str">
        <f t="shared" si="3"/>
        <v>TFSSH2ICR2N</v>
      </c>
      <c r="D61" s="1149"/>
      <c r="E61" s="1387" t="s">
        <v>1181</v>
      </c>
      <c r="F61" s="1386" t="s">
        <v>1336</v>
      </c>
      <c r="G61" s="1386">
        <v>2020</v>
      </c>
      <c r="H61" s="1374" t="s">
        <v>1175</v>
      </c>
      <c r="I61" s="1375">
        <f t="array" ref="I61">INDEX($AI$12:$BH$15,MATCH(F61,$AH$12:$AH$15,0),MATCH(I$1&amp;$AB61,$AI$9:$BH$9&amp;$AI$11:$BH$11,0))</f>
        <v>1002</v>
      </c>
      <c r="J61" s="1375">
        <f t="shared" si="5"/>
        <v>1002</v>
      </c>
      <c r="K61" s="1375">
        <v>925</v>
      </c>
      <c r="L61" s="1399">
        <v>1668</v>
      </c>
      <c r="M61" s="1398">
        <f t="array" ref="M61">1/(INDEX($AI$12:$BH$15,MATCH($F61,$AH$12:$AH$15,0),MATCH(($G61&amp;M$1)&amp;$AB61,$AI$9:$BH$9&amp;$AI$11:$BH$11,0))/1.852)</f>
        <v>1.7403348779577166</v>
      </c>
      <c r="N61" s="1398">
        <f t="shared" si="6"/>
        <v>1.7403348779577166</v>
      </c>
      <c r="O61" s="1374">
        <v>30</v>
      </c>
      <c r="P61" s="1398"/>
      <c r="Q61" s="1398">
        <f t="shared" si="7"/>
        <v>981.16911786025037</v>
      </c>
      <c r="R61" s="1398">
        <f t="array" ref="R61">(AA61*(INDEX(ShipData!$P$19:$R$26,MATCH($AC61,ShipData!$N$19:$N$26,0),MATCH($AD61,ShipData!$P$18:$R$18,0))+INDEX(ShipData!$P$30:$R$37,MATCH($AC61,ShipData!$N$30:$N$37,0),MATCH($AD61,ShipData!$P$29:$R$29,0)))+K61*0.1*(1/M61)*INDEX(ShipData!$P$41:$R$48,MATCH($AC61,ShipData!$N$41:$N$48,0),MATCH($AD61,ShipData!$P$40:$R$40,0)))*6.5/1000</f>
        <v>28033.403367435723</v>
      </c>
      <c r="S61" s="1374"/>
      <c r="T61" s="1374">
        <v>1E-3</v>
      </c>
      <c r="U61" s="1385"/>
      <c r="V61" s="1374"/>
      <c r="W61" s="1448"/>
      <c r="Z61" s="1366">
        <f t="array" ref="Z61">INDEX($AI$12:$BH$15,MATCH(F61,$AH$12:$AH$15,0),MATCH($AB61&amp;$Z$1,$AI$11:$BH$11&amp;$AI$9:$BH$9,0))/1000</f>
        <v>1.4314285714285715</v>
      </c>
      <c r="AA61" s="570">
        <f t="array" ref="AA61">(Z61^INDEX(ShipData!$X$36:$X$39,MATCH($F61,ShipData!$U$36:$U$39,0)))*0.756*INDEX(ShipData!$W$36:$W$39,MATCH($F61,ShipData!$U$36:$U$39,0))</f>
        <v>1715.2886160618959</v>
      </c>
      <c r="AB61" s="570" t="s">
        <v>1178</v>
      </c>
      <c r="AC61" s="548" t="s">
        <v>1186</v>
      </c>
      <c r="AD61" s="570" t="s">
        <v>1335</v>
      </c>
      <c r="AH61" s="575"/>
      <c r="AI61" s="575"/>
    </row>
    <row r="62" spans="3:35">
      <c r="C62" s="570" t="str">
        <f t="shared" si="3"/>
        <v>TFSMNGICL2N</v>
      </c>
      <c r="E62" s="555" t="s">
        <v>1177</v>
      </c>
      <c r="F62" s="548" t="s">
        <v>1340</v>
      </c>
      <c r="G62" s="548">
        <v>2020</v>
      </c>
      <c r="H62" s="1362" t="s">
        <v>1175</v>
      </c>
      <c r="I62" s="1363">
        <f t="array" ref="I62">INDEX($AI$12:$BH$15,MATCH(F62,$AH$12:$AH$15,0),MATCH(I$1&amp;$AB62,$AI$9:$BH$9&amp;$AI$11:$BH$11,0))</f>
        <v>3045.9905660377353</v>
      </c>
      <c r="J62" s="1363">
        <f t="shared" si="5"/>
        <v>3045.9905660377353</v>
      </c>
      <c r="K62" s="1363">
        <v>46488</v>
      </c>
      <c r="L62" s="1362">
        <v>83879</v>
      </c>
      <c r="M62" s="1366">
        <f t="array" ref="M62">1/(INDEX($AI$12:$BH$15,MATCH($F62,$AH$12:$AH$15,0),MATCH(($G62&amp;M$1)&amp;$AB62,$AI$9:$BH$9&amp;$AI$11:$BH$11,0))/1.852)</f>
        <v>1.4081877865043426</v>
      </c>
      <c r="N62" s="1366">
        <f t="shared" si="6"/>
        <v>1.4081877865043426</v>
      </c>
      <c r="O62" s="1362">
        <v>30</v>
      </c>
      <c r="P62" s="1366"/>
      <c r="Q62" s="1366">
        <f t="shared" si="7"/>
        <v>2489.9101158561016</v>
      </c>
      <c r="R62" s="1366">
        <f t="array" ref="R62">(AA62*(INDEX(ShipData!$P$19:$R$26,MATCH($AC62,ShipData!$N$19:$N$26,0),MATCH($AD62,ShipData!$P$18:$R$18,0))+INDEX(ShipData!$P$30:$R$37,MATCH($AC62,ShipData!$N$30:$N$37,0),MATCH($AD62,ShipData!$P$29:$R$29,0)))+K62*0.1*(1/M62)*INDEX(ShipData!$P$41:$R$48,MATCH($AC62,ShipData!$N$41:$N$48,0),MATCH($AD62,ShipData!$P$40:$R$40,0)))*6.5/1000</f>
        <v>71140.289024460042</v>
      </c>
      <c r="S62" s="1362"/>
      <c r="T62" s="1362">
        <v>1E-3</v>
      </c>
      <c r="U62" s="1368"/>
      <c r="V62" s="1362"/>
      <c r="W62" s="1362"/>
      <c r="Z62" s="1366">
        <f t="array" ref="Z62">INDEX($AI$12:$BH$15,MATCH(F62,$AH$12:$AH$15,0),MATCH($AB62&amp;$Z$1,$AI$11:$BH$11&amp;$AI$9:$BH$9,0))/1000</f>
        <v>5.9433962264150946</v>
      </c>
      <c r="AA62" s="570">
        <f t="array" ref="AA62">(Z62^INDEX(ShipData!$X$36:$X$39,MATCH($F62,ShipData!$U$36:$U$39,0)))*0.756*INDEX(ShipData!$W$36:$W$39,MATCH($F62,ShipData!$U$36:$U$39,0))</f>
        <v>3369.7610132900404</v>
      </c>
      <c r="AB62" s="570" t="s">
        <v>1174</v>
      </c>
      <c r="AC62" s="548" t="s">
        <v>1198</v>
      </c>
      <c r="AD62" s="570" t="s">
        <v>1338</v>
      </c>
      <c r="AH62" s="575"/>
      <c r="AI62" s="575"/>
    </row>
    <row r="63" spans="3:35">
      <c r="C63" s="570" t="str">
        <f t="shared" si="3"/>
        <v>TFSLNGICL2N</v>
      </c>
      <c r="E63" s="555" t="s">
        <v>1177</v>
      </c>
      <c r="F63" s="548" t="s">
        <v>1340</v>
      </c>
      <c r="G63" s="548">
        <v>2020</v>
      </c>
      <c r="H63" s="1362" t="s">
        <v>1175</v>
      </c>
      <c r="I63" s="1363">
        <f t="array" ref="I63">INDEX($AI$12:$BH$15,MATCH(F63,$AH$12:$AH$15,0),MATCH(I$1&amp;$AB63,$AI$9:$BH$9&amp;$AI$11:$BH$11,0))</f>
        <v>7427.5362318840562</v>
      </c>
      <c r="J63" s="1363">
        <f t="shared" si="5"/>
        <v>7427.5362318840562</v>
      </c>
      <c r="K63" s="1363">
        <v>25616</v>
      </c>
      <c r="L63" s="1362">
        <v>46219</v>
      </c>
      <c r="M63" s="1366">
        <f t="array" ref="M63">1/(INDEX($AI$12:$BH$15,MATCH($F63,$AH$12:$AH$15,0),MATCH(($G63&amp;M$1)&amp;$AB63,$AI$9:$BH$9&amp;$AI$11:$BH$11,0))/1.852)</f>
        <v>0.84765820280384263</v>
      </c>
      <c r="N63" s="1366">
        <f t="shared" si="6"/>
        <v>0.84765820280384263</v>
      </c>
      <c r="O63" s="1362">
        <v>30</v>
      </c>
      <c r="P63" s="1366"/>
      <c r="Q63" s="1366">
        <f t="shared" si="7"/>
        <v>4044.8130767913985</v>
      </c>
      <c r="R63" s="1366">
        <f t="array" ref="R63">(AA63*(INDEX(ShipData!$P$19:$R$26,MATCH($AC63,ShipData!$N$19:$N$26,0),MATCH($AD63,ShipData!$P$18:$R$18,0))+INDEX(ShipData!$P$30:$R$37,MATCH($AC63,ShipData!$N$30:$N$37,0),MATCH($AD63,ShipData!$P$29:$R$29,0)))+K63*0.1*(1/M63)*INDEX(ShipData!$P$41:$R$48,MATCH($AC63,ShipData!$N$41:$N$48,0),MATCH($AD63,ShipData!$P$40:$R$40,0)))*6.5/1000</f>
        <v>115566.08790832566</v>
      </c>
      <c r="S63" s="1362"/>
      <c r="T63" s="1362">
        <v>1E-3</v>
      </c>
      <c r="U63" s="1368"/>
      <c r="V63" s="1362"/>
      <c r="W63" s="1362"/>
      <c r="Z63" s="1366">
        <f t="array" ref="Z63">INDEX($AI$12:$BH$15,MATCH(F63,$AH$12:$AH$15,0),MATCH($AB63&amp;$Z$1,$AI$11:$BH$11&amp;$AI$9:$BH$9,0))/1000</f>
        <v>14.492753623188404</v>
      </c>
      <c r="AA63" s="570">
        <f t="array" ref="AA63">(Z63^INDEX(ShipData!$X$36:$X$39,MATCH($F63,ShipData!$U$36:$U$39,0)))*0.756*INDEX(ShipData!$W$36:$W$39,MATCH($F63,ShipData!$U$36:$U$39,0))</f>
        <v>5556.1159914410127</v>
      </c>
      <c r="AB63" s="570" t="s">
        <v>1190</v>
      </c>
      <c r="AC63" s="548" t="s">
        <v>1198</v>
      </c>
      <c r="AD63" s="570" t="s">
        <v>1338</v>
      </c>
      <c r="AH63" s="575"/>
      <c r="AI63" s="575"/>
    </row>
    <row r="64" spans="3:35">
      <c r="C64" s="570" t="str">
        <f t="shared" si="3"/>
        <v>TFSSNGICL2N</v>
      </c>
      <c r="E64" s="555" t="s">
        <v>1177</v>
      </c>
      <c r="F64" s="548" t="s">
        <v>1340</v>
      </c>
      <c r="G64" s="548">
        <v>2020</v>
      </c>
      <c r="H64" s="1362" t="s">
        <v>1175</v>
      </c>
      <c r="I64" s="1363">
        <f t="array" ref="I64">INDEX($AI$12:$BH$15,MATCH(F64,$AH$12:$AH$15,0),MATCH(I$1&amp;$AB64,$AI$9:$BH$9&amp;$AI$11:$BH$11,0))</f>
        <v>810</v>
      </c>
      <c r="J64" s="1363">
        <f t="shared" si="5"/>
        <v>810</v>
      </c>
      <c r="K64" s="1363">
        <v>3985</v>
      </c>
      <c r="L64" s="1362">
        <v>7190</v>
      </c>
      <c r="M64" s="1366">
        <f t="array" ref="M64">1/(INDEX($AI$12:$BH$15,MATCH($F64,$AH$12:$AH$15,0),MATCH(($G64&amp;M$1)&amp;$AB64,$AI$9:$BH$9&amp;$AI$11:$BH$11,0))/1.852)</f>
        <v>2.3752039567310899</v>
      </c>
      <c r="N64" s="1366">
        <f t="shared" si="6"/>
        <v>2.3752039567310899</v>
      </c>
      <c r="O64" s="1362">
        <v>30</v>
      </c>
      <c r="P64" s="1366"/>
      <c r="Q64" s="1366">
        <f t="shared" si="7"/>
        <v>1149.2312119016026</v>
      </c>
      <c r="R64" s="1366">
        <f t="array" ref="R64">(AA64*(INDEX(ShipData!$P$19:$R$26,MATCH($AC64,ShipData!$N$19:$N$26,0),MATCH($AD64,ShipData!$P$18:$R$18,0))+INDEX(ShipData!$P$30:$R$37,MATCH($AC64,ShipData!$N$30:$N$37,0),MATCH($AD64,ShipData!$P$29:$R$29,0)))+K64*0.1*(1/M64)*INDEX(ShipData!$P$41:$R$48,MATCH($AC64,ShipData!$N$41:$N$48,0),MATCH($AD64,ShipData!$P$40:$R$40,0)))*6.5/1000</f>
        <v>32835.177482902931</v>
      </c>
      <c r="S64" s="1362"/>
      <c r="T64" s="1362">
        <v>1E-3</v>
      </c>
      <c r="U64" s="1368"/>
      <c r="V64" s="1362"/>
      <c r="W64" s="1362"/>
      <c r="Z64" s="1366">
        <f t="array" ref="Z64">INDEX($AI$12:$BH$15,MATCH(F64,$AH$12:$AH$15,0),MATCH($AB64&amp;$Z$1,$AI$11:$BH$11&amp;$AI$9:$BH$9,0))/1000</f>
        <v>1.5804878048780491</v>
      </c>
      <c r="AA64" s="570">
        <f t="array" ref="AA64">(Z64^INDEX(ShipData!$X$36:$X$39,MATCH($F64,ShipData!$U$36:$U$39,0)))*0.756*INDEX(ShipData!$W$36:$W$39,MATCH($F64,ShipData!$U$36:$U$39,0))</f>
        <v>1602.8300580975306</v>
      </c>
      <c r="AB64" s="570" t="s">
        <v>1178</v>
      </c>
      <c r="AC64" s="548" t="s">
        <v>1198</v>
      </c>
      <c r="AD64" s="570" t="s">
        <v>1338</v>
      </c>
      <c r="AH64" s="575"/>
      <c r="AI64" s="575"/>
    </row>
    <row r="65" spans="3:35">
      <c r="C65" s="570" t="str">
        <f t="shared" si="3"/>
        <v>TFSMNGICD2N</v>
      </c>
      <c r="E65" s="555" t="s">
        <v>1177</v>
      </c>
      <c r="F65" s="548" t="s">
        <v>1339</v>
      </c>
      <c r="G65" s="548">
        <v>2020</v>
      </c>
      <c r="H65" s="1362" t="s">
        <v>1175</v>
      </c>
      <c r="I65" s="1363">
        <f t="array" ref="I65">INDEX($AI$12:$BH$15,MATCH(F65,$AH$12:$AH$15,0),MATCH(I$1&amp;$AB65,$AI$9:$BH$9&amp;$AI$11:$BH$11,0))</f>
        <v>4174</v>
      </c>
      <c r="J65" s="1363">
        <f t="shared" si="5"/>
        <v>4174</v>
      </c>
      <c r="K65" s="1363">
        <v>17027</v>
      </c>
      <c r="L65" s="1397">
        <v>30722</v>
      </c>
      <c r="M65" s="1366">
        <f t="array" ref="M65">1/(INDEX($AI$12:$BH$15,MATCH($F65,$AH$12:$AH$15,0),MATCH(($G65&amp;M$1)&amp;$AB65,$AI$9:$BH$9&amp;$AI$11:$BH$11,0))/1.852)</f>
        <v>1.9439057414379413</v>
      </c>
      <c r="N65" s="1366">
        <f t="shared" si="6"/>
        <v>1.9439057414379413</v>
      </c>
      <c r="O65" s="1362">
        <v>30</v>
      </c>
      <c r="P65" s="1366"/>
      <c r="Q65" s="1366">
        <f t="shared" si="7"/>
        <v>2479.2538309983424</v>
      </c>
      <c r="R65" s="1366">
        <f t="array" ref="R65">(AA65*(INDEX(ShipData!$P$19:$R$26,MATCH($AC65,ShipData!$N$19:$N$26,0),MATCH($AD65,ShipData!$P$18:$R$18,0))+INDEX(ShipData!$P$30:$R$37,MATCH($AC65,ShipData!$N$30:$N$37,0),MATCH($AD65,ShipData!$P$29:$R$29,0)))+K65*0.1*(1/M65)*INDEX(ShipData!$P$41:$R$48,MATCH($AC65,ShipData!$N$41:$N$48,0),MATCH($AD65,ShipData!$P$40:$R$40,0)))*6.5/1000</f>
        <v>70835.823742809778</v>
      </c>
      <c r="S65" s="1362"/>
      <c r="T65" s="1362">
        <v>1E-3</v>
      </c>
      <c r="U65" s="1368"/>
      <c r="V65" s="1362"/>
      <c r="W65" s="1362"/>
      <c r="Z65" s="1366">
        <f t="array" ref="Z65">INDEX($AI$12:$BH$15,MATCH(F65,$AH$12:$AH$15,0),MATCH($AB65&amp;$Z$1,$AI$11:$BH$11&amp;$AI$9:$BH$9,0))/1000</f>
        <v>6.956666666666667</v>
      </c>
      <c r="AA65" s="570">
        <f t="array" ref="AA65">(Z65^INDEX(ShipData!$X$36:$X$39,MATCH($F65,ShipData!$U$36:$U$39,0)))*0.756*INDEX(ShipData!$W$36:$W$39,MATCH($F65,ShipData!$U$36:$U$39,0))</f>
        <v>3439.8048335584949</v>
      </c>
      <c r="AB65" s="570" t="s">
        <v>1174</v>
      </c>
      <c r="AC65" s="548" t="s">
        <v>1198</v>
      </c>
      <c r="AD65" s="570" t="s">
        <v>1338</v>
      </c>
      <c r="AH65" s="575"/>
      <c r="AI65" s="575"/>
    </row>
    <row r="66" spans="3:35">
      <c r="C66" s="570" t="str">
        <f t="shared" si="3"/>
        <v>TFSLNGICD2N</v>
      </c>
      <c r="E66" s="555" t="s">
        <v>1177</v>
      </c>
      <c r="F66" s="548" t="s">
        <v>1339</v>
      </c>
      <c r="G66" s="548">
        <v>2020</v>
      </c>
      <c r="H66" s="1362" t="s">
        <v>1175</v>
      </c>
      <c r="I66" s="1363">
        <f t="array" ref="I66">INDEX($AI$12:$BH$15,MATCH(F66,$AH$12:$AH$15,0),MATCH(I$1&amp;$AB66,$AI$9:$BH$9&amp;$AI$11:$BH$11,0))</f>
        <v>9000</v>
      </c>
      <c r="J66" s="1363">
        <f t="shared" si="5"/>
        <v>9000</v>
      </c>
      <c r="K66" s="1363">
        <v>3330</v>
      </c>
      <c r="L66" s="1397">
        <v>6009</v>
      </c>
      <c r="M66" s="1366">
        <f t="array" ref="M66">1/(INDEX($AI$12:$BH$15,MATCH($F66,$AH$12:$AH$15,0),MATCH(($G66&amp;M$1)&amp;$AB66,$AI$9:$BH$9&amp;$AI$11:$BH$11,0))/1.852)</f>
        <v>1.1737776538064364</v>
      </c>
      <c r="N66" s="1366">
        <f t="shared" si="6"/>
        <v>1.1737776538064364</v>
      </c>
      <c r="O66" s="1362">
        <v>30</v>
      </c>
      <c r="P66" s="1366"/>
      <c r="Q66" s="1366">
        <f t="shared" si="7"/>
        <v>3841.2640501119472</v>
      </c>
      <c r="R66" s="1366">
        <f t="array" ref="R66">(AA66*(INDEX(ShipData!$P$19:$R$26,MATCH($AC66,ShipData!$N$19:$N$26,0),MATCH($AD66,ShipData!$P$18:$R$18,0))+INDEX(ShipData!$P$30:$R$37,MATCH($AC66,ShipData!$N$30:$N$37,0),MATCH($AD66,ShipData!$P$29:$R$29,0)))+K66*0.1*(1/M66)*INDEX(ShipData!$P$41:$R$48,MATCH($AC66,ShipData!$N$41:$N$48,0),MATCH($AD66,ShipData!$P$40:$R$40,0)))*6.5/1000</f>
        <v>109750.4014317699</v>
      </c>
      <c r="S66" s="1362"/>
      <c r="T66" s="1362">
        <v>1E-3</v>
      </c>
      <c r="U66" s="1368"/>
      <c r="V66" s="1362"/>
      <c r="W66" s="1362"/>
      <c r="Z66" s="1366">
        <f t="array" ref="Z66">INDEX($AI$12:$BH$15,MATCH(F66,$AH$12:$AH$15,0),MATCH($AB66&amp;$Z$1,$AI$11:$BH$11&amp;$AI$9:$BH$9,0))/1000</f>
        <v>15</v>
      </c>
      <c r="AA66" s="570">
        <f t="array" ref="AA66">(Z66^INDEX(ShipData!$X$36:$X$39,MATCH($F66,ShipData!$U$36:$U$39,0)))*0.756*INDEX(ShipData!$W$36:$W$39,MATCH($F66,ShipData!$U$36:$U$39,0))</f>
        <v>5367.1081902406004</v>
      </c>
      <c r="AB66" s="570" t="s">
        <v>1190</v>
      </c>
      <c r="AC66" s="548" t="s">
        <v>1198</v>
      </c>
      <c r="AD66" s="570" t="s">
        <v>1338</v>
      </c>
      <c r="AH66" s="575"/>
      <c r="AI66" s="575"/>
    </row>
    <row r="67" spans="3:35">
      <c r="C67" s="570" t="str">
        <f t="shared" si="3"/>
        <v>TFSSNGICD2N</v>
      </c>
      <c r="E67" s="555" t="s">
        <v>1177</v>
      </c>
      <c r="F67" s="548" t="s">
        <v>1339</v>
      </c>
      <c r="G67" s="548">
        <v>2020</v>
      </c>
      <c r="H67" s="1362" t="s">
        <v>1175</v>
      </c>
      <c r="I67" s="1363">
        <f t="array" ref="I67">INDEX($AI$12:$BH$15,MATCH(F67,$AH$12:$AH$15,0),MATCH(I$1&amp;$AB67,$AI$9:$BH$9&amp;$AI$11:$BH$11,0))</f>
        <v>1527</v>
      </c>
      <c r="J67" s="1363">
        <f t="shared" si="5"/>
        <v>1527</v>
      </c>
      <c r="K67" s="1363">
        <v>830</v>
      </c>
      <c r="L67" s="1397">
        <v>1498</v>
      </c>
      <c r="M67" s="1366">
        <f t="array" ref="M67">1/(INDEX($AI$12:$BH$15,MATCH($F67,$AH$12:$AH$15,0),MATCH(($G67&amp;M$1)&amp;$AB67,$AI$9:$BH$9&amp;$AI$11:$BH$11,0))/1.852)</f>
        <v>3.4190010788978875</v>
      </c>
      <c r="N67" s="1366">
        <f t="shared" si="6"/>
        <v>3.4190010788978875</v>
      </c>
      <c r="O67" s="1362">
        <v>30</v>
      </c>
      <c r="P67" s="1366"/>
      <c r="Q67" s="1366">
        <f t="shared" si="7"/>
        <v>1373.4070595803296</v>
      </c>
      <c r="R67" s="1366">
        <f t="array" ref="R67">(AA67*(INDEX(ShipData!$P$19:$R$26,MATCH($AC67,ShipData!$N$19:$N$26,0),MATCH($AD67,ShipData!$P$18:$R$18,0))+INDEX(ShipData!$P$30:$R$37,MATCH($AC67,ShipData!$N$30:$N$37,0),MATCH($AD67,ShipData!$P$29:$R$29,0)))+K67*0.1*(1/M67)*INDEX(ShipData!$P$41:$R$48,MATCH($AC67,ShipData!$N$41:$N$48,0),MATCH($AD67,ShipData!$P$40:$R$40,0)))*6.5/1000</f>
        <v>39240.201702295126</v>
      </c>
      <c r="S67" s="1362"/>
      <c r="T67" s="1362">
        <v>1E-3</v>
      </c>
      <c r="U67" s="1368"/>
      <c r="V67" s="1362"/>
      <c r="W67" s="1362"/>
      <c r="Z67" s="1366">
        <f t="array" ref="Z67">INDEX($AI$12:$BH$15,MATCH(F67,$AH$12:$AH$15,0),MATCH($AB67&amp;$Z$1,$AI$11:$BH$11&amp;$AI$9:$BH$9,0))/1000</f>
        <v>2.5449999999999999</v>
      </c>
      <c r="AA67" s="570">
        <f t="array" ref="AA67">(Z67^INDEX(ShipData!$X$36:$X$39,MATCH($F67,ShipData!$U$36:$U$39,0)))*0.756*INDEX(ShipData!$W$36:$W$39,MATCH($F67,ShipData!$U$36:$U$39,0))</f>
        <v>1921.6608368614334</v>
      </c>
      <c r="AB67" s="570" t="s">
        <v>1178</v>
      </c>
      <c r="AC67" s="548" t="s">
        <v>1198</v>
      </c>
      <c r="AD67" s="570" t="s">
        <v>1338</v>
      </c>
      <c r="AH67" s="575"/>
      <c r="AI67" s="575"/>
    </row>
    <row r="68" spans="3:35">
      <c r="C68" s="570" t="str">
        <f t="shared" si="3"/>
        <v>TFSMNGICC2N</v>
      </c>
      <c r="E68" s="555" t="s">
        <v>1177</v>
      </c>
      <c r="F68" s="548" t="s">
        <v>1337</v>
      </c>
      <c r="G68" s="548">
        <v>2020</v>
      </c>
      <c r="H68" s="1362" t="s">
        <v>1175</v>
      </c>
      <c r="I68" s="1363">
        <f t="array" ref="I68">INDEX($AI$12:$BH$15,MATCH(F68,$AH$12:$AH$15,0),MATCH(I$1&amp;$AB68,$AI$9:$BH$9&amp;$AI$11:$BH$11,0))</f>
        <v>4900</v>
      </c>
      <c r="J68" s="1363">
        <f t="shared" si="5"/>
        <v>4900</v>
      </c>
      <c r="K68" s="1363">
        <v>0</v>
      </c>
      <c r="L68" s="1397">
        <v>0</v>
      </c>
      <c r="M68" s="1366">
        <f t="array" ref="M68">1/(INDEX($AI$12:$BH$15,MATCH($F68,$AH$12:$AH$15,0),MATCH(($G68&amp;M$1)&amp;$AB68,$AI$9:$BH$9&amp;$AI$11:$BH$11,0))/1.852)</f>
        <v>0.87906595126970144</v>
      </c>
      <c r="N68" s="1366">
        <f t="shared" si="6"/>
        <v>0.87906595126970144</v>
      </c>
      <c r="O68" s="1362">
        <v>30</v>
      </c>
      <c r="P68" s="1366"/>
      <c r="Q68" s="1366">
        <f t="shared" si="7"/>
        <v>2939.930137927865</v>
      </c>
      <c r="R68" s="1366">
        <f t="array" ref="R68">(AA68*(INDEX(ShipData!$P$19:$R$26,MATCH($AC68,ShipData!$N$19:$N$26,0),MATCH($AD68,ShipData!$P$18:$R$18,0))+INDEX(ShipData!$P$30:$R$37,MATCH($AC68,ShipData!$N$30:$N$37,0),MATCH($AD68,ShipData!$P$29:$R$29,0)))+K68*0.1*(1/M68)*INDEX(ShipData!$P$41:$R$48,MATCH($AC68,ShipData!$N$41:$N$48,0),MATCH($AD68,ShipData!$P$40:$R$40,0)))*6.5/1000</f>
        <v>83998.00394079613</v>
      </c>
      <c r="S68" s="1362"/>
      <c r="T68" s="1362">
        <v>1E-3</v>
      </c>
      <c r="U68" s="1368"/>
      <c r="V68" s="1362"/>
      <c r="W68" s="1362"/>
      <c r="Z68" s="1366">
        <f t="array" ref="Z68">INDEX($AI$12:$BH$15,MATCH(F68,$AH$12:$AH$15,0),MATCH($AB68&amp;$Z$1,$AI$11:$BH$11&amp;$AI$9:$BH$9,0))/1000</f>
        <v>7</v>
      </c>
      <c r="AA68" s="570">
        <f t="array" ref="AA68">(Z68^INDEX(ShipData!$X$36:$X$39,MATCH($F68,ShipData!$U$36:$U$39,0)))*0.756*INDEX(ShipData!$W$36:$W$39,MATCH($F68,ShipData!$U$36:$U$39,0))</f>
        <v>5483.7455856749639</v>
      </c>
      <c r="AB68" s="570" t="s">
        <v>1174</v>
      </c>
      <c r="AC68" s="548" t="s">
        <v>1198</v>
      </c>
      <c r="AD68" s="570" t="s">
        <v>1335</v>
      </c>
      <c r="AH68" s="575"/>
      <c r="AI68" s="575"/>
    </row>
    <row r="69" spans="3:35">
      <c r="C69" s="570" t="str">
        <f t="shared" si="3"/>
        <v>TFSLNGICC2N</v>
      </c>
      <c r="E69" s="555" t="s">
        <v>1177</v>
      </c>
      <c r="F69" s="548" t="s">
        <v>1337</v>
      </c>
      <c r="G69" s="548">
        <v>2020</v>
      </c>
      <c r="H69" s="1362" t="s">
        <v>1175</v>
      </c>
      <c r="I69" s="1363">
        <f t="array" ref="I69">INDEX($AI$12:$BH$15,MATCH(F69,$AH$12:$AH$15,0),MATCH(I$1&amp;$AB69,$AI$9:$BH$9&amp;$AI$11:$BH$11,0))</f>
        <v>11760</v>
      </c>
      <c r="J69" s="1363">
        <f t="shared" si="5"/>
        <v>11760</v>
      </c>
      <c r="K69" s="1363">
        <v>362</v>
      </c>
      <c r="L69" s="1397">
        <v>653</v>
      </c>
      <c r="M69" s="1366">
        <f t="array" ref="M69">1/(INDEX($AI$12:$BH$15,MATCH($F69,$AH$12:$AH$15,0),MATCH(($G69&amp;M$1)&amp;$AB69,$AI$9:$BH$9&amp;$AI$11:$BH$11,0))/1.852)</f>
        <v>0.40793352062343913</v>
      </c>
      <c r="N69" s="1366">
        <f t="shared" si="6"/>
        <v>0.40793352062343913</v>
      </c>
      <c r="O69" s="1362">
        <v>30</v>
      </c>
      <c r="P69" s="1366"/>
      <c r="Q69" s="1366">
        <f t="shared" si="7"/>
        <v>8118.3628434234024</v>
      </c>
      <c r="R69" s="1366">
        <f t="array" ref="R69">(AA69*(INDEX(ShipData!$P$19:$R$26,MATCH($AC69,ShipData!$N$19:$N$26,0),MATCH($AD69,ShipData!$P$18:$R$18,0))+INDEX(ShipData!$P$30:$R$37,MATCH($AC69,ShipData!$N$30:$N$37,0),MATCH($AD69,ShipData!$P$29:$R$29,0)))+K69*0.1*(1/M69)*INDEX(ShipData!$P$41:$R$48,MATCH($AC69,ShipData!$N$41:$N$48,0),MATCH($AD69,ShipData!$P$40:$R$40,0)))*6.5/1000</f>
        <v>231953.22409781147</v>
      </c>
      <c r="S69" s="1362"/>
      <c r="T69" s="1362">
        <v>1E-3</v>
      </c>
      <c r="U69" s="1368"/>
      <c r="V69" s="1362"/>
      <c r="W69" s="1362"/>
      <c r="Z69" s="1366">
        <f t="array" ref="Z69">INDEX($AI$12:$BH$15,MATCH(F69,$AH$12:$AH$15,0),MATCH($AB69&amp;$Z$1,$AI$11:$BH$11&amp;$AI$9:$BH$9,0))/1000</f>
        <v>16.8</v>
      </c>
      <c r="AA69" s="570">
        <f t="array" ref="AA69">(Z69^INDEX(ShipData!$X$36:$X$39,MATCH($F69,ShipData!$U$36:$U$39,0)))*0.756*INDEX(ShipData!$W$36:$W$39,MATCH($F69,ShipData!$U$36:$U$39,0))</f>
        <v>15139.876697863274</v>
      </c>
      <c r="AB69" s="570" t="s">
        <v>1190</v>
      </c>
      <c r="AC69" s="548" t="s">
        <v>1198</v>
      </c>
      <c r="AD69" s="570" t="s">
        <v>1335</v>
      </c>
      <c r="AH69" s="575"/>
      <c r="AI69" s="575"/>
    </row>
    <row r="70" spans="3:35">
      <c r="C70" s="570" t="str">
        <f t="shared" si="3"/>
        <v>TFSSNGICC2N</v>
      </c>
      <c r="E70" s="555" t="s">
        <v>1177</v>
      </c>
      <c r="F70" s="548" t="s">
        <v>1337</v>
      </c>
      <c r="G70" s="548">
        <v>2020</v>
      </c>
      <c r="H70" s="1362" t="s">
        <v>1175</v>
      </c>
      <c r="I70" s="1363">
        <f t="array" ref="I70">INDEX($AI$12:$BH$15,MATCH(F70,$AH$12:$AH$15,0),MATCH(I$1&amp;$AB70,$AI$9:$BH$9&amp;$AI$11:$BH$11,0))</f>
        <v>2450</v>
      </c>
      <c r="J70" s="1363">
        <f t="shared" si="5"/>
        <v>2450</v>
      </c>
      <c r="K70" s="1363">
        <v>579</v>
      </c>
      <c r="L70" s="1397">
        <v>1045</v>
      </c>
      <c r="M70" s="1366">
        <f t="array" ref="M70">1/(INDEX($AI$12:$BH$15,MATCH($F70,$AH$12:$AH$15,0),MATCH(($G70&amp;M$1)&amp;$AB70,$AI$9:$BH$9&amp;$AI$11:$BH$11,0))/1.852)</f>
        <v>1.7403348779577166</v>
      </c>
      <c r="N70" s="1366">
        <f t="shared" si="6"/>
        <v>1.7403348779577166</v>
      </c>
      <c r="O70" s="1362">
        <v>30</v>
      </c>
      <c r="P70" s="1366"/>
      <c r="Q70" s="1366">
        <f t="shared" si="7"/>
        <v>1316.2610942662611</v>
      </c>
      <c r="R70" s="1366">
        <f t="array" ref="R70">(AA70*(INDEX(ShipData!$P$19:$R$26,MATCH($AC70,ShipData!$N$19:$N$26,0),MATCH($AD70,ShipData!$P$18:$R$18,0))+INDEX(ShipData!$P$30:$R$37,MATCH($AC70,ShipData!$N$30:$N$37,0),MATCH($AD70,ShipData!$P$29:$R$29,0)))+K70*0.1*(1/M70)*INDEX(ShipData!$P$41:$R$48,MATCH($AC70,ShipData!$N$41:$N$48,0),MATCH($AD70,ShipData!$P$40:$R$40,0)))*6.5/1000</f>
        <v>37607.459836178889</v>
      </c>
      <c r="S70" s="1362"/>
      <c r="T70" s="1362">
        <v>1E-3</v>
      </c>
      <c r="U70" s="1368"/>
      <c r="V70" s="1362"/>
      <c r="W70" s="1362"/>
      <c r="Z70" s="1366">
        <f t="array" ref="Z70">INDEX($AI$12:$BH$15,MATCH(F70,$AH$12:$AH$15,0),MATCH($AB70&amp;$Z$1,$AI$11:$BH$11&amp;$AI$9:$BH$9,0))/1000</f>
        <v>3.5</v>
      </c>
      <c r="AA70" s="570">
        <f t="array" ref="AA70">(Z70^INDEX(ShipData!$X$36:$X$39,MATCH($F70,ShipData!$U$36:$U$39,0)))*0.756*INDEX(ShipData!$W$36:$W$39,MATCH($F70,ShipData!$U$36:$U$39,0))</f>
        <v>2454.0448908848457</v>
      </c>
      <c r="AB70" s="570" t="s">
        <v>1178</v>
      </c>
      <c r="AC70" s="548" t="s">
        <v>1198</v>
      </c>
      <c r="AD70" s="570" t="s">
        <v>1335</v>
      </c>
      <c r="AH70" s="575"/>
      <c r="AI70" s="575"/>
    </row>
    <row r="71" spans="3:35">
      <c r="C71" s="570" t="str">
        <f t="shared" si="3"/>
        <v>TFSMNGICR2N</v>
      </c>
      <c r="E71" s="555" t="s">
        <v>1177</v>
      </c>
      <c r="F71" s="548" t="s">
        <v>1336</v>
      </c>
      <c r="G71" s="548">
        <v>2020</v>
      </c>
      <c r="H71" s="1362" t="s">
        <v>1175</v>
      </c>
      <c r="I71" s="1363">
        <f t="array" ref="I71">INDEX($AI$12:$BH$15,MATCH(F71,$AH$12:$AH$15,0),MATCH(I$1&amp;$AB71,$AI$9:$BH$9&amp;$AI$11:$BH$11,0))</f>
        <v>3608</v>
      </c>
      <c r="J71" s="1363">
        <f t="shared" ref="J71:J73" si="8">I71</f>
        <v>3608</v>
      </c>
      <c r="K71" s="1363">
        <v>38287</v>
      </c>
      <c r="L71" s="1397">
        <v>69083</v>
      </c>
      <c r="M71" s="1366">
        <f t="array" ref="M71">1/(INDEX($AI$12:$BH$15,MATCH($F71,$AH$12:$AH$15,0),MATCH(($G71&amp;M$1)&amp;$AB71,$AI$9:$BH$9&amp;$AI$11:$BH$11,0))/1.852)</f>
        <v>0.87906595126970144</v>
      </c>
      <c r="N71" s="1366">
        <f t="shared" ref="N71:N73" si="9">M71</f>
        <v>0.87906595126970144</v>
      </c>
      <c r="O71" s="1362">
        <v>30</v>
      </c>
      <c r="P71" s="1366"/>
      <c r="Q71" s="1366">
        <f t="shared" si="7"/>
        <v>3011.0922283526829</v>
      </c>
      <c r="R71" s="1366">
        <f t="array" ref="R71">(AA71*(INDEX(ShipData!$P$19:$R$26,MATCH($AC71,ShipData!$N$19:$N$26,0),MATCH($AD71,ShipData!$P$18:$R$18,0))+INDEX(ShipData!$P$30:$R$37,MATCH($AC71,ShipData!$N$30:$N$37,0),MATCH($AD71,ShipData!$P$29:$R$29,0)))+K71*0.1*(1/M71)*INDEX(ShipData!$P$41:$R$48,MATCH($AC71,ShipData!$N$41:$N$48,0),MATCH($AD71,ShipData!$P$40:$R$40,0)))*6.5/1000</f>
        <v>86031.206524362366</v>
      </c>
      <c r="S71" s="1362"/>
      <c r="T71" s="1362">
        <v>1E-3</v>
      </c>
      <c r="U71" s="1368"/>
      <c r="V71" s="1362"/>
      <c r="W71" s="1362"/>
      <c r="Z71" s="1366">
        <f t="array" ref="Z71">INDEX($AI$12:$BH$15,MATCH(F71,$AH$12:$AH$15,0),MATCH($AB71&amp;$Z$1,$AI$11:$BH$11&amp;$AI$9:$BH$9,0))/1000</f>
        <v>5.1542857142857148</v>
      </c>
      <c r="AA71" s="570">
        <f t="array" ref="AA71">(Z71^INDEX(ShipData!$X$36:$X$39,MATCH($F71,ShipData!$U$36:$U$39,0)))*0.756*INDEX(ShipData!$W$36:$W$39,MATCH($F71,ShipData!$U$36:$U$39,0))</f>
        <v>5468.6247789018307</v>
      </c>
      <c r="AB71" s="570" t="s">
        <v>1174</v>
      </c>
      <c r="AC71" s="548" t="s">
        <v>1198</v>
      </c>
      <c r="AD71" s="570" t="s">
        <v>1335</v>
      </c>
      <c r="AH71" s="575"/>
      <c r="AI71" s="575"/>
    </row>
    <row r="72" spans="3:35">
      <c r="C72" s="1149" t="str">
        <f t="shared" si="3"/>
        <v>TFSLNGICR2N</v>
      </c>
      <c r="D72" s="1149"/>
      <c r="E72" s="1387" t="s">
        <v>1177</v>
      </c>
      <c r="F72" s="1386" t="s">
        <v>1336</v>
      </c>
      <c r="G72" s="1386">
        <v>2020</v>
      </c>
      <c r="H72" s="1374" t="s">
        <v>1175</v>
      </c>
      <c r="I72" s="1375">
        <f t="array" ref="I72">INDEX($AI$12:$BH$15,MATCH(F72,$AH$12:$AH$15,0),MATCH(I$1&amp;$AB72,$AI$9:$BH$9&amp;$AI$11:$BH$11,0))</f>
        <v>11760</v>
      </c>
      <c r="J72" s="1375">
        <f t="shared" si="8"/>
        <v>11760</v>
      </c>
      <c r="K72" s="1375">
        <v>925</v>
      </c>
      <c r="L72" s="1399">
        <v>1668</v>
      </c>
      <c r="M72" s="1398">
        <f t="array" ref="M72">1/(INDEX($AI$12:$BH$15,MATCH($F72,$AH$12:$AH$15,0),MATCH(($G72&amp;M$1)&amp;$AB72,$AI$9:$BH$9&amp;$AI$11:$BH$11,0))/1.852)</f>
        <v>0.40793352062343913</v>
      </c>
      <c r="N72" s="1398">
        <f t="shared" si="9"/>
        <v>0.40793352062343913</v>
      </c>
      <c r="O72" s="1374">
        <v>30</v>
      </c>
      <c r="P72" s="1398"/>
      <c r="Q72" s="1398">
        <f t="shared" si="7"/>
        <v>8545.5504071922896</v>
      </c>
      <c r="R72" s="1398">
        <f t="array" ref="R72">(AA72*(INDEX(ShipData!$P$19:$R$26,MATCH($AC72,ShipData!$N$19:$N$26,0),MATCH($AD72,ShipData!$P$18:$R$18,0))+INDEX(ShipData!$P$30:$R$37,MATCH($AC72,ShipData!$N$30:$N$37,0),MATCH($AD72,ShipData!$P$29:$R$29,0)))+K72*0.1*(1/M72)*INDEX(ShipData!$P$41:$R$48,MATCH($AC72,ShipData!$N$41:$N$48,0),MATCH($AD72,ShipData!$P$40:$R$40,0)))*6.5/1000</f>
        <v>244158.58306263684</v>
      </c>
      <c r="S72" s="1374"/>
      <c r="T72" s="1374">
        <v>1E-3</v>
      </c>
      <c r="U72" s="1385"/>
      <c r="V72" s="1374"/>
      <c r="W72" s="1448"/>
      <c r="Z72" s="1366">
        <f t="array" ref="Z72">INDEX($AI$12:$BH$15,MATCH(F72,$AH$12:$AH$15,0),MATCH($AB72&amp;$Z$1,$AI$11:$BH$11&amp;$AI$9:$BH$9,0))/1000</f>
        <v>16.8</v>
      </c>
      <c r="AA72" s="570">
        <f t="array" ref="AA72">(Z72^INDEX(ShipData!$X$36:$X$39,MATCH($F72,ShipData!$U$36:$U$39,0)))*0.756*INDEX(ShipData!$W$36:$W$39,MATCH($F72,ShipData!$U$36:$U$39,0))</f>
        <v>15932.009016151462</v>
      </c>
      <c r="AB72" s="570" t="s">
        <v>1190</v>
      </c>
      <c r="AC72" s="548" t="s">
        <v>1198</v>
      </c>
      <c r="AD72" s="570" t="s">
        <v>1335</v>
      </c>
      <c r="AH72" s="575"/>
      <c r="AI72" s="575"/>
    </row>
    <row r="73" spans="3:35">
      <c r="C73" s="570" t="str">
        <f t="shared" si="3"/>
        <v>TFSSNGDUL2N</v>
      </c>
      <c r="E73" s="555" t="s">
        <v>1177</v>
      </c>
      <c r="F73" s="548" t="s">
        <v>1340</v>
      </c>
      <c r="G73" s="548">
        <v>2020</v>
      </c>
      <c r="H73" s="1362" t="s">
        <v>1175</v>
      </c>
      <c r="I73" s="1363">
        <f t="array" ref="I73">INDEX($AI$12:$BH$15,MATCH(F73,$AH$12:$AH$15,0),MATCH(I$1&amp;$AB73,$AI$9:$BH$9&amp;$AI$11:$BH$11,0))</f>
        <v>810</v>
      </c>
      <c r="J73" s="1363">
        <f t="shared" si="8"/>
        <v>810</v>
      </c>
      <c r="K73" s="1363">
        <v>46488</v>
      </c>
      <c r="L73" s="1362">
        <v>83879</v>
      </c>
      <c r="M73" s="1366">
        <f t="array" ref="M73">1/(INDEX($AI$12:$BH$15,MATCH($F73,$AH$12:$AH$15,0),MATCH(($G73&amp;M$1)&amp;$AB73,$AI$9:$BH$9&amp;$AI$11:$BH$11,0))/1.852)</f>
        <v>2.3752039567310899</v>
      </c>
      <c r="N73" s="1366">
        <f t="shared" si="9"/>
        <v>2.3752039567310899</v>
      </c>
      <c r="O73" s="1362">
        <v>30</v>
      </c>
      <c r="P73" s="1366"/>
      <c r="Q73" s="1366">
        <f t="shared" si="7"/>
        <v>1194.0121062743053</v>
      </c>
      <c r="R73" s="1366">
        <f>(AA73*(INDEX(ShipData!$P$19:$R$26,MATCH($AE73,ShipData!$N$19:$N$26,0),MATCH($AD73,ShipData!$P$18:$R$18,0))+INDEX(ShipData!$P$30:$R$37,MATCH($AE73,ShipData!$N$30:$N$37,0),MATCH($AD73,ShipData!$P$29:$R$29,0)))+K73*0.1*(1/M73)*INDEX(ShipData!$P$41:$R$48,MATCH($AE73,ShipData!$N$41:$N$48,0),MATCH($AD73,ShipData!$P$40:$R$40,0)))*6.5/1000</f>
        <v>34114.631607837291</v>
      </c>
      <c r="S73" s="1362">
        <v>0.95</v>
      </c>
      <c r="T73" s="1362">
        <v>1E-3</v>
      </c>
      <c r="U73" s="1368"/>
      <c r="V73" s="1362">
        <v>5</v>
      </c>
      <c r="W73" s="1362"/>
      <c r="Z73" s="1366">
        <f t="array" ref="Z73">INDEX($AI$12:$BH$15,MATCH(F73,$AH$12:$AH$15,0),MATCH($AB73&amp;$Z$1,$AI$11:$BH$11&amp;$AI$9:$BH$9,0))/1000</f>
        <v>1.5804878048780491</v>
      </c>
      <c r="AA73" s="570">
        <f t="array" ref="AA73">(Z73^INDEX(ShipData!$X$36:$X$39,MATCH($F73,ShipData!$U$36:$U$39,0)))*0.756*INDEX(ShipData!$W$36:$W$39,MATCH($F73,ShipData!$U$36:$U$39,0))</f>
        <v>1602.8300580975306</v>
      </c>
      <c r="AB73" s="570" t="s">
        <v>1178</v>
      </c>
      <c r="AC73" s="548" t="s">
        <v>1196</v>
      </c>
      <c r="AD73" s="570" t="s">
        <v>1338</v>
      </c>
      <c r="AE73" s="570" t="s">
        <v>1198</v>
      </c>
      <c r="AH73" s="575"/>
      <c r="AI73" s="575"/>
    </row>
    <row r="74" spans="3:35">
      <c r="E74" s="555" t="s">
        <v>1185</v>
      </c>
      <c r="F74" s="548"/>
      <c r="G74" s="548"/>
      <c r="H74" s="1362"/>
      <c r="I74" s="1362"/>
      <c r="J74" s="1362"/>
      <c r="K74" s="1363"/>
      <c r="L74" s="1362"/>
      <c r="M74" s="1366"/>
      <c r="N74" s="1366"/>
      <c r="O74" s="1362"/>
      <c r="P74" s="1366"/>
      <c r="Q74" s="1366"/>
      <c r="S74" s="1362"/>
      <c r="T74" s="1362"/>
      <c r="U74" s="1368"/>
      <c r="V74" s="1362"/>
      <c r="W74" s="1362"/>
      <c r="Z74" s="1366" t="e">
        <f t="array" ref="Z74">INDEX($AI$12:$BH$15,MATCH(F74,$AH$12:$AH$15,0),MATCH($AB74&amp;$Z$1,$AI$11:$BH$11&amp;$AI$9:$BH$9,0))/1000</f>
        <v>#N/A</v>
      </c>
      <c r="AA74" s="570" t="e">
        <f t="array" ref="AA74">(Z74^INDEX(ShipData!$X$36:$X$39,MATCH($F74,ShipData!$U$36:$U$39,0)))*0.756*INDEX(ShipData!$W$36:$W$39,MATCH($F74,ShipData!$U$36:$U$39,0))</f>
        <v>#N/A</v>
      </c>
      <c r="AC74" s="548" t="s">
        <v>1196</v>
      </c>
      <c r="AD74" s="570" t="s">
        <v>1338</v>
      </c>
      <c r="AE74" s="570" t="s">
        <v>1198</v>
      </c>
      <c r="AH74" s="575"/>
      <c r="AI74" s="575"/>
    </row>
    <row r="75" spans="3:35">
      <c r="E75" s="555" t="s">
        <v>1177</v>
      </c>
      <c r="F75" s="548" t="s">
        <v>1340</v>
      </c>
      <c r="G75" s="548">
        <v>2030</v>
      </c>
      <c r="H75" s="1362" t="s">
        <v>1175</v>
      </c>
      <c r="I75" s="1363">
        <f t="array" ref="I75">INDEX($AI$12:$BH$15,MATCH(F75,$AH$12:$AH$15,0),MATCH(I$1&amp;$AB75,$AI$9:$BH$9&amp;$AI$11:$BH$11,0))</f>
        <v>810</v>
      </c>
      <c r="J75" s="1363">
        <f>I75</f>
        <v>810</v>
      </c>
      <c r="K75" s="1363">
        <v>46488</v>
      </c>
      <c r="L75" s="1362">
        <v>83879</v>
      </c>
      <c r="M75" s="1366">
        <f t="array" ref="M75">1/(INDEX($AI$12:$BH$15,MATCH($F75,$AH$12:$AH$15,0),MATCH(($G75&amp;M$1)&amp;$AB75,$AI$9:$BH$9&amp;$AI$11:$BH$11,0))/1.852)</f>
        <v>3.8453314985699092</v>
      </c>
      <c r="N75" s="1366">
        <f>M75</f>
        <v>3.8453314985699092</v>
      </c>
      <c r="O75" s="1362">
        <v>30</v>
      </c>
      <c r="P75" s="1366"/>
      <c r="Q75" s="1363">
        <v>2333.7422325000002</v>
      </c>
      <c r="R75" s="1366">
        <f>(AA75*(INDEX(ShipData!$P$19:$R$26,MATCH($AE75,ShipData!$N$19:$N$26,0),MATCH($AD75,ShipData!$P$18:$R$18,0))+INDEX(ShipData!$P$30:$R$37,MATCH($AE75,ShipData!$N$30:$N$37,0),MATCH($AD75,ShipData!$P$29:$R$29,0)))+K75*0.1*(1/M75)*INDEX(ShipData!$P$41:$R$48,MATCH($AE75,ShipData!$N$41:$N$48,0),MATCH($AD75,ShipData!$P$40:$R$40,0)))*6.5/1000</f>
        <v>33579.6150478825</v>
      </c>
      <c r="S75" s="1362">
        <v>0.95</v>
      </c>
      <c r="T75" s="1362">
        <v>1E-3</v>
      </c>
      <c r="U75" s="1368"/>
      <c r="V75" s="1368">
        <v>5</v>
      </c>
      <c r="W75" s="1368"/>
      <c r="Z75" s="1366">
        <f t="array" ref="Z75">INDEX($AI$12:$BH$15,MATCH(F75,$AH$12:$AH$15,0),MATCH($AB75&amp;$Z$1,$AI$11:$BH$11&amp;$AI$9:$BH$9,0))/1000</f>
        <v>1.5804878048780491</v>
      </c>
      <c r="AA75" s="570">
        <f t="array" ref="AA75">(Z75^INDEX(ShipData!$X$36:$X$39,MATCH($F75,ShipData!$U$36:$U$39,0)))*0.756*INDEX(ShipData!$W$36:$W$39,MATCH($F75,ShipData!$U$36:$U$39,0))</f>
        <v>1602.8300580975306</v>
      </c>
      <c r="AB75" s="570" t="str">
        <f>AB73</f>
        <v>Small</v>
      </c>
      <c r="AC75" s="548" t="s">
        <v>1196</v>
      </c>
      <c r="AD75" s="570" t="s">
        <v>1338</v>
      </c>
      <c r="AE75" s="570" t="s">
        <v>1198</v>
      </c>
      <c r="AH75" s="575"/>
      <c r="AI75" s="575"/>
    </row>
    <row r="76" spans="3:35">
      <c r="E76" s="555" t="s">
        <v>1197</v>
      </c>
      <c r="F76" s="548"/>
      <c r="G76" s="548"/>
      <c r="H76" s="1362"/>
      <c r="I76" s="1362"/>
      <c r="J76" s="1362"/>
      <c r="K76" s="1363"/>
      <c r="L76" s="1362"/>
      <c r="M76" s="1366"/>
      <c r="N76" s="1366"/>
      <c r="O76" s="1362"/>
      <c r="P76" s="1366"/>
      <c r="Q76" s="1366"/>
      <c r="S76" s="1362"/>
      <c r="T76" s="1362"/>
      <c r="U76" s="1368"/>
      <c r="V76" s="1362"/>
      <c r="W76" s="1362"/>
      <c r="Z76" s="1366" t="e">
        <f t="array" ref="Z76">INDEX($AI$12:$BH$15,MATCH(F76,$AH$12:$AH$15,0),MATCH($AB76&amp;$Z$1,$AI$11:$BH$11&amp;$AI$9:$BH$9,0))/1000</f>
        <v>#N/A</v>
      </c>
      <c r="AA76" s="570" t="e">
        <f t="array" ref="AA76">(Z76^INDEX(ShipData!$X$36:$X$39,MATCH($F76,ShipData!$U$36:$U$39,0)))*0.756*INDEX(ShipData!$W$36:$W$39,MATCH($F76,ShipData!$U$36:$U$39,0))</f>
        <v>#N/A</v>
      </c>
      <c r="AC76" s="548" t="s">
        <v>1196</v>
      </c>
      <c r="AD76" s="570" t="s">
        <v>1338</v>
      </c>
      <c r="AE76" s="570" t="s">
        <v>1198</v>
      </c>
      <c r="AH76" s="575"/>
      <c r="AI76" s="575"/>
    </row>
    <row r="77" spans="3:35">
      <c r="C77" s="570" t="str">
        <f>"TFS"&amp;LEFT(AB77,1)&amp;AC77&amp;RIGHT(F77,1)&amp;MID(G77,3,1)&amp;"N"</f>
        <v>TFSMNGDUL2N</v>
      </c>
      <c r="E77" s="555" t="s">
        <v>1177</v>
      </c>
      <c r="F77" s="548" t="s">
        <v>1340</v>
      </c>
      <c r="G77" s="548">
        <v>2020</v>
      </c>
      <c r="H77" s="1362" t="s">
        <v>1175</v>
      </c>
      <c r="I77" s="1363">
        <f t="array" ref="I77">INDEX($AI$12:$BH$15,MATCH(F77,$AH$12:$AH$15,0),MATCH(I$1&amp;$AB77,$AI$9:$BH$9&amp;$AI$11:$BH$11,0))</f>
        <v>3045.9905660377353</v>
      </c>
      <c r="J77" s="1363">
        <f>I77</f>
        <v>3045.9905660377353</v>
      </c>
      <c r="K77" s="1363">
        <v>25616</v>
      </c>
      <c r="L77" s="1362">
        <v>46219</v>
      </c>
      <c r="M77" s="1366">
        <f t="array" ref="M77">1/(INDEX($AI$12:$BH$15,MATCH($F77,$AH$12:$AH$15,0),MATCH(($G77&amp;M$1)&amp;$AB77,$AI$9:$BH$9&amp;$AI$11:$BH$11,0))/1.852)</f>
        <v>1.4081877865043426</v>
      </c>
      <c r="N77" s="1366">
        <f>M77</f>
        <v>1.4081877865043426</v>
      </c>
      <c r="O77" s="1362">
        <v>30</v>
      </c>
      <c r="P77" s="1366"/>
      <c r="Q77" s="1366">
        <f>0.035*R77</f>
        <v>2452.8183440763883</v>
      </c>
      <c r="R77" s="1366">
        <f>(AA77*(INDEX(ShipData!$P$19:$R$26,MATCH($AE77,ShipData!$N$19:$N$26,0),MATCH($AD77,ShipData!$P$18:$R$18,0))+INDEX(ShipData!$P$30:$R$37,MATCH($AE77,ShipData!$N$30:$N$37,0),MATCH($AD77,ShipData!$P$29:$R$29,0)))+K77*0.1*(1/M77)*INDEX(ShipData!$P$41:$R$48,MATCH($AE77,ShipData!$N$41:$N$48,0),MATCH($AD77,ShipData!$P$40:$R$40,0)))*6.5/1000</f>
        <v>70080.524116468223</v>
      </c>
      <c r="S77" s="1362">
        <v>0.95</v>
      </c>
      <c r="T77" s="1362">
        <v>1E-3</v>
      </c>
      <c r="U77" s="1368"/>
      <c r="V77" s="1362">
        <v>5</v>
      </c>
      <c r="W77" s="1362"/>
      <c r="Z77" s="1366">
        <f t="array" ref="Z77">INDEX($AI$12:$BH$15,MATCH(F77,$AH$12:$AH$15,0),MATCH($AB77&amp;$Z$1,$AI$11:$BH$11&amp;$AI$9:$BH$9,0))/1000</f>
        <v>5.9433962264150946</v>
      </c>
      <c r="AA77" s="570">
        <f t="array" ref="AA77">(Z77^INDEX(ShipData!$X$36:$X$39,MATCH($F77,ShipData!$U$36:$U$39,0)))*0.756*INDEX(ShipData!$W$36:$W$39,MATCH($F77,ShipData!$U$36:$U$39,0))</f>
        <v>3369.7610132900404</v>
      </c>
      <c r="AB77" s="570" t="s">
        <v>1174</v>
      </c>
      <c r="AC77" s="548" t="s">
        <v>1196</v>
      </c>
      <c r="AD77" s="570" t="s">
        <v>1338</v>
      </c>
      <c r="AE77" s="570" t="s">
        <v>1198</v>
      </c>
      <c r="AH77" s="575"/>
      <c r="AI77" s="575"/>
    </row>
    <row r="78" spans="3:35">
      <c r="E78" s="555" t="s">
        <v>1185</v>
      </c>
      <c r="F78" s="548"/>
      <c r="G78" s="548"/>
      <c r="H78" s="1362"/>
      <c r="I78" s="1362"/>
      <c r="J78" s="1362"/>
      <c r="K78" s="1363"/>
      <c r="L78" s="1362"/>
      <c r="M78" s="1366"/>
      <c r="N78" s="1366"/>
      <c r="O78" s="1362"/>
      <c r="P78" s="1366"/>
      <c r="Q78" s="1366"/>
      <c r="S78" s="1362"/>
      <c r="T78" s="1362"/>
      <c r="U78" s="1368"/>
      <c r="V78" s="1362"/>
      <c r="W78" s="1362"/>
      <c r="Z78" s="1366" t="e">
        <f t="array" ref="Z78">INDEX($AI$12:$BH$15,MATCH(F78,$AH$12:$AH$15,0),MATCH($AB78&amp;$Z$1,$AI$11:$BH$11&amp;$AI$9:$BH$9,0))/1000</f>
        <v>#N/A</v>
      </c>
      <c r="AA78" s="570" t="e">
        <f t="array" ref="AA78">(Z78^INDEX(ShipData!$X$36:$X$39,MATCH($F78,ShipData!$U$36:$U$39,0)))*0.756*INDEX(ShipData!$W$36:$W$39,MATCH($F78,ShipData!$U$36:$U$39,0))</f>
        <v>#N/A</v>
      </c>
      <c r="AC78" s="548" t="s">
        <v>1196</v>
      </c>
      <c r="AD78" s="570" t="s">
        <v>1338</v>
      </c>
      <c r="AE78" s="570" t="s">
        <v>1198</v>
      </c>
      <c r="AH78" s="575"/>
      <c r="AI78" s="575"/>
    </row>
    <row r="79" spans="3:35">
      <c r="E79" s="555" t="s">
        <v>1177</v>
      </c>
      <c r="F79" s="548" t="s">
        <v>1340</v>
      </c>
      <c r="G79" s="548">
        <v>2030</v>
      </c>
      <c r="H79" s="1362" t="s">
        <v>1175</v>
      </c>
      <c r="I79" s="1363">
        <f t="array" ref="I79">INDEX($AI$12:$BH$15,MATCH(F79,$AH$12:$AH$15,0),MATCH(I$1&amp;$AB79,$AI$9:$BH$9&amp;$AI$11:$BH$11,0))</f>
        <v>3045.9905660377353</v>
      </c>
      <c r="J79" s="1363">
        <f>I79</f>
        <v>3045.9905660377353</v>
      </c>
      <c r="K79" s="1363">
        <v>25616</v>
      </c>
      <c r="L79" s="1362">
        <v>46219</v>
      </c>
      <c r="M79" s="1366">
        <f t="array" ref="M79">1/(INDEX($AI$12:$BH$15,MATCH($F79,$AH$12:$AH$15,0),MATCH(($G79&amp;M$1)&amp;$AB79,$AI$9:$BH$9&amp;$AI$11:$BH$11,0))/1.852)</f>
        <v>1.9876124255718461</v>
      </c>
      <c r="N79" s="1366">
        <f>M79</f>
        <v>1.9876124255718461</v>
      </c>
      <c r="O79" s="1362">
        <v>30</v>
      </c>
      <c r="P79" s="1366"/>
      <c r="Q79" s="1363">
        <v>5000.8762125000012</v>
      </c>
      <c r="R79" s="1366">
        <f>(AA79*(INDEX(ShipData!$P$19:$R$26,MATCH($AE79,ShipData!$N$19:$N$26,0),MATCH($AD79,ShipData!$P$18:$R$18,0))+INDEX(ShipData!$P$30:$R$37,MATCH($AE79,ShipData!$N$30:$N$37,0),MATCH($AD79,ShipData!$P$29:$R$29,0)))+K79*0.1*(1/M79)*INDEX(ShipData!$P$41:$R$48,MATCH($AE79,ShipData!$N$41:$N$48,0),MATCH($AD79,ShipData!$P$40:$R$40,0)))*6.5/1000</f>
        <v>69701.364531743238</v>
      </c>
      <c r="S79" s="1362">
        <v>0.95</v>
      </c>
      <c r="T79" s="1362">
        <v>1E-3</v>
      </c>
      <c r="U79" s="1368"/>
      <c r="V79" s="1362">
        <v>5</v>
      </c>
      <c r="W79" s="1362"/>
      <c r="Z79" s="1366">
        <f t="array" ref="Z79">INDEX($AI$12:$BH$15,MATCH(F79,$AH$12:$AH$15,0),MATCH($AB79&amp;$Z$1,$AI$11:$BH$11&amp;$AI$9:$BH$9,0))/1000</f>
        <v>5.9433962264150946</v>
      </c>
      <c r="AA79" s="570">
        <f t="array" ref="AA79">(Z79^INDEX(ShipData!$X$36:$X$39,MATCH($F79,ShipData!$U$36:$U$39,0)))*0.756*INDEX(ShipData!$W$36:$W$39,MATCH($F79,ShipData!$U$36:$U$39,0))</f>
        <v>3369.7610132900404</v>
      </c>
      <c r="AB79" s="570" t="str">
        <f>AB77</f>
        <v>Medium</v>
      </c>
      <c r="AC79" s="548" t="s">
        <v>1196</v>
      </c>
      <c r="AD79" s="570" t="s">
        <v>1338</v>
      </c>
      <c r="AE79" s="570" t="s">
        <v>1198</v>
      </c>
      <c r="AI79" s="575"/>
    </row>
    <row r="80" spans="3:35">
      <c r="E80" s="555" t="s">
        <v>1197</v>
      </c>
      <c r="F80" s="548"/>
      <c r="G80" s="548"/>
      <c r="H80" s="1362"/>
      <c r="I80" s="1362"/>
      <c r="J80" s="1362"/>
      <c r="K80" s="1363"/>
      <c r="L80" s="1362"/>
      <c r="M80" s="1366"/>
      <c r="N80" s="1366"/>
      <c r="O80" s="1362"/>
      <c r="P80" s="1366"/>
      <c r="Q80" s="1366"/>
      <c r="S80" s="1362"/>
      <c r="T80" s="1362"/>
      <c r="U80" s="1368"/>
      <c r="V80" s="1362"/>
      <c r="W80" s="1362"/>
      <c r="Z80" s="1366" t="e">
        <f t="array" ref="Z80">INDEX($AI$12:$BH$15,MATCH(F80,$AH$12:$AH$15,0),MATCH($AB80&amp;$Z$1,$AI$11:$BH$11&amp;$AI$9:$BH$9,0))/1000</f>
        <v>#N/A</v>
      </c>
      <c r="AA80" s="570" t="e">
        <f t="array" ref="AA80">(Z80^INDEX(ShipData!$X$36:$X$39,MATCH($F80,ShipData!$U$36:$U$39,0)))*0.756*INDEX(ShipData!$W$36:$W$39,MATCH($F80,ShipData!$U$36:$U$39,0))</f>
        <v>#N/A</v>
      </c>
      <c r="AC80" s="548" t="s">
        <v>1196</v>
      </c>
      <c r="AD80" s="570" t="s">
        <v>1338</v>
      </c>
      <c r="AE80" s="570" t="s">
        <v>1198</v>
      </c>
      <c r="AI80" s="575"/>
    </row>
    <row r="81" spans="3:35">
      <c r="C81" s="570" t="str">
        <f>"TFS"&amp;LEFT(AB81,1)&amp;AC81&amp;RIGHT(F81,1)&amp;MID(G81,3,1)&amp;"N"</f>
        <v>TFSLNGDUL2N</v>
      </c>
      <c r="E81" s="555" t="s">
        <v>1177</v>
      </c>
      <c r="F81" s="548" t="s">
        <v>1340</v>
      </c>
      <c r="G81" s="548">
        <v>2020</v>
      </c>
      <c r="H81" s="1362" t="s">
        <v>1175</v>
      </c>
      <c r="I81" s="1363">
        <f t="array" ref="I81">INDEX($AI$12:$BH$15,MATCH(F81,$AH$12:$AH$15,0),MATCH(I$1&amp;$AB81,$AI$9:$BH$9&amp;$AI$11:$BH$11,0))</f>
        <v>7427.5362318840562</v>
      </c>
      <c r="J81" s="1363">
        <f>I81</f>
        <v>7427.5362318840562</v>
      </c>
      <c r="K81" s="1363">
        <v>3985</v>
      </c>
      <c r="L81" s="1362">
        <v>7190</v>
      </c>
      <c r="M81" s="1366">
        <f t="array" ref="M81">1/(INDEX($AI$12:$BH$15,MATCH($F81,$AH$12:$AH$15,0),MATCH(($G81&amp;M$1)&amp;$AB81,$AI$9:$BH$9&amp;$AI$11:$BH$11,0))/1.852)</f>
        <v>0.84765820280384263</v>
      </c>
      <c r="N81" s="1366">
        <f>M81</f>
        <v>0.84765820280384263</v>
      </c>
      <c r="O81" s="1362">
        <v>30</v>
      </c>
      <c r="P81" s="1366"/>
      <c r="Q81" s="1366">
        <f>0.035*R81</f>
        <v>3980.9529297168501</v>
      </c>
      <c r="R81" s="1366">
        <f>(AA81*(INDEX(ShipData!$P$19:$R$26,MATCH($AE81,ShipData!$N$19:$N$26,0),MATCH($AD81,ShipData!$P$18:$R$18,0))+INDEX(ShipData!$P$30:$R$37,MATCH($AE81,ShipData!$N$30:$N$37,0),MATCH($AD81,ShipData!$P$29:$R$29,0)))+K81*0.1*(1/M81)*INDEX(ShipData!$P$41:$R$48,MATCH($AE81,ShipData!$N$41:$N$48,0),MATCH($AD81,ShipData!$P$40:$R$40,0)))*6.5/1000</f>
        <v>113741.51227762428</v>
      </c>
      <c r="S81" s="1362">
        <v>0.95</v>
      </c>
      <c r="T81" s="1362">
        <v>1E-3</v>
      </c>
      <c r="U81" s="1368"/>
      <c r="V81" s="1362">
        <v>5</v>
      </c>
      <c r="W81" s="1362"/>
      <c r="Z81" s="1366">
        <f t="array" ref="Z81">INDEX($AI$12:$BH$15,MATCH(F81,$AH$12:$AH$15,0),MATCH($AB81&amp;$Z$1,$AI$11:$BH$11&amp;$AI$9:$BH$9,0))/1000</f>
        <v>14.492753623188404</v>
      </c>
      <c r="AA81" s="570">
        <f t="array" ref="AA81">(Z81^INDEX(ShipData!$X$36:$X$39,MATCH($F81,ShipData!$U$36:$U$39,0)))*0.756*INDEX(ShipData!$W$36:$W$39,MATCH($F81,ShipData!$U$36:$U$39,0))</f>
        <v>5556.1159914410127</v>
      </c>
      <c r="AB81" s="570" t="s">
        <v>1190</v>
      </c>
      <c r="AC81" s="548" t="s">
        <v>1196</v>
      </c>
      <c r="AD81" s="570" t="s">
        <v>1338</v>
      </c>
      <c r="AE81" s="570" t="s">
        <v>1198</v>
      </c>
      <c r="AI81" s="575"/>
    </row>
    <row r="82" spans="3:35">
      <c r="E82" s="555" t="s">
        <v>1185</v>
      </c>
      <c r="F82" s="548"/>
      <c r="G82" s="548"/>
      <c r="H82" s="1362"/>
      <c r="I82" s="1362"/>
      <c r="J82" s="1362"/>
      <c r="K82" s="1363"/>
      <c r="L82" s="1362"/>
      <c r="M82" s="1366"/>
      <c r="N82" s="1366"/>
      <c r="O82" s="1362"/>
      <c r="P82" s="1366"/>
      <c r="Q82" s="1366"/>
      <c r="R82" s="1362"/>
      <c r="S82" s="1362"/>
      <c r="T82" s="1362"/>
      <c r="V82" s="1362"/>
      <c r="W82" s="1362"/>
      <c r="Z82" s="1366" t="e">
        <f t="array" ref="Z82">INDEX($AI$12:$BH$15,MATCH(F82,$AH$12:$AH$15,0),MATCH($AB82&amp;$Z$1,$AI$11:$BH$11&amp;$AI$9:$BH$9,0))/1000</f>
        <v>#N/A</v>
      </c>
      <c r="AA82" s="570" t="e">
        <f t="array" ref="AA82">(Z82^INDEX(ShipData!$X$36:$X$39,MATCH($F82,ShipData!$U$36:$U$39,0)))*0.756*INDEX(ShipData!$W$36:$W$39,MATCH($F82,ShipData!$U$36:$U$39,0))</f>
        <v>#N/A</v>
      </c>
      <c r="AC82" s="548" t="s">
        <v>1196</v>
      </c>
      <c r="AD82" s="570" t="s">
        <v>1338</v>
      </c>
      <c r="AE82" s="570" t="s">
        <v>1198</v>
      </c>
      <c r="AI82" s="575"/>
    </row>
    <row r="83" spans="3:35">
      <c r="E83" s="555" t="s">
        <v>1177</v>
      </c>
      <c r="F83" s="548" t="s">
        <v>1340</v>
      </c>
      <c r="G83" s="548">
        <v>2030</v>
      </c>
      <c r="H83" s="1362" t="s">
        <v>1175</v>
      </c>
      <c r="I83" s="1363">
        <f t="array" ref="I83">INDEX($AI$12:$BH$15,MATCH(F83,$AH$12:$AH$15,0),MATCH(I$1&amp;$AB83,$AI$9:$BH$9&amp;$AI$11:$BH$11,0))</f>
        <v>7427.5362318840562</v>
      </c>
      <c r="J83" s="1363">
        <f>I83</f>
        <v>7427.5362318840562</v>
      </c>
      <c r="K83" s="1363">
        <v>3985</v>
      </c>
      <c r="L83" s="1362">
        <v>7190</v>
      </c>
      <c r="M83" s="1366">
        <f t="array" ref="M83">1/(INDEX($AI$12:$BH$15,MATCH($F83,$AH$12:$AH$15,0),MATCH(($G83&amp;M$1)&amp;$AB83,$AI$9:$BH$9&amp;$AI$11:$BH$11,0))/1.852)</f>
        <v>1.155074490575144</v>
      </c>
      <c r="N83" s="1366">
        <f>M83</f>
        <v>1.155074490575144</v>
      </c>
      <c r="O83" s="1362">
        <v>30</v>
      </c>
      <c r="P83" s="1366"/>
      <c r="Q83" s="1363">
        <v>7669.3821750000016</v>
      </c>
      <c r="R83" s="1366">
        <f>(AA83*(INDEX(ShipData!$P$19:$R$26,MATCH($AE83,ShipData!$N$19:$N$26,0),MATCH($AD83,ShipData!$P$18:$R$18,0))+INDEX(ShipData!$P$30:$R$37,MATCH($AE83,ShipData!$N$30:$N$37,0),MATCH($AD83,ShipData!$P$29:$R$29,0)))+K83*0.1*(1/M83)*INDEX(ShipData!$P$41:$R$48,MATCH($AE83,ShipData!$N$41:$N$48,0),MATCH($AD83,ShipData!$P$40:$R$40,0)))*6.5/1000</f>
        <v>113652.05195095837</v>
      </c>
      <c r="S83" s="1362">
        <v>0.95</v>
      </c>
      <c r="T83" s="1362">
        <v>1E-3</v>
      </c>
      <c r="U83" s="1368"/>
      <c r="V83" s="1362"/>
      <c r="W83" s="1362"/>
      <c r="Z83" s="1366">
        <f t="array" ref="Z83">INDEX($AI$12:$BH$15,MATCH(F83,$AH$12:$AH$15,0),MATCH($AB83&amp;$Z$1,$AI$11:$BH$11&amp;$AI$9:$BH$9,0))/1000</f>
        <v>14.492753623188404</v>
      </c>
      <c r="AA83" s="570">
        <f t="array" ref="AA83">(Z83^INDEX(ShipData!$X$36:$X$39,MATCH($F83,ShipData!$U$36:$U$39,0)))*0.756*INDEX(ShipData!$W$36:$W$39,MATCH($F83,ShipData!$U$36:$U$39,0))</f>
        <v>5556.1159914410127</v>
      </c>
      <c r="AB83" s="570" t="str">
        <f>AB81</f>
        <v>Large</v>
      </c>
      <c r="AC83" s="548" t="s">
        <v>1196</v>
      </c>
      <c r="AD83" s="570" t="s">
        <v>1338</v>
      </c>
      <c r="AE83" s="570" t="s">
        <v>1198</v>
      </c>
      <c r="AG83" s="1149"/>
      <c r="AI83" s="575"/>
    </row>
    <row r="84" spans="3:35">
      <c r="E84" s="555" t="s">
        <v>1197</v>
      </c>
      <c r="F84" s="548"/>
      <c r="G84" s="548"/>
      <c r="H84" s="1362"/>
      <c r="I84" s="1362"/>
      <c r="J84" s="1362"/>
      <c r="K84" s="1363"/>
      <c r="L84" s="1362"/>
      <c r="M84" s="1366"/>
      <c r="N84" s="1366"/>
      <c r="O84" s="1362"/>
      <c r="P84" s="1366"/>
      <c r="Q84" s="1366"/>
      <c r="R84" s="1362"/>
      <c r="S84" s="1362"/>
      <c r="T84" s="1362"/>
      <c r="V84" s="1362"/>
      <c r="W84" s="1362"/>
      <c r="Z84" s="1366" t="e">
        <f t="array" ref="Z84">INDEX($AI$12:$BH$15,MATCH(F84,$AH$12:$AH$15,0),MATCH($AB84&amp;$Z$1,$AI$11:$BH$11&amp;$AI$9:$BH$9,0))/1000</f>
        <v>#N/A</v>
      </c>
      <c r="AA84" s="570" t="e">
        <f t="array" ref="AA84">(Z84^INDEX(ShipData!$X$36:$X$39,MATCH($F84,ShipData!$U$36:$U$39,0)))*0.756*INDEX(ShipData!$W$36:$W$39,MATCH($F84,ShipData!$U$36:$U$39,0))</f>
        <v>#N/A</v>
      </c>
      <c r="AC84" s="548" t="s">
        <v>1196</v>
      </c>
      <c r="AD84" s="570" t="s">
        <v>1338</v>
      </c>
      <c r="AE84" s="570" t="s">
        <v>1198</v>
      </c>
      <c r="AI84" s="575"/>
    </row>
    <row r="85" spans="3:35">
      <c r="C85" s="570" t="str">
        <f>"TFS"&amp;LEFT(AB85,1)&amp;AC85&amp;RIGHT(F85,1)&amp;MID(G85,3,1)&amp;"N"</f>
        <v>TFSSNGDUD2N</v>
      </c>
      <c r="E85" s="555" t="s">
        <v>1177</v>
      </c>
      <c r="F85" s="548" t="s">
        <v>1339</v>
      </c>
      <c r="G85" s="548">
        <v>2020</v>
      </c>
      <c r="H85" s="1362" t="s">
        <v>1175</v>
      </c>
      <c r="I85" s="1363">
        <f t="array" ref="I85">INDEX($AI$12:$BH$15,MATCH(F85,$AH$12:$AH$15,0),MATCH(I$1&amp;$AB85,$AI$9:$BH$9&amp;$AI$11:$BH$11,0))</f>
        <v>1527</v>
      </c>
      <c r="J85" s="1363">
        <f>I85</f>
        <v>1527</v>
      </c>
      <c r="K85" s="1363">
        <v>17027</v>
      </c>
      <c r="L85" s="1397">
        <v>30722</v>
      </c>
      <c r="M85" s="1366">
        <f t="array" ref="M85">1/(INDEX($AI$12:$BH$15,MATCH($F85,$AH$12:$AH$15,0),MATCH(($G85&amp;M$1)&amp;$AB85,$AI$9:$BH$9&amp;$AI$11:$BH$11,0))/1.852)</f>
        <v>3.4190010788978875</v>
      </c>
      <c r="N85" s="1366">
        <f>M85</f>
        <v>3.4190010788978875</v>
      </c>
      <c r="O85" s="1362">
        <v>30</v>
      </c>
      <c r="P85" s="1366"/>
      <c r="Q85" s="1366">
        <f>0.035*R85</f>
        <v>1385.2622744704827</v>
      </c>
      <c r="R85" s="1366">
        <f>(AA85*(INDEX(ShipData!$P$19:$R$26,MATCH($AE85,ShipData!$N$19:$N$26,0),MATCH($AD85,ShipData!$P$18:$R$18,0))+INDEX(ShipData!$P$30:$R$37,MATCH($AE85,ShipData!$N$30:$N$37,0),MATCH($AD85,ShipData!$P$29:$R$29,0)))+K85*0.1*(1/M85)*INDEX(ShipData!$P$41:$R$48,MATCH($AE85,ShipData!$N$41:$N$48,0),MATCH($AD85,ShipData!$P$40:$R$40,0)))*6.5/1000</f>
        <v>39578.922127728074</v>
      </c>
      <c r="S85" s="1362">
        <v>0.95</v>
      </c>
      <c r="T85" s="1362">
        <v>1E-3</v>
      </c>
      <c r="U85" s="1368"/>
      <c r="V85" s="1362">
        <v>5</v>
      </c>
      <c r="W85" s="1362"/>
      <c r="Z85" s="1366">
        <f t="array" ref="Z85">INDEX($AI$12:$BH$15,MATCH(F85,$AH$12:$AH$15,0),MATCH($AB85&amp;$Z$1,$AI$11:$BH$11&amp;$AI$9:$BH$9,0))/1000</f>
        <v>2.5449999999999999</v>
      </c>
      <c r="AA85" s="570">
        <f t="array" ref="AA85">(Z85^INDEX(ShipData!$X$36:$X$39,MATCH($F85,ShipData!$U$36:$U$39,0)))*0.756*INDEX(ShipData!$W$36:$W$39,MATCH($F85,ShipData!$U$36:$U$39,0))</f>
        <v>1921.6608368614334</v>
      </c>
      <c r="AB85" s="570" t="s">
        <v>1178</v>
      </c>
      <c r="AC85" s="548" t="s">
        <v>1196</v>
      </c>
      <c r="AD85" s="570" t="s">
        <v>1338</v>
      </c>
      <c r="AE85" s="570" t="s">
        <v>1198</v>
      </c>
      <c r="AI85" s="575"/>
    </row>
    <row r="86" spans="3:35">
      <c r="E86" s="555" t="s">
        <v>1185</v>
      </c>
      <c r="F86" s="548"/>
      <c r="G86" s="548"/>
      <c r="H86" s="1362"/>
      <c r="I86" s="1362"/>
      <c r="J86" s="1362"/>
      <c r="K86" s="1363"/>
      <c r="L86" s="1397"/>
      <c r="M86" s="1366"/>
      <c r="N86" s="1366"/>
      <c r="O86" s="1362"/>
      <c r="P86" s="1366"/>
      <c r="Q86" s="1366"/>
      <c r="S86" s="1362"/>
      <c r="T86" s="1362"/>
      <c r="U86" s="1368"/>
      <c r="V86" s="1362"/>
      <c r="W86" s="1362"/>
      <c r="Z86" s="1366" t="e">
        <f t="array" ref="Z86">INDEX($AI$12:$BH$15,MATCH(F86,$AH$12:$AH$15,0),MATCH($AB86&amp;$Z$1,$AI$11:$BH$11&amp;$AI$9:$BH$9,0))/1000</f>
        <v>#N/A</v>
      </c>
      <c r="AA86" s="570" t="e">
        <f t="array" ref="AA86">(Z86^INDEX(ShipData!$X$36:$X$39,MATCH($F86,ShipData!$U$36:$U$39,0)))*0.756*INDEX(ShipData!$W$36:$W$39,MATCH($F86,ShipData!$U$36:$U$39,0))</f>
        <v>#N/A</v>
      </c>
      <c r="AC86" s="548" t="s">
        <v>1196</v>
      </c>
      <c r="AD86" s="570" t="s">
        <v>1338</v>
      </c>
      <c r="AE86" s="570" t="s">
        <v>1198</v>
      </c>
      <c r="AI86" s="575"/>
    </row>
    <row r="87" spans="3:35">
      <c r="E87" s="555" t="s">
        <v>1177</v>
      </c>
      <c r="F87" s="548" t="s">
        <v>1339</v>
      </c>
      <c r="G87" s="548">
        <v>2030</v>
      </c>
      <c r="H87" s="1362" t="s">
        <v>1175</v>
      </c>
      <c r="I87" s="1363">
        <f t="array" ref="I87">INDEX($AI$12:$BH$15,MATCH(F87,$AH$12:$AH$15,0),MATCH(I$1&amp;$AB87,$AI$9:$BH$9&amp;$AI$11:$BH$11,0))</f>
        <v>1527</v>
      </c>
      <c r="J87" s="1363">
        <f>I87</f>
        <v>1527</v>
      </c>
      <c r="K87" s="1363">
        <v>17027</v>
      </c>
      <c r="L87" s="1397">
        <v>30722</v>
      </c>
      <c r="M87" s="1366">
        <f t="array" ref="M87">1/(INDEX($AI$12:$BH$15,MATCH($F87,$AH$12:$AH$15,0),MATCH(($G87&amp;M$1)&amp;$AB87,$AI$9:$BH$9&amp;$AI$11:$BH$11,0))/1.852)</f>
        <v>3.891319674651244</v>
      </c>
      <c r="N87" s="1366">
        <f>M87</f>
        <v>3.891319674651244</v>
      </c>
      <c r="O87" s="1362">
        <v>30</v>
      </c>
      <c r="P87" s="1366"/>
      <c r="Q87" s="1363">
        <v>2601.2788200000005</v>
      </c>
      <c r="R87" s="1366">
        <f>(AA87*(INDEX(ShipData!$P$19:$R$26,MATCH($AE87,ShipData!$N$19:$N$26,0),MATCH($AD87,ShipData!$P$18:$R$18,0))+INDEX(ShipData!$P$30:$R$37,MATCH($AE87,ShipData!$N$30:$N$37,0),MATCH($AD87,ShipData!$P$29:$R$29,0)))+K87*0.1*(1/M87)*INDEX(ShipData!$P$41:$R$48,MATCH($AE87,ShipData!$N$41:$N$48,0),MATCH($AD87,ShipData!$P$40:$R$40,0)))*6.5/1000</f>
        <v>39535.702295695177</v>
      </c>
      <c r="S87" s="1362">
        <v>0.95</v>
      </c>
      <c r="T87" s="1362">
        <v>1E-3</v>
      </c>
      <c r="U87" s="1368"/>
      <c r="V87" s="1362">
        <v>5</v>
      </c>
      <c r="W87" s="1362"/>
      <c r="Z87" s="1366">
        <f t="array" ref="Z87">INDEX($AI$12:$BH$15,MATCH(F87,$AH$12:$AH$15,0),MATCH($AB87&amp;$Z$1,$AI$11:$BH$11&amp;$AI$9:$BH$9,0))/1000</f>
        <v>2.5449999999999999</v>
      </c>
      <c r="AA87" s="570">
        <f t="array" ref="AA87">(Z87^INDEX(ShipData!$X$36:$X$39,MATCH($F87,ShipData!$U$36:$U$39,0)))*0.756*INDEX(ShipData!$W$36:$W$39,MATCH($F87,ShipData!$U$36:$U$39,0))</f>
        <v>1921.6608368614334</v>
      </c>
      <c r="AB87" s="570" t="str">
        <f>AB85</f>
        <v>Small</v>
      </c>
      <c r="AC87" s="548" t="s">
        <v>1196</v>
      </c>
      <c r="AD87" s="570" t="s">
        <v>1338</v>
      </c>
      <c r="AE87" s="570" t="s">
        <v>1198</v>
      </c>
      <c r="AI87" s="575"/>
    </row>
    <row r="88" spans="3:35">
      <c r="E88" s="555" t="s">
        <v>1197</v>
      </c>
      <c r="F88" s="548"/>
      <c r="G88" s="548"/>
      <c r="H88" s="1362"/>
      <c r="I88" s="1362"/>
      <c r="J88" s="1362"/>
      <c r="K88" s="1363"/>
      <c r="L88" s="1397"/>
      <c r="M88" s="1366"/>
      <c r="N88" s="1366"/>
      <c r="O88" s="1362"/>
      <c r="P88" s="1366"/>
      <c r="Q88" s="1366"/>
      <c r="S88" s="1362"/>
      <c r="T88" s="1362"/>
      <c r="U88" s="1368"/>
      <c r="V88" s="1362"/>
      <c r="W88" s="1362"/>
      <c r="Z88" s="1366" t="e">
        <f t="array" ref="Z88">INDEX($AI$12:$BH$15,MATCH(F88,$AH$12:$AH$15,0),MATCH($AB88&amp;$Z$1,$AI$11:$BH$11&amp;$AI$9:$BH$9,0))/1000</f>
        <v>#N/A</v>
      </c>
      <c r="AA88" s="570" t="e">
        <f t="array" ref="AA88">(Z88^INDEX(ShipData!$X$36:$X$39,MATCH($F88,ShipData!$U$36:$U$39,0)))*0.756*INDEX(ShipData!$W$36:$W$39,MATCH($F88,ShipData!$U$36:$U$39,0))</f>
        <v>#N/A</v>
      </c>
      <c r="AC88" s="548" t="s">
        <v>1196</v>
      </c>
      <c r="AD88" s="570" t="s">
        <v>1338</v>
      </c>
      <c r="AE88" s="570" t="s">
        <v>1198</v>
      </c>
      <c r="AI88" s="575"/>
    </row>
    <row r="89" spans="3:35">
      <c r="C89" s="570" t="str">
        <f>"TFS"&amp;LEFT(AB89,1)&amp;AC89&amp;RIGHT(F89,1)&amp;MID(G89,3,1)&amp;"N"</f>
        <v>TFSMNGDUD2N</v>
      </c>
      <c r="E89" s="555" t="s">
        <v>1177</v>
      </c>
      <c r="F89" s="548" t="s">
        <v>1339</v>
      </c>
      <c r="G89" s="548">
        <v>2020</v>
      </c>
      <c r="H89" s="1362" t="s">
        <v>1175</v>
      </c>
      <c r="I89" s="1363">
        <f t="array" ref="I89">INDEX($AI$12:$BH$15,MATCH(F89,$AH$12:$AH$15,0),MATCH(I$1&amp;$AB89,$AI$9:$BH$9&amp;$AI$11:$BH$11,0))</f>
        <v>4174</v>
      </c>
      <c r="J89" s="1363">
        <f>I89</f>
        <v>4174</v>
      </c>
      <c r="K89" s="1363">
        <v>3330</v>
      </c>
      <c r="L89" s="1397">
        <v>6009</v>
      </c>
      <c r="M89" s="1366">
        <f t="array" ref="M89">1/(INDEX($AI$12:$BH$15,MATCH($F89,$AH$12:$AH$15,0),MATCH(($G89&amp;M$1)&amp;$AB89,$AI$9:$BH$9&amp;$AI$11:$BH$11,0))/1.852)</f>
        <v>1.9439057414379413</v>
      </c>
      <c r="N89" s="1366">
        <f>M89</f>
        <v>1.9439057414379413</v>
      </c>
      <c r="O89" s="1362">
        <v>30</v>
      </c>
      <c r="P89" s="1366"/>
      <c r="Q89" s="1366">
        <f>0.035*R89</f>
        <v>2461.6209068450107</v>
      </c>
      <c r="R89" s="1366">
        <f>(AA89*(INDEX(ShipData!$P$19:$R$26,MATCH($AE89,ShipData!$N$19:$N$26,0),MATCH($AD89,ShipData!$P$18:$R$18,0))+INDEX(ShipData!$P$30:$R$37,MATCH($AE89,ShipData!$N$30:$N$37,0),MATCH($AD89,ShipData!$P$29:$R$29,0)))+K89*0.1*(1/M89)*INDEX(ShipData!$P$41:$R$48,MATCH($AE89,ShipData!$N$41:$N$48,0),MATCH($AD89,ShipData!$P$40:$R$40,0)))*6.5/1000</f>
        <v>70332.025909857446</v>
      </c>
      <c r="S89" s="1362">
        <v>0.95</v>
      </c>
      <c r="T89" s="1362">
        <v>1E-3</v>
      </c>
      <c r="U89" s="1368"/>
      <c r="V89" s="1362">
        <v>5</v>
      </c>
      <c r="W89" s="1362"/>
      <c r="Z89" s="1366">
        <f t="array" ref="Z89">INDEX($AI$12:$BH$15,MATCH(F89,$AH$12:$AH$15,0),MATCH($AB89&amp;$Z$1,$AI$11:$BH$11&amp;$AI$9:$BH$9,0))/1000</f>
        <v>6.956666666666667</v>
      </c>
      <c r="AA89" s="570">
        <f t="array" ref="AA89">(Z89^INDEX(ShipData!$X$36:$X$39,MATCH($F89,ShipData!$U$36:$U$39,0)))*0.756*INDEX(ShipData!$W$36:$W$39,MATCH($F89,ShipData!$U$36:$U$39,0))</f>
        <v>3439.8048335584949</v>
      </c>
      <c r="AB89" s="570" t="s">
        <v>1174</v>
      </c>
      <c r="AC89" s="548" t="s">
        <v>1196</v>
      </c>
      <c r="AD89" s="570" t="s">
        <v>1338</v>
      </c>
      <c r="AE89" s="570" t="s">
        <v>1198</v>
      </c>
      <c r="AI89" s="575"/>
    </row>
    <row r="90" spans="3:35">
      <c r="E90" s="555" t="s">
        <v>1185</v>
      </c>
      <c r="F90" s="548"/>
      <c r="G90" s="548"/>
      <c r="H90" s="1362"/>
      <c r="I90" s="1362"/>
      <c r="J90" s="1362"/>
      <c r="K90" s="1363"/>
      <c r="L90" s="1397"/>
      <c r="M90" s="1366"/>
      <c r="N90" s="1366"/>
      <c r="O90" s="1362"/>
      <c r="P90" s="1366"/>
      <c r="Q90" s="1366"/>
      <c r="S90" s="1362"/>
      <c r="T90" s="1362"/>
      <c r="U90" s="1368"/>
      <c r="V90" s="1362"/>
      <c r="W90" s="1362"/>
      <c r="Z90" s="1366" t="e">
        <f t="array" ref="Z90">INDEX($AI$12:$BH$15,MATCH(F90,$AH$12:$AH$15,0),MATCH($AB90&amp;$Z$1,$AI$11:$BH$11&amp;$AI$9:$BH$9,0))/1000</f>
        <v>#N/A</v>
      </c>
      <c r="AA90" s="570" t="e">
        <f t="array" ref="AA90">(Z90^INDEX(ShipData!$X$36:$X$39,MATCH($F90,ShipData!$U$36:$U$39,0)))*0.756*INDEX(ShipData!$W$36:$W$39,MATCH($F90,ShipData!$U$36:$U$39,0))</f>
        <v>#N/A</v>
      </c>
      <c r="AC90" s="548" t="s">
        <v>1196</v>
      </c>
      <c r="AD90" s="570" t="s">
        <v>1338</v>
      </c>
      <c r="AE90" s="570" t="s">
        <v>1198</v>
      </c>
      <c r="AI90" s="575"/>
    </row>
    <row r="91" spans="3:35">
      <c r="E91" s="555" t="s">
        <v>1177</v>
      </c>
      <c r="F91" s="548" t="s">
        <v>1339</v>
      </c>
      <c r="G91" s="548">
        <v>2030</v>
      </c>
      <c r="H91" s="1362" t="s">
        <v>1175</v>
      </c>
      <c r="I91" s="1363">
        <f t="array" ref="I91">INDEX($AI$12:$BH$15,MATCH(F91,$AH$12:$AH$15,0),MATCH(I$1&amp;$AB91,$AI$9:$BH$9&amp;$AI$11:$BH$11,0))</f>
        <v>4174</v>
      </c>
      <c r="J91" s="1363">
        <f>I91</f>
        <v>4174</v>
      </c>
      <c r="K91" s="1363">
        <v>3330</v>
      </c>
      <c r="L91" s="1397">
        <v>6009</v>
      </c>
      <c r="M91" s="1366">
        <f t="array" ref="M91">1/(INDEX($AI$12:$BH$15,MATCH($F91,$AH$12:$AH$15,0),MATCH(($G91&amp;M$1)&amp;$AB91,$AI$9:$BH$9&amp;$AI$11:$BH$11,0))/1.852)</f>
        <v>2.1794284452298629</v>
      </c>
      <c r="N91" s="1366">
        <f>M91</f>
        <v>2.1794284452298629</v>
      </c>
      <c r="O91" s="1362">
        <v>30</v>
      </c>
      <c r="P91" s="1366"/>
      <c r="Q91" s="1363">
        <v>4656.5086050000009</v>
      </c>
      <c r="R91" s="1366">
        <f>(AA91*(INDEX(ShipData!$P$19:$R$26,MATCH($AE91,ShipData!$N$19:$N$26,0),MATCH($AD91,ShipData!$P$18:$R$18,0))+INDEX(ShipData!$P$30:$R$37,MATCH($AE91,ShipData!$N$30:$N$37,0),MATCH($AD91,ShipData!$P$29:$R$29,0)))+K91*0.1*(1/M91)*INDEX(ShipData!$P$41:$R$48,MATCH($AE91,ShipData!$N$41:$N$48,0),MATCH($AD91,ShipData!$P$40:$R$40,0)))*6.5/1000</f>
        <v>70318.789651475847</v>
      </c>
      <c r="S91" s="1362">
        <v>0.95</v>
      </c>
      <c r="T91" s="1362">
        <v>1E-3</v>
      </c>
      <c r="U91" s="1368"/>
      <c r="V91" s="1362">
        <v>5</v>
      </c>
      <c r="W91" s="1362"/>
      <c r="Z91" s="1366">
        <f t="array" ref="Z91">INDEX($AI$12:$BH$15,MATCH(F91,$AH$12:$AH$15,0),MATCH($AB91&amp;$Z$1,$AI$11:$BH$11&amp;$AI$9:$BH$9,0))/1000</f>
        <v>6.956666666666667</v>
      </c>
      <c r="AA91" s="570">
        <f t="array" ref="AA91">(Z91^INDEX(ShipData!$X$36:$X$39,MATCH($F91,ShipData!$U$36:$U$39,0)))*0.756*INDEX(ShipData!$W$36:$W$39,MATCH($F91,ShipData!$U$36:$U$39,0))</f>
        <v>3439.8048335584949</v>
      </c>
      <c r="AB91" s="570" t="str">
        <f>AB89</f>
        <v>Medium</v>
      </c>
      <c r="AC91" s="548" t="s">
        <v>1196</v>
      </c>
      <c r="AD91" s="570" t="s">
        <v>1338</v>
      </c>
      <c r="AE91" s="570" t="s">
        <v>1198</v>
      </c>
      <c r="AI91" s="575"/>
    </row>
    <row r="92" spans="3:35">
      <c r="E92" s="555" t="s">
        <v>1197</v>
      </c>
      <c r="F92" s="548"/>
      <c r="G92" s="548"/>
      <c r="H92" s="1362"/>
      <c r="I92" s="1362"/>
      <c r="J92" s="1362"/>
      <c r="K92" s="1363"/>
      <c r="L92" s="1397"/>
      <c r="M92" s="1366"/>
      <c r="N92" s="1366"/>
      <c r="O92" s="1362"/>
      <c r="P92" s="1366"/>
      <c r="Q92" s="1366"/>
      <c r="S92" s="1362"/>
      <c r="T92" s="1362"/>
      <c r="U92" s="1368"/>
      <c r="V92" s="1362"/>
      <c r="W92" s="1362"/>
      <c r="Z92" s="1366" t="e">
        <f t="array" ref="Z92">INDEX($AI$12:$BH$15,MATCH(F92,$AH$12:$AH$15,0),MATCH($AB92&amp;$Z$1,$AI$11:$BH$11&amp;$AI$9:$BH$9,0))/1000</f>
        <v>#N/A</v>
      </c>
      <c r="AA92" s="570" t="e">
        <f t="array" ref="AA92">(Z92^INDEX(ShipData!$X$36:$X$39,MATCH($F92,ShipData!$U$36:$U$39,0)))*0.756*INDEX(ShipData!$W$36:$W$39,MATCH($F92,ShipData!$U$36:$U$39,0))</f>
        <v>#N/A</v>
      </c>
      <c r="AC92" s="548" t="s">
        <v>1196</v>
      </c>
      <c r="AD92" s="570" t="s">
        <v>1338</v>
      </c>
      <c r="AE92" s="570" t="s">
        <v>1198</v>
      </c>
      <c r="AI92" s="575"/>
    </row>
    <row r="93" spans="3:35">
      <c r="C93" s="570" t="str">
        <f>"TFS"&amp;LEFT(AB93,1)&amp;AC93&amp;RIGHT(F93,1)&amp;MID(G93,3,1)&amp;"N"</f>
        <v>TFSLNGDUD2N</v>
      </c>
      <c r="E93" s="555" t="s">
        <v>1177</v>
      </c>
      <c r="F93" s="548" t="s">
        <v>1339</v>
      </c>
      <c r="G93" s="548">
        <v>2020</v>
      </c>
      <c r="H93" s="1362" t="s">
        <v>1175</v>
      </c>
      <c r="I93" s="1363">
        <f t="array" ref="I93">INDEX($AI$12:$BH$15,MATCH(F93,$AH$12:$AH$15,0),MATCH(I$1&amp;$AB93,$AI$9:$BH$9&amp;$AI$11:$BH$11,0))</f>
        <v>9000</v>
      </c>
      <c r="J93" s="1363">
        <f>I93</f>
        <v>9000</v>
      </c>
      <c r="K93" s="1363">
        <v>830</v>
      </c>
      <c r="L93" s="1397">
        <v>1498</v>
      </c>
      <c r="M93" s="1366">
        <f t="array" ref="M93">1/(INDEX($AI$12:$BH$15,MATCH($F93,$AH$12:$AH$15,0),MATCH(($G93&amp;M$1)&amp;$AB93,$AI$9:$BH$9&amp;$AI$11:$BH$11,0))/1.852)</f>
        <v>1.1737776538064364</v>
      </c>
      <c r="N93" s="1366">
        <f>M93</f>
        <v>1.1737776538064364</v>
      </c>
      <c r="O93" s="1362">
        <v>30</v>
      </c>
      <c r="P93" s="1366"/>
      <c r="Q93" s="1366">
        <f>0.035*R93</f>
        <v>3835.9340372430606</v>
      </c>
      <c r="R93" s="1366">
        <f>(AA93*(INDEX(ShipData!$P$19:$R$26,MATCH($AE93,ShipData!$N$19:$N$26,0),MATCH($AD93,ShipData!$P$18:$R$18,0))+INDEX(ShipData!$P$30:$R$37,MATCH($AE93,ShipData!$N$30:$N$37,0),MATCH($AD93,ShipData!$P$29:$R$29,0)))+K93*0.1*(1/M93)*INDEX(ShipData!$P$41:$R$48,MATCH($AE93,ShipData!$N$41:$N$48,0),MATCH($AD93,ShipData!$P$40:$R$40,0)))*6.5/1000</f>
        <v>109598.11534980172</v>
      </c>
      <c r="S93" s="1362">
        <v>0.95</v>
      </c>
      <c r="T93" s="1362">
        <v>1E-3</v>
      </c>
      <c r="U93" s="1368"/>
      <c r="V93" s="1362">
        <v>5</v>
      </c>
      <c r="W93" s="1362"/>
      <c r="Z93" s="1366">
        <f t="array" ref="Z93">INDEX($AI$12:$BH$15,MATCH(F93,$AH$12:$AH$15,0),MATCH($AB93&amp;$Z$1,$AI$11:$BH$11&amp;$AI$9:$BH$9,0))/1000</f>
        <v>15</v>
      </c>
      <c r="AA93" s="570">
        <f t="array" ref="AA93">(Z93^INDEX(ShipData!$X$36:$X$39,MATCH($F93,ShipData!$U$36:$U$39,0)))*0.756*INDEX(ShipData!$W$36:$W$39,MATCH($F93,ShipData!$U$36:$U$39,0))</f>
        <v>5367.1081902406004</v>
      </c>
      <c r="AB93" s="570" t="s">
        <v>1190</v>
      </c>
      <c r="AC93" s="548" t="s">
        <v>1196</v>
      </c>
      <c r="AD93" s="570" t="s">
        <v>1338</v>
      </c>
      <c r="AE93" s="570" t="s">
        <v>1198</v>
      </c>
      <c r="AI93" s="575"/>
    </row>
    <row r="94" spans="3:35">
      <c r="E94" s="555" t="s">
        <v>1185</v>
      </c>
      <c r="F94" s="548"/>
      <c r="G94" s="548"/>
      <c r="H94" s="1362"/>
      <c r="I94" s="1362"/>
      <c r="J94" s="1362"/>
      <c r="K94" s="1362"/>
      <c r="L94" s="1397"/>
      <c r="M94" s="1366"/>
      <c r="N94" s="1363"/>
      <c r="O94" s="1363"/>
      <c r="P94" s="1366"/>
      <c r="Q94" s="1366"/>
      <c r="R94" s="1362"/>
      <c r="S94" s="1362"/>
      <c r="V94" s="1362"/>
      <c r="W94" s="1362"/>
      <c r="Z94" s="1366" t="e">
        <f t="array" ref="Z94">INDEX($AI$12:$BH$15,MATCH(F94,$AH$12:$AH$15,0),MATCH($AB94&amp;$Z$1,$AI$11:$BH$11&amp;$AI$9:$BH$9,0))/1000</f>
        <v>#N/A</v>
      </c>
      <c r="AA94" s="570" t="e">
        <f t="array" ref="AA94">(Z94^INDEX(ShipData!$X$36:$X$39,MATCH($F94,ShipData!$U$36:$U$39,0)))*0.756*INDEX(ShipData!$W$36:$W$39,MATCH($F94,ShipData!$U$36:$U$39,0))</f>
        <v>#N/A</v>
      </c>
      <c r="AC94" s="548" t="s">
        <v>1196</v>
      </c>
      <c r="AD94" s="570" t="s">
        <v>1338</v>
      </c>
      <c r="AE94" s="570" t="s">
        <v>1198</v>
      </c>
      <c r="AI94" s="575"/>
    </row>
    <row r="95" spans="3:35">
      <c r="E95" s="555" t="s">
        <v>1177</v>
      </c>
      <c r="F95" s="548" t="s">
        <v>1339</v>
      </c>
      <c r="G95" s="548">
        <v>2030</v>
      </c>
      <c r="H95" s="1362" t="s">
        <v>1175</v>
      </c>
      <c r="I95" s="1363">
        <f t="array" ref="I95">INDEX($AI$12:$BH$15,MATCH(F95,$AH$12:$AH$15,0),MATCH(I$1&amp;$AB95,$AI$9:$BH$9&amp;$AI$11:$BH$11,0))</f>
        <v>9000</v>
      </c>
      <c r="J95" s="1363">
        <f>I95</f>
        <v>9000</v>
      </c>
      <c r="K95" s="1363">
        <v>830</v>
      </c>
      <c r="L95" s="1397">
        <v>1498</v>
      </c>
      <c r="M95" s="1366">
        <f t="array" ref="M95">1/(INDEX($AI$12:$BH$15,MATCH($F95,$AH$12:$AH$15,0),MATCH(($G95&amp;M$1)&amp;$AB95,$AI$9:$BH$9&amp;$AI$11:$BH$11,0))/1.852)</f>
        <v>1.310801422750717</v>
      </c>
      <c r="N95" s="1366">
        <f>M95</f>
        <v>1.310801422750717</v>
      </c>
      <c r="O95" s="1362">
        <v>30</v>
      </c>
      <c r="P95" s="1366"/>
      <c r="Q95" s="1363">
        <v>7266.0193200000003</v>
      </c>
      <c r="R95" s="1366">
        <f>(AA95*(INDEX(ShipData!$P$19:$R$26,MATCH($AE95,ShipData!$N$19:$N$26,0),MATCH($AD95,ShipData!$P$18:$R$18,0))+INDEX(ShipData!$P$30:$R$37,MATCH($AE95,ShipData!$N$30:$N$37,0),MATCH($AD95,ShipData!$P$29:$R$29,0)))+K95*0.1*(1/M95)*INDEX(ShipData!$P$41:$R$48,MATCH($AE95,ShipData!$N$41:$N$48,0),MATCH($AD95,ShipData!$P$40:$R$40,0)))*6.5/1000</f>
        <v>109592.83019999522</v>
      </c>
      <c r="S95" s="1362">
        <v>0.95</v>
      </c>
      <c r="T95" s="1362">
        <v>1E-3</v>
      </c>
      <c r="U95" s="1368"/>
      <c r="V95" s="1362">
        <v>5</v>
      </c>
      <c r="W95" s="1362"/>
      <c r="Z95" s="1366">
        <f t="array" ref="Z95">INDEX($AI$12:$BH$15,MATCH(F95,$AH$12:$AH$15,0),MATCH($AB95&amp;$Z$1,$AI$11:$BH$11&amp;$AI$9:$BH$9,0))/1000</f>
        <v>15</v>
      </c>
      <c r="AA95" s="570">
        <f t="array" ref="AA95">(Z95^INDEX(ShipData!$X$36:$X$39,MATCH($F95,ShipData!$U$36:$U$39,0)))*0.756*INDEX(ShipData!$W$36:$W$39,MATCH($F95,ShipData!$U$36:$U$39,0))</f>
        <v>5367.1081902406004</v>
      </c>
      <c r="AB95" s="570" t="str">
        <f>AB93</f>
        <v>Large</v>
      </c>
      <c r="AC95" s="548" t="s">
        <v>1196</v>
      </c>
      <c r="AD95" s="570" t="s">
        <v>1338</v>
      </c>
      <c r="AE95" s="570" t="s">
        <v>1198</v>
      </c>
      <c r="AI95" s="575"/>
    </row>
    <row r="96" spans="3:35">
      <c r="E96" s="555" t="s">
        <v>1197</v>
      </c>
      <c r="F96" s="548"/>
      <c r="G96" s="548"/>
      <c r="H96" s="1362"/>
      <c r="I96" s="1362"/>
      <c r="J96" s="1362"/>
      <c r="K96" s="1362"/>
      <c r="L96" s="1397"/>
      <c r="M96" s="1362"/>
      <c r="N96" s="1363"/>
      <c r="O96" s="1363"/>
      <c r="P96" s="1366"/>
      <c r="Q96" s="1366"/>
      <c r="R96" s="1362"/>
      <c r="S96" s="1362"/>
      <c r="V96" s="1362"/>
      <c r="W96" s="1362"/>
      <c r="Z96" s="1366" t="e">
        <f t="array" ref="Z96">INDEX($AI$12:$BH$15,MATCH(F96,$AH$12:$AH$15,0),MATCH($AB96&amp;$Z$1,$AI$11:$BH$11&amp;$AI$9:$BH$9,0))/1000</f>
        <v>#N/A</v>
      </c>
      <c r="AA96" s="570" t="e">
        <f t="array" ref="AA96">(Z96^INDEX(ShipData!$X$36:$X$39,MATCH($F96,ShipData!$U$36:$U$39,0)))*0.756*INDEX(ShipData!$W$36:$W$39,MATCH($F96,ShipData!$U$36:$U$39,0))</f>
        <v>#N/A</v>
      </c>
      <c r="AC96" s="548" t="s">
        <v>1196</v>
      </c>
      <c r="AD96" s="570" t="s">
        <v>1338</v>
      </c>
      <c r="AE96" s="570" t="s">
        <v>1198</v>
      </c>
      <c r="AI96" s="575"/>
    </row>
    <row r="97" spans="3:35">
      <c r="C97" s="570" t="str">
        <f>"TFS"&amp;LEFT(AB97,1)&amp;AC97&amp;RIGHT(F97,1)&amp;MID(G97,3,1)&amp;"N"</f>
        <v>TFSSNGDUC2N</v>
      </c>
      <c r="E97" s="555" t="s">
        <v>1177</v>
      </c>
      <c r="F97" s="548" t="s">
        <v>1337</v>
      </c>
      <c r="G97" s="548">
        <v>2020</v>
      </c>
      <c r="H97" s="1362" t="s">
        <v>1175</v>
      </c>
      <c r="I97" s="1363">
        <f t="array" ref="I97">INDEX($AI$12:$BH$15,MATCH(F97,$AH$12:$AH$15,0),MATCH(I$1&amp;$AB97,$AI$9:$BH$9&amp;$AI$11:$BH$11,0))</f>
        <v>2450</v>
      </c>
      <c r="J97" s="1363">
        <f>I97</f>
        <v>2450</v>
      </c>
      <c r="K97" s="1363">
        <v>0</v>
      </c>
      <c r="L97" s="1397">
        <v>0</v>
      </c>
      <c r="M97" s="1366">
        <f t="array" ref="M97">1/(INDEX($AI$12:$BH$15,MATCH($F97,$AH$12:$AH$15,0),MATCH(($G97&amp;M$1)&amp;$AB97,$AI$9:$BH$9&amp;$AI$11:$BH$11,0))/1.852)</f>
        <v>1.7403348779577166</v>
      </c>
      <c r="N97" s="1366">
        <f>M97</f>
        <v>1.7403348779577166</v>
      </c>
      <c r="O97" s="1362">
        <v>30</v>
      </c>
      <c r="P97" s="1366"/>
      <c r="Q97" s="1366">
        <f>0.035*R97</f>
        <v>1315.6555901110858</v>
      </c>
      <c r="R97" s="1366">
        <f>(AA97*(INDEX(ShipData!$P$19:$R$26,MATCH($AE97,ShipData!$N$19:$N$26,0),MATCH($AD97,ShipData!$P$18:$R$18,0))+INDEX(ShipData!$P$30:$R$37,MATCH($AE97,ShipData!$N$30:$N$37,0),MATCH($AD97,ShipData!$P$29:$R$29,0)))+K97*0.1*(1/M97)*INDEX(ShipData!$P$41:$R$48,MATCH($AE97,ShipData!$N$41:$N$48,0),MATCH($AD97,ShipData!$P$40:$R$40,0)))*6.5/1000</f>
        <v>37590.159717459588</v>
      </c>
      <c r="S97" s="1362">
        <v>0.95</v>
      </c>
      <c r="T97" s="1362">
        <v>1E-3</v>
      </c>
      <c r="U97" s="1368"/>
      <c r="V97" s="1362">
        <v>5</v>
      </c>
      <c r="W97" s="1362"/>
      <c r="Z97" s="1366">
        <f t="array" ref="Z97">INDEX($AI$12:$BH$15,MATCH(F97,$AH$12:$AH$15,0),MATCH($AB97&amp;$Z$1,$AI$11:$BH$11&amp;$AI$9:$BH$9,0))/1000</f>
        <v>3.5</v>
      </c>
      <c r="AA97" s="570">
        <f t="array" ref="AA97">(Z97^INDEX(ShipData!$X$36:$X$39,MATCH($F97,ShipData!$U$36:$U$39,0)))*0.756*INDEX(ShipData!$W$36:$W$39,MATCH($F97,ShipData!$U$36:$U$39,0))</f>
        <v>2454.0448908848457</v>
      </c>
      <c r="AB97" s="570" t="s">
        <v>1178</v>
      </c>
      <c r="AC97" s="548" t="s">
        <v>1196</v>
      </c>
      <c r="AD97" s="570" t="s">
        <v>1335</v>
      </c>
      <c r="AE97" s="570" t="s">
        <v>1198</v>
      </c>
      <c r="AI97" s="575"/>
    </row>
    <row r="98" spans="3:35">
      <c r="E98" s="555" t="s">
        <v>1185</v>
      </c>
      <c r="F98" s="548"/>
      <c r="G98" s="548"/>
      <c r="H98" s="1362"/>
      <c r="I98" s="1362"/>
      <c r="J98" s="1362"/>
      <c r="K98" s="1363"/>
      <c r="L98" s="1397"/>
      <c r="M98" s="1366"/>
      <c r="N98" s="1366"/>
      <c r="O98" s="1362"/>
      <c r="P98" s="1366"/>
      <c r="Q98" s="1366"/>
      <c r="S98" s="1362"/>
      <c r="T98" s="1362"/>
      <c r="U98" s="1368"/>
      <c r="V98" s="1362"/>
      <c r="W98" s="1362"/>
      <c r="Z98" s="1366" t="e">
        <f t="array" ref="Z98">INDEX($AI$12:$BH$15,MATCH(F98,$AH$12:$AH$15,0),MATCH($AB98&amp;$Z$1,$AI$11:$BH$11&amp;$AI$9:$BH$9,0))/1000</f>
        <v>#N/A</v>
      </c>
      <c r="AA98" s="570" t="e">
        <f t="array" ref="AA98">(Z98^INDEX(ShipData!$X$36:$X$39,MATCH($F98,ShipData!$U$36:$U$39,0)))*0.756*INDEX(ShipData!$W$36:$W$39,MATCH($F98,ShipData!$U$36:$U$39,0))</f>
        <v>#N/A</v>
      </c>
      <c r="AC98" s="548" t="s">
        <v>1196</v>
      </c>
      <c r="AD98" s="570" t="s">
        <v>1335</v>
      </c>
      <c r="AE98" s="570" t="s">
        <v>1198</v>
      </c>
      <c r="AI98" s="575"/>
    </row>
    <row r="99" spans="3:35">
      <c r="E99" s="555" t="s">
        <v>1177</v>
      </c>
      <c r="F99" s="548" t="s">
        <v>1337</v>
      </c>
      <c r="G99" s="548">
        <v>2030</v>
      </c>
      <c r="H99" s="1362" t="s">
        <v>1175</v>
      </c>
      <c r="I99" s="1363">
        <f t="array" ref="I99">INDEX($AI$12:$BH$15,MATCH(F99,$AH$12:$AH$15,0),MATCH(I$1&amp;$AB99,$AI$9:$BH$9&amp;$AI$11:$BH$11,0))</f>
        <v>2450</v>
      </c>
      <c r="J99" s="1363">
        <f>I99</f>
        <v>2450</v>
      </c>
      <c r="K99" s="1363">
        <v>0</v>
      </c>
      <c r="L99" s="1397">
        <v>0</v>
      </c>
      <c r="M99" s="1366">
        <f t="array" ref="M99">1/(INDEX($AI$12:$BH$15,MATCH($F99,$AH$12:$AH$15,0),MATCH(($G99&amp;M$1)&amp;$AB99,$AI$9:$BH$9&amp;$AI$11:$BH$11,0))/1.852)</f>
        <v>1.7403348779577166</v>
      </c>
      <c r="N99" s="1366">
        <f>M99</f>
        <v>1.7403348779577166</v>
      </c>
      <c r="O99" s="1362">
        <v>30</v>
      </c>
      <c r="P99" s="1366"/>
      <c r="Q99" s="1363">
        <v>2551.1616270000004</v>
      </c>
      <c r="R99" s="1366">
        <f>(AA99*(INDEX(ShipData!$P$19:$R$26,MATCH($AE99,ShipData!$N$19:$N$26,0),MATCH($AD99,ShipData!$P$18:$R$18,0))+INDEX(ShipData!$P$30:$R$37,MATCH($AE99,ShipData!$N$30:$N$37,0),MATCH($AD99,ShipData!$P$29:$R$29,0)))+K99*0.1*(1/M99)*INDEX(ShipData!$P$41:$R$48,MATCH($AE99,ShipData!$N$41:$N$48,0),MATCH($AD99,ShipData!$P$40:$R$40,0)))*6.5/1000</f>
        <v>37590.159717459588</v>
      </c>
      <c r="S99" s="1362">
        <v>0.95</v>
      </c>
      <c r="T99" s="1362">
        <v>1E-3</v>
      </c>
      <c r="U99" s="1368"/>
      <c r="V99" s="1362">
        <v>5</v>
      </c>
      <c r="W99" s="1362"/>
      <c r="Z99" s="1366">
        <f t="array" ref="Z99">INDEX($AI$12:$BH$15,MATCH(F99,$AH$12:$AH$15,0),MATCH($AB99&amp;$Z$1,$AI$11:$BH$11&amp;$AI$9:$BH$9,0))/1000</f>
        <v>3.5</v>
      </c>
      <c r="AA99" s="570">
        <f t="array" ref="AA99">(Z99^INDEX(ShipData!$X$36:$X$39,MATCH($F99,ShipData!$U$36:$U$39,0)))*0.756*INDEX(ShipData!$W$36:$W$39,MATCH($F99,ShipData!$U$36:$U$39,0))</f>
        <v>2454.0448908848457</v>
      </c>
      <c r="AB99" s="570" t="str">
        <f>AB97</f>
        <v>Small</v>
      </c>
      <c r="AC99" s="548" t="s">
        <v>1196</v>
      </c>
      <c r="AD99" s="570" t="s">
        <v>1335</v>
      </c>
      <c r="AE99" s="570" t="s">
        <v>1198</v>
      </c>
      <c r="AI99" s="575"/>
    </row>
    <row r="100" spans="3:35">
      <c r="E100" s="555" t="s">
        <v>1197</v>
      </c>
      <c r="F100" s="548"/>
      <c r="G100" s="548"/>
      <c r="H100" s="1362"/>
      <c r="I100" s="1362"/>
      <c r="J100" s="1362"/>
      <c r="K100" s="1363"/>
      <c r="L100" s="1397"/>
      <c r="M100" s="1366"/>
      <c r="N100" s="1366"/>
      <c r="O100" s="1362"/>
      <c r="P100" s="1366"/>
      <c r="Q100" s="1366"/>
      <c r="S100" s="1362"/>
      <c r="T100" s="1362"/>
      <c r="U100" s="1368"/>
      <c r="V100" s="1362"/>
      <c r="W100" s="1362"/>
      <c r="Z100" s="1366" t="e">
        <f t="array" ref="Z100">INDEX($AI$12:$BH$15,MATCH(F100,$AH$12:$AH$15,0),MATCH($AB100&amp;$Z$1,$AI$11:$BH$11&amp;$AI$9:$BH$9,0))/1000</f>
        <v>#N/A</v>
      </c>
      <c r="AA100" s="570" t="e">
        <f t="array" ref="AA100">(Z100^INDEX(ShipData!$X$36:$X$39,MATCH($F100,ShipData!$U$36:$U$39,0)))*0.756*INDEX(ShipData!$W$36:$W$39,MATCH($F100,ShipData!$U$36:$U$39,0))</f>
        <v>#N/A</v>
      </c>
      <c r="AC100" s="548" t="s">
        <v>1196</v>
      </c>
      <c r="AD100" s="570" t="s">
        <v>1335</v>
      </c>
      <c r="AE100" s="570" t="s">
        <v>1198</v>
      </c>
      <c r="AI100" s="575"/>
    </row>
    <row r="101" spans="3:35">
      <c r="C101" s="570" t="str">
        <f>"TFS"&amp;LEFT(AB101,1)&amp;AC101&amp;RIGHT(F101,1)&amp;MID(G101,3,1)&amp;"N"</f>
        <v>TFSMNGDUC2N</v>
      </c>
      <c r="E101" s="555" t="s">
        <v>1177</v>
      </c>
      <c r="F101" s="548" t="s">
        <v>1337</v>
      </c>
      <c r="G101" s="548">
        <v>2020</v>
      </c>
      <c r="H101" s="1362" t="s">
        <v>1175</v>
      </c>
      <c r="I101" s="1363">
        <f t="array" ref="I101">INDEX($AI$12:$BH$15,MATCH(F101,$AH$12:$AH$15,0),MATCH(I$1&amp;$AB101,$AI$9:$BH$9&amp;$AI$11:$BH$11,0))</f>
        <v>4900</v>
      </c>
      <c r="J101" s="1363">
        <f>I101</f>
        <v>4900</v>
      </c>
      <c r="K101" s="1363">
        <v>362</v>
      </c>
      <c r="L101" s="1397">
        <v>653</v>
      </c>
      <c r="M101" s="1366">
        <f t="array" ref="M101">1/(INDEX($AI$12:$BH$15,MATCH($F101,$AH$12:$AH$15,0),MATCH(($G101&amp;M$1)&amp;$AB101,$AI$9:$BH$9&amp;$AI$11:$BH$11,0))/1.852)</f>
        <v>0.87906595126970144</v>
      </c>
      <c r="N101" s="1366">
        <f>M101</f>
        <v>0.87906595126970144</v>
      </c>
      <c r="O101" s="1362">
        <v>30</v>
      </c>
      <c r="P101" s="1366"/>
      <c r="Q101" s="1366">
        <f>0.035*R101</f>
        <v>2940.6796152555312</v>
      </c>
      <c r="R101" s="1366">
        <f>(AA101*(INDEX(ShipData!$P$19:$R$26,MATCH($AE101,ShipData!$N$19:$N$26,0),MATCH($AD101,ShipData!$P$18:$R$18,0))+INDEX(ShipData!$P$30:$R$37,MATCH($AE101,ShipData!$N$30:$N$37,0),MATCH($AD101,ShipData!$P$29:$R$29,0)))+K101*0.1*(1/M101)*INDEX(ShipData!$P$41:$R$48,MATCH($AE101,ShipData!$N$41:$N$48,0),MATCH($AD101,ShipData!$P$40:$R$40,0)))*6.5/1000</f>
        <v>84019.417578729452</v>
      </c>
      <c r="S101" s="1362">
        <v>0.95</v>
      </c>
      <c r="T101" s="1362">
        <v>1E-3</v>
      </c>
      <c r="U101" s="1368"/>
      <c r="V101" s="1362">
        <v>5</v>
      </c>
      <c r="W101" s="1362"/>
      <c r="Z101" s="1366">
        <f t="array" ref="Z101">INDEX($AI$12:$BH$15,MATCH(F101,$AH$12:$AH$15,0),MATCH($AB101&amp;$Z$1,$AI$11:$BH$11&amp;$AI$9:$BH$9,0))/1000</f>
        <v>7</v>
      </c>
      <c r="AA101" s="570">
        <f t="array" ref="AA101">(Z101^INDEX(ShipData!$X$36:$X$39,MATCH($F101,ShipData!$U$36:$U$39,0)))*0.756*INDEX(ShipData!$W$36:$W$39,MATCH($F101,ShipData!$U$36:$U$39,0))</f>
        <v>5483.7455856749639</v>
      </c>
      <c r="AB101" s="570" t="s">
        <v>1174</v>
      </c>
      <c r="AC101" s="548" t="s">
        <v>1196</v>
      </c>
      <c r="AD101" s="570" t="s">
        <v>1335</v>
      </c>
      <c r="AE101" s="570" t="s">
        <v>1198</v>
      </c>
      <c r="AI101" s="575"/>
    </row>
    <row r="102" spans="3:35">
      <c r="E102" s="555" t="s">
        <v>1185</v>
      </c>
      <c r="F102" s="548"/>
      <c r="G102" s="548"/>
      <c r="H102" s="1362"/>
      <c r="I102" s="1362"/>
      <c r="J102" s="1362"/>
      <c r="K102" s="1363"/>
      <c r="L102" s="1397"/>
      <c r="M102" s="1366"/>
      <c r="N102" s="1366"/>
      <c r="O102" s="1362"/>
      <c r="P102" s="1366"/>
      <c r="Q102" s="1366"/>
      <c r="S102" s="1362"/>
      <c r="T102" s="1362"/>
      <c r="U102" s="1368"/>
      <c r="V102" s="1362"/>
      <c r="W102" s="1362"/>
      <c r="Z102" s="1366" t="e">
        <f t="array" ref="Z102">INDEX($AI$12:$BH$15,MATCH(F102,$AH$12:$AH$15,0),MATCH($AB102&amp;$Z$1,$AI$11:$BH$11&amp;$AI$9:$BH$9,0))/1000</f>
        <v>#N/A</v>
      </c>
      <c r="AA102" s="570" t="e">
        <f t="array" ref="AA102">(Z102^INDEX(ShipData!$X$36:$X$39,MATCH($F102,ShipData!$U$36:$U$39,0)))*0.756*INDEX(ShipData!$W$36:$W$39,MATCH($F102,ShipData!$U$36:$U$39,0))</f>
        <v>#N/A</v>
      </c>
      <c r="AC102" s="548" t="s">
        <v>1196</v>
      </c>
      <c r="AD102" s="570" t="s">
        <v>1335</v>
      </c>
      <c r="AE102" s="570" t="s">
        <v>1198</v>
      </c>
      <c r="AI102" s="575"/>
    </row>
    <row r="103" spans="3:35">
      <c r="E103" s="555" t="s">
        <v>1177</v>
      </c>
      <c r="F103" s="548" t="s">
        <v>1337</v>
      </c>
      <c r="G103" s="548">
        <v>2030</v>
      </c>
      <c r="H103" s="1362" t="s">
        <v>1175</v>
      </c>
      <c r="I103" s="1363">
        <f t="array" ref="I103">INDEX($AI$12:$BH$15,MATCH(F103,$AH$12:$AH$15,0),MATCH(I$1&amp;$AB103,$AI$9:$BH$9&amp;$AI$11:$BH$11,0))</f>
        <v>4900</v>
      </c>
      <c r="J103" s="1363">
        <f>I103</f>
        <v>4900</v>
      </c>
      <c r="K103" s="1363">
        <v>362</v>
      </c>
      <c r="L103" s="1397">
        <v>653</v>
      </c>
      <c r="M103" s="1366">
        <f t="array" ref="M103">1/(INDEX($AI$12:$BH$15,MATCH($F103,$AH$12:$AH$15,0),MATCH(($G103&amp;M$1)&amp;$AB103,$AI$9:$BH$9&amp;$AI$11:$BH$11,0))/1.852)</f>
        <v>0.87906595126970144</v>
      </c>
      <c r="N103" s="1366">
        <f>M103</f>
        <v>0.87906595126970144</v>
      </c>
      <c r="O103" s="1362">
        <v>30</v>
      </c>
      <c r="P103" s="1366"/>
      <c r="Q103" s="1363">
        <v>5699.5605135000014</v>
      </c>
      <c r="R103" s="1366">
        <f>(AA103*(INDEX(ShipData!$P$19:$R$26,MATCH($AE103,ShipData!$N$19:$N$26,0),MATCH($AD103,ShipData!$P$18:$R$18,0))+INDEX(ShipData!$P$30:$R$37,MATCH($AE103,ShipData!$N$30:$N$37,0),MATCH($AD103,ShipData!$P$29:$R$29,0)))+K103*0.1*(1/M103)*INDEX(ShipData!$P$41:$R$48,MATCH($AE103,ShipData!$N$41:$N$48,0),MATCH($AD103,ShipData!$P$40:$R$40,0)))*6.5/1000</f>
        <v>84019.417578729452</v>
      </c>
      <c r="S103" s="1362">
        <v>0.95</v>
      </c>
      <c r="T103" s="1362">
        <v>1E-3</v>
      </c>
      <c r="U103" s="1368"/>
      <c r="V103" s="1362">
        <v>5</v>
      </c>
      <c r="W103" s="1362"/>
      <c r="Z103" s="1366">
        <f t="array" ref="Z103">INDEX($AI$12:$BH$15,MATCH(F103,$AH$12:$AH$15,0),MATCH($AB103&amp;$Z$1,$AI$11:$BH$11&amp;$AI$9:$BH$9,0))/1000</f>
        <v>7</v>
      </c>
      <c r="AA103" s="570">
        <f t="array" ref="AA103">(Z103^INDEX(ShipData!$X$36:$X$39,MATCH($F103,ShipData!$U$36:$U$39,0)))*0.756*INDEX(ShipData!$W$36:$W$39,MATCH($F103,ShipData!$U$36:$U$39,0))</f>
        <v>5483.7455856749639</v>
      </c>
      <c r="AB103" s="570" t="str">
        <f>AB101</f>
        <v>Medium</v>
      </c>
      <c r="AC103" s="548" t="s">
        <v>1196</v>
      </c>
      <c r="AD103" s="570" t="s">
        <v>1335</v>
      </c>
      <c r="AE103" s="570" t="s">
        <v>1198</v>
      </c>
      <c r="AI103" s="575"/>
    </row>
    <row r="104" spans="3:35">
      <c r="E104" s="555" t="s">
        <v>1197</v>
      </c>
      <c r="F104" s="548"/>
      <c r="G104" s="548"/>
      <c r="H104" s="1362"/>
      <c r="I104" s="1362"/>
      <c r="J104" s="1362"/>
      <c r="K104" s="1363"/>
      <c r="L104" s="1397"/>
      <c r="M104" s="1366"/>
      <c r="N104" s="1366"/>
      <c r="O104" s="1362"/>
      <c r="P104" s="1366"/>
      <c r="Q104" s="1366"/>
      <c r="S104" s="1362"/>
      <c r="T104" s="1362"/>
      <c r="U104" s="1368"/>
      <c r="V104" s="1362"/>
      <c r="W104" s="1362"/>
      <c r="Z104" s="1366" t="e">
        <f t="array" ref="Z104">INDEX($AI$12:$BH$15,MATCH(F104,$AH$12:$AH$15,0),MATCH($AB104&amp;$Z$1,$AI$11:$BH$11&amp;$AI$9:$BH$9,0))/1000</f>
        <v>#N/A</v>
      </c>
      <c r="AA104" s="570" t="e">
        <f t="array" ref="AA104">(Z104^INDEX(ShipData!$X$36:$X$39,MATCH($F104,ShipData!$U$36:$U$39,0)))*0.756*INDEX(ShipData!$W$36:$W$39,MATCH($F104,ShipData!$U$36:$U$39,0))</f>
        <v>#N/A</v>
      </c>
      <c r="AC104" s="548" t="s">
        <v>1196</v>
      </c>
      <c r="AD104" s="570" t="s">
        <v>1335</v>
      </c>
      <c r="AE104" s="570" t="s">
        <v>1198</v>
      </c>
      <c r="AI104" s="575"/>
    </row>
    <row r="105" spans="3:35">
      <c r="C105" s="570" t="str">
        <f>"TFS"&amp;LEFT(AB105,1)&amp;AC105&amp;RIGHT(F105,1)&amp;MID(G105,3,1)&amp;"N"</f>
        <v>TFSLNGDUC2N</v>
      </c>
      <c r="E105" s="555" t="s">
        <v>1177</v>
      </c>
      <c r="F105" s="548" t="s">
        <v>1337</v>
      </c>
      <c r="G105" s="548">
        <v>2020</v>
      </c>
      <c r="H105" s="1362" t="s">
        <v>1175</v>
      </c>
      <c r="I105" s="1363">
        <f t="array" ref="I105">INDEX($AI$12:$BH$15,MATCH(F105,$AH$12:$AH$15,0),MATCH(I$1&amp;$AB105,$AI$9:$BH$9&amp;$AI$11:$BH$11,0))</f>
        <v>11760</v>
      </c>
      <c r="J105" s="1363">
        <f>I105</f>
        <v>11760</v>
      </c>
      <c r="K105" s="1363">
        <v>579</v>
      </c>
      <c r="L105" s="1397">
        <v>1045</v>
      </c>
      <c r="M105" s="1366">
        <f t="array" ref="M105">1/(INDEX($AI$12:$BH$15,MATCH($F105,$AH$12:$AH$15,0),MATCH(($G105&amp;M$1)&amp;$AB105,$AI$9:$BH$9&amp;$AI$11:$BH$11,0))/1.852)</f>
        <v>0.40793352062343913</v>
      </c>
      <c r="N105" s="1366">
        <f>M105</f>
        <v>0.40793352062343913</v>
      </c>
      <c r="O105" s="1362">
        <v>30</v>
      </c>
      <c r="P105" s="1366"/>
      <c r="Q105" s="1366">
        <f>0.035*R105</f>
        <v>8119.3309913691674</v>
      </c>
      <c r="R105" s="1366">
        <f>(AA105*(INDEX(ShipData!$P$19:$R$26,MATCH($AE105,ShipData!$N$19:$N$26,0),MATCH($AD105,ShipData!$P$18:$R$18,0))+INDEX(ShipData!$P$30:$R$37,MATCH($AE105,ShipData!$N$30:$N$37,0),MATCH($AD105,ShipData!$P$29:$R$29,0)))+K105*0.1*(1/M105)*INDEX(ShipData!$P$41:$R$48,MATCH($AE105,ShipData!$N$41:$N$48,0),MATCH($AD105,ShipData!$P$40:$R$40,0)))*6.5/1000</f>
        <v>231980.88546769047</v>
      </c>
      <c r="S105" s="1362">
        <v>0.95</v>
      </c>
      <c r="T105" s="1362">
        <v>1E-3</v>
      </c>
      <c r="U105" s="1368"/>
      <c r="V105" s="1362">
        <v>5</v>
      </c>
      <c r="W105" s="1362"/>
      <c r="Z105" s="1366">
        <f t="array" ref="Z105">INDEX($AI$12:$BH$15,MATCH(F105,$AH$12:$AH$15,0),MATCH($AB105&amp;$Z$1,$AI$11:$BH$11&amp;$AI$9:$BH$9,0))/1000</f>
        <v>16.8</v>
      </c>
      <c r="AA105" s="570">
        <f t="array" ref="AA105">(Z105^INDEX(ShipData!$X$36:$X$39,MATCH($F105,ShipData!$U$36:$U$39,0)))*0.756*INDEX(ShipData!$W$36:$W$39,MATCH($F105,ShipData!$U$36:$U$39,0))</f>
        <v>15139.876697863274</v>
      </c>
      <c r="AB105" s="570" t="s">
        <v>1190</v>
      </c>
      <c r="AC105" s="548" t="s">
        <v>1196</v>
      </c>
      <c r="AD105" s="570" t="s">
        <v>1335</v>
      </c>
      <c r="AE105" s="570" t="s">
        <v>1198</v>
      </c>
      <c r="AI105" s="575"/>
    </row>
    <row r="106" spans="3:35">
      <c r="E106" s="555" t="s">
        <v>1185</v>
      </c>
      <c r="F106" s="548"/>
      <c r="G106" s="548"/>
      <c r="H106" s="1362"/>
      <c r="I106" s="1362"/>
      <c r="J106" s="1362"/>
      <c r="K106" s="1362"/>
      <c r="L106" s="1397"/>
      <c r="M106" s="1366"/>
      <c r="N106" s="1363"/>
      <c r="O106" s="1363"/>
      <c r="P106" s="1366"/>
      <c r="Q106" s="1366"/>
      <c r="R106" s="1362"/>
      <c r="S106" s="1362"/>
      <c r="V106" s="1362"/>
      <c r="W106" s="1362"/>
      <c r="Z106" s="1366" t="e">
        <f t="array" ref="Z106">INDEX($AI$12:$BH$15,MATCH(F106,$AH$12:$AH$15,0),MATCH($AB106&amp;$Z$1,$AI$11:$BH$11&amp;$AI$9:$BH$9,0))/1000</f>
        <v>#N/A</v>
      </c>
      <c r="AA106" s="570" t="e">
        <f t="array" ref="AA106">(Z106^INDEX(ShipData!$X$36:$X$39,MATCH($F106,ShipData!$U$36:$U$39,0)))*0.756*INDEX(ShipData!$W$36:$W$39,MATCH($F106,ShipData!$U$36:$U$39,0))</f>
        <v>#N/A</v>
      </c>
      <c r="AC106" s="548" t="s">
        <v>1196</v>
      </c>
      <c r="AD106" s="570" t="s">
        <v>1335</v>
      </c>
      <c r="AE106" s="570" t="s">
        <v>1198</v>
      </c>
      <c r="AI106" s="575"/>
    </row>
    <row r="107" spans="3:35">
      <c r="E107" s="555" t="s">
        <v>1177</v>
      </c>
      <c r="F107" s="548" t="s">
        <v>1337</v>
      </c>
      <c r="G107" s="548">
        <v>2030</v>
      </c>
      <c r="H107" s="1362" t="s">
        <v>1175</v>
      </c>
      <c r="I107" s="1363">
        <f t="array" ref="I107">INDEX($AI$12:$BH$15,MATCH(F107,$AH$12:$AH$15,0),MATCH(I$1&amp;$AB107,$AI$9:$BH$9&amp;$AI$11:$BH$11,0))</f>
        <v>11760</v>
      </c>
      <c r="J107" s="1363">
        <f>I107</f>
        <v>11760</v>
      </c>
      <c r="K107" s="1363">
        <v>579</v>
      </c>
      <c r="L107" s="1397">
        <v>1045</v>
      </c>
      <c r="M107" s="1366">
        <f t="array" ref="M107">1/(INDEX($AI$12:$BH$15,MATCH($F107,$AH$12:$AH$15,0),MATCH(($G107&amp;M$1)&amp;$AB107,$AI$9:$BH$9&amp;$AI$11:$BH$11,0))/1.852)</f>
        <v>0.40793352062343913</v>
      </c>
      <c r="N107" s="1366">
        <f>M107</f>
        <v>0.40793352062343913</v>
      </c>
      <c r="O107" s="1362">
        <v>30</v>
      </c>
      <c r="P107" s="1366"/>
      <c r="Q107" s="1363">
        <v>15736.727790000001</v>
      </c>
      <c r="R107" s="1366">
        <f>(AA107*(INDEX(ShipData!$P$19:$R$26,MATCH($AE107,ShipData!$N$19:$N$26,0),MATCH($AD107,ShipData!$P$18:$R$18,0))+INDEX(ShipData!$P$30:$R$37,MATCH($AE107,ShipData!$N$30:$N$37,0),MATCH($AD107,ShipData!$P$29:$R$29,0)))+K107*0.1*(1/M107)*INDEX(ShipData!$P$41:$R$48,MATCH($AE107,ShipData!$N$41:$N$48,0),MATCH($AD107,ShipData!$P$40:$R$40,0)))*6.5/1000</f>
        <v>231980.88546769047</v>
      </c>
      <c r="S107" s="1362">
        <v>0.95</v>
      </c>
      <c r="T107" s="1362">
        <v>1E-3</v>
      </c>
      <c r="U107" s="1368"/>
      <c r="V107" s="1362">
        <v>5</v>
      </c>
      <c r="W107" s="1362"/>
      <c r="Z107" s="1366">
        <f t="array" ref="Z107">INDEX($AI$12:$BH$15,MATCH(F107,$AH$12:$AH$15,0),MATCH($AB107&amp;$Z$1,$AI$11:$BH$11&amp;$AI$9:$BH$9,0))/1000</f>
        <v>16.8</v>
      </c>
      <c r="AA107" s="570">
        <f t="array" ref="AA107">(Z107^INDEX(ShipData!$X$36:$X$39,MATCH($F107,ShipData!$U$36:$U$39,0)))*0.756*INDEX(ShipData!$W$36:$W$39,MATCH($F107,ShipData!$U$36:$U$39,0))</f>
        <v>15139.876697863274</v>
      </c>
      <c r="AB107" s="570" t="str">
        <f>AB105</f>
        <v>Large</v>
      </c>
      <c r="AC107" s="548" t="s">
        <v>1196</v>
      </c>
      <c r="AD107" s="570" t="s">
        <v>1335</v>
      </c>
      <c r="AE107" s="570" t="s">
        <v>1198</v>
      </c>
      <c r="AG107" s="1149"/>
      <c r="AI107" s="575"/>
    </row>
    <row r="108" spans="3:35">
      <c r="E108" s="555" t="s">
        <v>1197</v>
      </c>
      <c r="F108" s="548"/>
      <c r="G108" s="548"/>
      <c r="H108" s="1362"/>
      <c r="I108" s="1362"/>
      <c r="J108" s="1362"/>
      <c r="K108" s="1362"/>
      <c r="L108" s="1397"/>
      <c r="M108" s="1362"/>
      <c r="N108" s="1363"/>
      <c r="O108" s="1363"/>
      <c r="P108" s="1366"/>
      <c r="Q108" s="1366"/>
      <c r="R108" s="1362"/>
      <c r="S108" s="1362"/>
      <c r="V108" s="1362"/>
      <c r="W108" s="1362"/>
      <c r="Z108" s="1366" t="e">
        <f t="array" ref="Z108">INDEX($AI$12:$BH$15,MATCH(F108,$AH$12:$AH$15,0),MATCH($AB108&amp;$Z$1,$AI$11:$BH$11&amp;$AI$9:$BH$9,0))/1000</f>
        <v>#N/A</v>
      </c>
      <c r="AA108" s="570" t="e">
        <f t="array" ref="AA108">(Z108^INDEX(ShipData!$X$36:$X$39,MATCH($F108,ShipData!$U$36:$U$39,0)))*0.756*INDEX(ShipData!$W$36:$W$39,MATCH($F108,ShipData!$U$36:$U$39,0))</f>
        <v>#N/A</v>
      </c>
      <c r="AC108" s="548" t="s">
        <v>1196</v>
      </c>
      <c r="AD108" s="570" t="s">
        <v>1335</v>
      </c>
      <c r="AE108" s="570" t="s">
        <v>1198</v>
      </c>
      <c r="AI108" s="575"/>
    </row>
    <row r="109" spans="3:35">
      <c r="C109" s="570" t="str">
        <f>"TFS"&amp;LEFT(AB109,1)&amp;AC109&amp;RIGHT(F109,1)&amp;MID(G109,3,1)&amp;"N"</f>
        <v>TFSSNGDUR2N</v>
      </c>
      <c r="E109" s="555" t="s">
        <v>1177</v>
      </c>
      <c r="F109" s="548" t="s">
        <v>1336</v>
      </c>
      <c r="G109" s="548">
        <v>2020</v>
      </c>
      <c r="H109" s="1362" t="s">
        <v>1175</v>
      </c>
      <c r="I109" s="1363">
        <f t="array" ref="I109">INDEX($AI$12:$BH$15,MATCH(F109,$AH$12:$AH$15,0),MATCH(I$1&amp;$AB109,$AI$9:$BH$9&amp;$AI$11:$BH$11,0))</f>
        <v>1002</v>
      </c>
      <c r="J109" s="1363">
        <f>I109</f>
        <v>1002</v>
      </c>
      <c r="K109" s="1363">
        <v>38287</v>
      </c>
      <c r="L109" s="1397">
        <v>69083</v>
      </c>
      <c r="M109" s="1366">
        <f t="array" ref="M109">1/(INDEX($AI$12:$BH$15,MATCH($F109,$AH$12:$AH$15,0),MATCH(($G109&amp;M$1)&amp;$AB109,$AI$9:$BH$9&amp;$AI$11:$BH$11,0))/1.852)</f>
        <v>1.7403348779577166</v>
      </c>
      <c r="N109" s="1366">
        <f>M109</f>
        <v>1.7403348779577166</v>
      </c>
      <c r="O109" s="1362">
        <v>30</v>
      </c>
      <c r="P109" s="1366"/>
      <c r="Q109" s="1366">
        <f>0.035*R109</f>
        <v>959.63528616926214</v>
      </c>
      <c r="R109" s="1366">
        <f>(AA109*(INDEX(ShipData!$P$19:$R$26,MATCH($AE109,ShipData!$N$19:$N$26,0),MATCH($AD109,ShipData!$P$18:$R$18,0))+INDEX(ShipData!$P$30:$R$37,MATCH($AE109,ShipData!$N$30:$N$37,0),MATCH($AD109,ShipData!$P$29:$R$29,0)))+K109*0.1*(1/M109)*INDEX(ShipData!$P$41:$R$48,MATCH($AE109,ShipData!$N$41:$N$48,0),MATCH($AD109,ShipData!$P$40:$R$40,0)))*6.5/1000</f>
        <v>27418.151033407488</v>
      </c>
      <c r="S109" s="1362">
        <v>0.95</v>
      </c>
      <c r="T109" s="1362">
        <v>1E-3</v>
      </c>
      <c r="U109" s="1368"/>
      <c r="V109" s="1362">
        <v>5</v>
      </c>
      <c r="W109" s="1362"/>
      <c r="Z109" s="1366">
        <f t="array" ref="Z109">INDEX($AI$12:$BH$15,MATCH(F109,$AH$12:$AH$15,0),MATCH($AB109&amp;$Z$1,$AI$11:$BH$11&amp;$AI$9:$BH$9,0))/1000</f>
        <v>1.4314285714285715</v>
      </c>
      <c r="AA109" s="570">
        <f t="array" ref="AA109">(Z109^INDEX(ShipData!$X$36:$X$39,MATCH($F109,ShipData!$U$36:$U$39,0)))*0.756*INDEX(ShipData!$W$36:$W$39,MATCH($F109,ShipData!$U$36:$U$39,0))</f>
        <v>1715.2886160618959</v>
      </c>
      <c r="AB109" s="570" t="s">
        <v>1178</v>
      </c>
      <c r="AC109" s="548" t="s">
        <v>1196</v>
      </c>
      <c r="AD109" s="570" t="s">
        <v>1335</v>
      </c>
      <c r="AE109" s="570" t="s">
        <v>1198</v>
      </c>
      <c r="AI109" s="575"/>
    </row>
    <row r="110" spans="3:35">
      <c r="E110" s="555" t="s">
        <v>1185</v>
      </c>
      <c r="F110" s="548"/>
      <c r="G110" s="548"/>
      <c r="H110" s="1362"/>
      <c r="I110" s="1362"/>
      <c r="J110" s="1362"/>
      <c r="K110" s="1363"/>
      <c r="L110" s="1397"/>
      <c r="M110" s="1366"/>
      <c r="N110" s="1366"/>
      <c r="O110" s="1362"/>
      <c r="P110" s="1366"/>
      <c r="Q110" s="1366"/>
      <c r="R110" s="1366"/>
      <c r="S110" s="1362"/>
      <c r="T110" s="1362"/>
      <c r="U110" s="1368"/>
      <c r="V110" s="1362"/>
      <c r="W110" s="1362"/>
      <c r="Z110" s="1366" t="e">
        <f t="array" ref="Z110">INDEX($AI$12:$BH$15,MATCH(F110,$AH$12:$AH$15,0),MATCH($AB110&amp;$Z$1,$AI$11:$BH$11&amp;$AI$9:$BH$9,0))/1000</f>
        <v>#N/A</v>
      </c>
      <c r="AA110" s="570" t="e">
        <f t="array" ref="AA110">(Z110^INDEX(ShipData!$X$36:$X$39,MATCH($F110,ShipData!$U$36:$U$39,0)))*0.756*INDEX(ShipData!$W$36:$W$39,MATCH($F110,ShipData!$U$36:$U$39,0))</f>
        <v>#N/A</v>
      </c>
      <c r="AC110" s="548" t="s">
        <v>1196</v>
      </c>
      <c r="AD110" s="570" t="s">
        <v>1335</v>
      </c>
      <c r="AE110" s="570" t="s">
        <v>1198</v>
      </c>
      <c r="AI110" s="575"/>
    </row>
    <row r="111" spans="3:35">
      <c r="E111" s="555" t="s">
        <v>1177</v>
      </c>
      <c r="F111" s="548" t="s">
        <v>1336</v>
      </c>
      <c r="G111" s="548">
        <v>2030</v>
      </c>
      <c r="H111" s="1362" t="s">
        <v>1175</v>
      </c>
      <c r="I111" s="1363">
        <f t="array" ref="I111">INDEX($AI$12:$BH$15,MATCH(F111,$AH$12:$AH$15,0),MATCH(I$1&amp;$AB111,$AI$9:$BH$9&amp;$AI$11:$BH$11,0))</f>
        <v>1002</v>
      </c>
      <c r="J111" s="1363">
        <f>I111</f>
        <v>1002</v>
      </c>
      <c r="K111" s="1363">
        <v>38287</v>
      </c>
      <c r="L111" s="1397">
        <v>69083</v>
      </c>
      <c r="M111" s="1366">
        <f t="array" ref="M111">1/(INDEX($AI$12:$BH$15,MATCH($F111,$AH$12:$AH$15,0),MATCH(($G111&amp;M$1)&amp;$AB111,$AI$9:$BH$9&amp;$AI$11:$BH$11,0))/1.852)</f>
        <v>1.7403348779577166</v>
      </c>
      <c r="N111" s="1366">
        <f>M111</f>
        <v>1.7403348779577166</v>
      </c>
      <c r="O111" s="1362">
        <v>30</v>
      </c>
      <c r="P111" s="1366"/>
      <c r="Q111" s="1363">
        <v>2322.7663725000002</v>
      </c>
      <c r="R111" s="1366">
        <f>(AA111*(INDEX(ShipData!$P$19:$R$26,MATCH($AE111,ShipData!$N$19:$N$26,0),MATCH($AD111,ShipData!$P$18:$R$18,0))+INDEX(ShipData!$P$30:$R$37,MATCH($AE111,ShipData!$N$30:$N$37,0),MATCH($AD111,ShipData!$P$29:$R$29,0)))+K111*0.1*(1/M111)*INDEX(ShipData!$P$41:$R$48,MATCH($AE111,ShipData!$N$41:$N$48,0),MATCH($AD111,ShipData!$P$40:$R$40,0)))*6.5/1000</f>
        <v>27418.151033407488</v>
      </c>
      <c r="S111" s="1362">
        <v>0.95</v>
      </c>
      <c r="T111" s="1362">
        <v>1E-3</v>
      </c>
      <c r="U111" s="1368"/>
      <c r="V111" s="1362">
        <v>5</v>
      </c>
      <c r="W111" s="1362"/>
      <c r="Z111" s="1366">
        <f t="array" ref="Z111">INDEX($AI$12:$BH$15,MATCH(F111,$AH$12:$AH$15,0),MATCH($AB111&amp;$Z$1,$AI$11:$BH$11&amp;$AI$9:$BH$9,0))/1000</f>
        <v>1.4314285714285715</v>
      </c>
      <c r="AA111" s="570">
        <f t="array" ref="AA111">(Z111^INDEX(ShipData!$X$36:$X$39,MATCH($F111,ShipData!$U$36:$U$39,0)))*0.756*INDEX(ShipData!$W$36:$W$39,MATCH($F111,ShipData!$U$36:$U$39,0))</f>
        <v>1715.2886160618959</v>
      </c>
      <c r="AB111" s="570" t="str">
        <f>AB109</f>
        <v>Small</v>
      </c>
      <c r="AC111" s="548" t="s">
        <v>1196</v>
      </c>
      <c r="AD111" s="570" t="s">
        <v>1335</v>
      </c>
      <c r="AE111" s="570" t="s">
        <v>1198</v>
      </c>
      <c r="AI111" s="575"/>
    </row>
    <row r="112" spans="3:35">
      <c r="E112" s="555" t="s">
        <v>1197</v>
      </c>
      <c r="F112" s="548"/>
      <c r="G112" s="548"/>
      <c r="H112" s="1362"/>
      <c r="I112" s="1362"/>
      <c r="J112" s="1362"/>
      <c r="K112" s="1363"/>
      <c r="L112" s="1397"/>
      <c r="M112" s="1366"/>
      <c r="N112" s="1366"/>
      <c r="O112" s="1362"/>
      <c r="P112" s="1366"/>
      <c r="Q112" s="1366"/>
      <c r="R112" s="1366"/>
      <c r="S112" s="1362"/>
      <c r="T112" s="1362"/>
      <c r="U112" s="1368"/>
      <c r="V112" s="1362"/>
      <c r="W112" s="1362"/>
      <c r="Z112" s="1366" t="e">
        <f t="array" ref="Z112">INDEX($AI$12:$BH$15,MATCH(F112,$AH$12:$AH$15,0),MATCH($AB112&amp;$Z$1,$AI$11:$BH$11&amp;$AI$9:$BH$9,0))/1000</f>
        <v>#N/A</v>
      </c>
      <c r="AA112" s="570" t="e">
        <f t="array" ref="AA112">(Z112^INDEX(ShipData!$X$36:$X$39,MATCH($F112,ShipData!$U$36:$U$39,0)))*0.756*INDEX(ShipData!$W$36:$W$39,MATCH($F112,ShipData!$U$36:$U$39,0))</f>
        <v>#N/A</v>
      </c>
      <c r="AC112" s="548" t="s">
        <v>1196</v>
      </c>
      <c r="AD112" s="570" t="s">
        <v>1335</v>
      </c>
      <c r="AE112" s="570" t="s">
        <v>1198</v>
      </c>
      <c r="AI112" s="575"/>
    </row>
    <row r="113" spans="3:35">
      <c r="C113" s="570" t="str">
        <f>"TFS"&amp;LEFT(AB113,1)&amp;AC113&amp;RIGHT(F113,1)&amp;MID(G113,3,1)&amp;"N"</f>
        <v>TFSMNGDUR2N</v>
      </c>
      <c r="E113" s="555" t="s">
        <v>1177</v>
      </c>
      <c r="F113" s="548" t="s">
        <v>1336</v>
      </c>
      <c r="G113" s="548">
        <v>2020</v>
      </c>
      <c r="H113" s="1362" t="s">
        <v>1175</v>
      </c>
      <c r="I113" s="1363">
        <f t="array" ref="I113">INDEX($AI$12:$BH$15,MATCH(F113,$AH$12:$AH$15,0),MATCH(I$1&amp;$AB113,$AI$9:$BH$9&amp;$AI$11:$BH$11,0))</f>
        <v>3608</v>
      </c>
      <c r="J113" s="1363">
        <f>I113</f>
        <v>3608</v>
      </c>
      <c r="K113" s="1363">
        <v>925</v>
      </c>
      <c r="L113" s="1397">
        <v>1668</v>
      </c>
      <c r="M113" s="1366">
        <f t="array" ref="M113">1/(INDEX($AI$12:$BH$15,MATCH($F113,$AH$12:$AH$15,0),MATCH(($G113&amp;M$1)&amp;$AB113,$AI$9:$BH$9&amp;$AI$11:$BH$11,0))/1.852)</f>
        <v>0.87906595126970144</v>
      </c>
      <c r="N113" s="1366">
        <f>M113</f>
        <v>0.87906595126970144</v>
      </c>
      <c r="O113" s="1362">
        <v>30</v>
      </c>
      <c r="P113" s="1366"/>
      <c r="Q113" s="1366">
        <f>0.035*R113</f>
        <v>2933.7387147718373</v>
      </c>
      <c r="R113" s="1366">
        <f>(AA113*(INDEX(ShipData!$P$19:$R$26,MATCH($AE113,ShipData!$N$19:$N$26,0),MATCH($AD113,ShipData!$P$18:$R$18,0))+INDEX(ShipData!$P$30:$R$37,MATCH($AE113,ShipData!$N$30:$N$37,0),MATCH($AD113,ShipData!$P$29:$R$29,0)))+K113*0.1*(1/M113)*INDEX(ShipData!$P$41:$R$48,MATCH($AE113,ShipData!$N$41:$N$48,0),MATCH($AD113,ShipData!$P$40:$R$40,0)))*6.5/1000</f>
        <v>83821.106136338203</v>
      </c>
      <c r="S113" s="1362">
        <v>0.95</v>
      </c>
      <c r="T113" s="1362">
        <v>1E-3</v>
      </c>
      <c r="U113" s="1368"/>
      <c r="V113" s="1362">
        <v>5</v>
      </c>
      <c r="W113" s="1362"/>
      <c r="Z113" s="1366">
        <f t="array" ref="Z113">INDEX($AI$12:$BH$15,MATCH(F113,$AH$12:$AH$15,0),MATCH($AB113&amp;$Z$1,$AI$11:$BH$11&amp;$AI$9:$BH$9,0))/1000</f>
        <v>5.1542857142857148</v>
      </c>
      <c r="AA113" s="570">
        <f t="array" ref="AA113">(Z113^INDEX(ShipData!$X$36:$X$39,MATCH($F113,ShipData!$U$36:$U$39,0)))*0.756*INDEX(ShipData!$W$36:$W$39,MATCH($F113,ShipData!$U$36:$U$39,0))</f>
        <v>5468.6247789018307</v>
      </c>
      <c r="AB113" s="570" t="s">
        <v>1174</v>
      </c>
      <c r="AC113" s="548" t="s">
        <v>1196</v>
      </c>
      <c r="AD113" s="570" t="s">
        <v>1335</v>
      </c>
      <c r="AE113" s="570" t="s">
        <v>1198</v>
      </c>
      <c r="AI113" s="575"/>
    </row>
    <row r="114" spans="3:35">
      <c r="E114" s="555" t="s">
        <v>1185</v>
      </c>
      <c r="F114" s="548"/>
      <c r="G114" s="548"/>
      <c r="H114" s="1362"/>
      <c r="I114" s="1362"/>
      <c r="J114" s="1362"/>
      <c r="K114" s="1362"/>
      <c r="L114" s="1397"/>
      <c r="M114" s="1362"/>
      <c r="N114" s="1363"/>
      <c r="O114" s="1363"/>
      <c r="P114" s="1366"/>
      <c r="Q114" s="1366"/>
      <c r="R114" s="1362"/>
      <c r="S114" s="1362"/>
      <c r="T114" s="1362"/>
      <c r="U114" s="1368"/>
      <c r="V114" s="1362"/>
      <c r="W114" s="1362"/>
      <c r="Z114" s="1366" t="e">
        <f t="array" ref="Z114">INDEX($AI$12:$BH$15,MATCH(F114,$AH$12:$AH$15,0),MATCH($AB114&amp;$Z$1,$AI$11:$BH$11&amp;$AI$9:$BH$9,0))/1000</f>
        <v>#N/A</v>
      </c>
      <c r="AA114" s="570" t="e">
        <f t="array" ref="AA114">(Z114^INDEX(ShipData!$X$36:$X$39,MATCH($F114,ShipData!$U$36:$U$39,0)))*0.756*INDEX(ShipData!$W$36:$W$39,MATCH($F114,ShipData!$U$36:$U$39,0))</f>
        <v>#N/A</v>
      </c>
      <c r="AC114" s="548" t="s">
        <v>1196</v>
      </c>
      <c r="AD114" s="570" t="s">
        <v>1335</v>
      </c>
      <c r="AE114" s="570" t="s">
        <v>1198</v>
      </c>
      <c r="AI114" s="575"/>
    </row>
    <row r="115" spans="3:35">
      <c r="E115" s="555" t="s">
        <v>1177</v>
      </c>
      <c r="F115" s="548" t="s">
        <v>1336</v>
      </c>
      <c r="G115" s="548">
        <v>2030</v>
      </c>
      <c r="H115" s="1362" t="s">
        <v>1175</v>
      </c>
      <c r="I115" s="1363">
        <f t="array" ref="I115">INDEX($AI$12:$BH$15,MATCH(F115,$AH$12:$AH$15,0),MATCH(I$1&amp;$AB115,$AI$9:$BH$9&amp;$AI$11:$BH$11,0))</f>
        <v>3608</v>
      </c>
      <c r="J115" s="1363">
        <f>I115</f>
        <v>3608</v>
      </c>
      <c r="K115" s="1363">
        <v>925</v>
      </c>
      <c r="L115" s="1397">
        <v>1668</v>
      </c>
      <c r="M115" s="1366">
        <f t="array" ref="M115">1/(INDEX($AI$12:$BH$15,MATCH($F115,$AH$12:$AH$15,0),MATCH(($G115&amp;M$1)&amp;$AB115,$AI$9:$BH$9&amp;$AI$11:$BH$11,0))/1.852)</f>
        <v>0.87906595126970144</v>
      </c>
      <c r="N115" s="1366">
        <f>M115</f>
        <v>0.87906595126970144</v>
      </c>
      <c r="O115" s="1362">
        <v>30</v>
      </c>
      <c r="P115" s="1366"/>
      <c r="Q115" s="1363">
        <v>7403.2175700000007</v>
      </c>
      <c r="R115" s="1366">
        <f>(AA115*(INDEX(ShipData!$P$19:$R$26,MATCH($AE115,ShipData!$N$19:$N$26,0),MATCH($AD115,ShipData!$P$18:$R$18,0))+INDEX(ShipData!$P$30:$R$37,MATCH($AE115,ShipData!$N$30:$N$37,0),MATCH($AD115,ShipData!$P$29:$R$29,0)))+K115*0.1*(1/M115)*INDEX(ShipData!$P$41:$R$48,MATCH($AE115,ShipData!$N$41:$N$48,0),MATCH($AD115,ShipData!$P$40:$R$40,0)))*6.5/1000</f>
        <v>83821.106136338203</v>
      </c>
      <c r="S115" s="1362">
        <v>0.95</v>
      </c>
      <c r="T115" s="1362">
        <v>1E-3</v>
      </c>
      <c r="U115" s="1368"/>
      <c r="V115" s="1362">
        <v>5</v>
      </c>
      <c r="W115" s="1362"/>
      <c r="Z115" s="1366">
        <f t="array" ref="Z115">INDEX($AI$12:$BH$15,MATCH(F115,$AH$12:$AH$15,0),MATCH($AB115&amp;$Z$1,$AI$11:$BH$11&amp;$AI$9:$BH$9,0))/1000</f>
        <v>5.1542857142857148</v>
      </c>
      <c r="AA115" s="570">
        <f t="array" ref="AA115">(Z115^INDEX(ShipData!$X$36:$X$39,MATCH($F115,ShipData!$U$36:$U$39,0)))*0.756*INDEX(ShipData!$W$36:$W$39,MATCH($F115,ShipData!$U$36:$U$39,0))</f>
        <v>5468.6247789018307</v>
      </c>
      <c r="AB115" s="570" t="str">
        <f>AB113</f>
        <v>Medium</v>
      </c>
      <c r="AC115" s="548" t="s">
        <v>1196</v>
      </c>
      <c r="AD115" s="570" t="s">
        <v>1335</v>
      </c>
      <c r="AE115" s="570" t="s">
        <v>1198</v>
      </c>
      <c r="AI115" s="575"/>
    </row>
    <row r="116" spans="3:35">
      <c r="C116" s="1149"/>
      <c r="D116" s="1149"/>
      <c r="E116" s="1387" t="s">
        <v>1197</v>
      </c>
      <c r="F116" s="1386"/>
      <c r="G116" s="1386"/>
      <c r="H116" s="1374"/>
      <c r="I116" s="1374"/>
      <c r="J116" s="1374"/>
      <c r="K116" s="1374"/>
      <c r="L116" s="1399"/>
      <c r="M116" s="1374"/>
      <c r="N116" s="1375"/>
      <c r="O116" s="1375"/>
      <c r="P116" s="1398"/>
      <c r="Q116" s="1398"/>
      <c r="R116" s="1374"/>
      <c r="S116" s="1374"/>
      <c r="T116" s="1374"/>
      <c r="U116" s="1385"/>
      <c r="V116" s="1374"/>
      <c r="W116" s="1448"/>
      <c r="Z116" s="1366" t="e">
        <f t="array" ref="Z116">INDEX($AI$12:$BH$15,MATCH(F116,$AH$12:$AH$15,0),MATCH($AB116&amp;$Z$1,$AI$11:$BH$11&amp;$AI$9:$BH$9,0))/1000</f>
        <v>#N/A</v>
      </c>
      <c r="AA116" s="570" t="e">
        <f t="array" ref="AA116">(Z116^INDEX(ShipData!$X$36:$X$39,MATCH($F116,ShipData!$U$36:$U$39,0)))*0.756*INDEX(ShipData!$W$36:$W$39,MATCH($F116,ShipData!$U$36:$U$39,0))</f>
        <v>#N/A</v>
      </c>
      <c r="AC116" s="548" t="s">
        <v>1196</v>
      </c>
      <c r="AD116" s="570" t="s">
        <v>1335</v>
      </c>
      <c r="AE116" s="570" t="s">
        <v>1198</v>
      </c>
      <c r="AI116" s="575"/>
    </row>
    <row r="117" spans="3:35">
      <c r="C117" s="570" t="str">
        <f t="shared" ref="C117:C164" si="10">"TFS"&amp;LEFT(AB117,1)&amp;AC117&amp;RIGHT(F117,1)&amp;MID(G117,3,1)&amp;"N"</f>
        <v>TFSSELCCL2N</v>
      </c>
      <c r="E117" s="555" t="s">
        <v>80</v>
      </c>
      <c r="F117" s="548" t="s">
        <v>1340</v>
      </c>
      <c r="G117" s="548">
        <v>2020</v>
      </c>
      <c r="H117" s="1362" t="s">
        <v>1175</v>
      </c>
      <c r="I117" s="1363">
        <f t="array" ref="I117">INDEX($AI$12:$BH$15,MATCH(F117,$AH$12:$AH$15,0),MATCH(I$1&amp;$AB117,$AI$9:$BH$9&amp;$AI$11:$BH$11,0))</f>
        <v>810</v>
      </c>
      <c r="J117" s="1363">
        <f t="shared" ref="J117:J164" si="11">I117</f>
        <v>810</v>
      </c>
      <c r="K117" s="1363">
        <v>46488</v>
      </c>
      <c r="L117" s="1362">
        <v>83879</v>
      </c>
      <c r="M117" s="1366">
        <f t="array" ref="M117">1/(INDEX($AI$12:$BH$15,MATCH($F117,$AH$12:$AH$15,0),MATCH(($G117&amp;M$1)&amp;$AB117,$AI$9:$BH$9&amp;$AI$11:$BH$11,0))/1.852)</f>
        <v>2.3752039567310899</v>
      </c>
      <c r="N117" s="1366">
        <f t="shared" ref="N117:N164" si="12">M117</f>
        <v>2.3752039567310899</v>
      </c>
      <c r="O117" s="1362">
        <v>30</v>
      </c>
      <c r="P117" s="1366"/>
      <c r="Q117" s="1363">
        <f>1.7*100</f>
        <v>170</v>
      </c>
      <c r="R117" s="1403">
        <f>R7+34057</f>
        <v>62586.501790295632</v>
      </c>
      <c r="S117" s="1362"/>
      <c r="T117" s="1362">
        <v>1E-3</v>
      </c>
      <c r="U117" s="1368"/>
      <c r="Z117" s="1366">
        <f t="array" ref="Z117">INDEX($AI$12:$BH$15,MATCH(F117,$AH$12:$AH$15,0),MATCH($AB117&amp;$Z$1,$AI$11:$BH$11&amp;$AI$9:$BH$9,0))/1000</f>
        <v>1.5804878048780491</v>
      </c>
      <c r="AA117" s="570">
        <f t="array" ref="AA117">(Z117^INDEX(ShipData!$X$36:$X$39,MATCH($F117,ShipData!$U$36:$U$39,0)))*0.756*INDEX(ShipData!$W$36:$W$39,MATCH($F117,ShipData!$U$36:$U$39,0))</f>
        <v>1602.8300580975306</v>
      </c>
      <c r="AB117" s="570" t="s">
        <v>1178</v>
      </c>
      <c r="AC117" s="548" t="s">
        <v>1194</v>
      </c>
      <c r="AD117" s="570" t="s">
        <v>1338</v>
      </c>
    </row>
    <row r="118" spans="3:35">
      <c r="C118" s="570" t="str">
        <f t="shared" si="10"/>
        <v>TFSMELCCL3N</v>
      </c>
      <c r="E118" s="555" t="s">
        <v>80</v>
      </c>
      <c r="F118" s="548" t="s">
        <v>1340</v>
      </c>
      <c r="G118" s="548">
        <v>2030</v>
      </c>
      <c r="H118" s="1362" t="s">
        <v>1175</v>
      </c>
      <c r="I118" s="1363">
        <f t="array" ref="I118">INDEX($AI$12:$BH$15,MATCH(F118,$AH$12:$AH$15,0),MATCH(I$1&amp;$AB118,$AI$9:$BH$9&amp;$AI$11:$BH$11,0))</f>
        <v>3045.9905660377353</v>
      </c>
      <c r="J118" s="1363">
        <f t="shared" si="11"/>
        <v>3045.9905660377353</v>
      </c>
      <c r="K118" s="1363">
        <v>25616</v>
      </c>
      <c r="L118" s="1362">
        <v>46219</v>
      </c>
      <c r="M118" s="1366">
        <f t="array" ref="M118">1/(INDEX($AI$12:$BH$15,MATCH($F118,$AH$12:$AH$15,0),MATCH(($G118&amp;M$1)&amp;$AB118,$AI$9:$BH$9&amp;$AI$11:$BH$11,0))/1.852)</f>
        <v>1.9876124255718461</v>
      </c>
      <c r="N118" s="1366">
        <f t="shared" si="12"/>
        <v>1.9876124255718461</v>
      </c>
      <c r="O118" s="1362">
        <v>30</v>
      </c>
      <c r="P118" s="1366"/>
      <c r="Q118" s="1363">
        <f>100*3.645</f>
        <v>364.5</v>
      </c>
      <c r="R118" s="1403">
        <f>R9+34057</f>
        <v>93589.238621695942</v>
      </c>
      <c r="S118" s="1362"/>
      <c r="T118" s="1362">
        <v>1E-3</v>
      </c>
      <c r="U118" s="1368"/>
      <c r="Z118" s="1366">
        <f t="array" ref="Z118">INDEX($AI$12:$BH$15,MATCH(F118,$AH$12:$AH$15,0),MATCH($AB118&amp;$Z$1,$AI$11:$BH$11&amp;$AI$9:$BH$9,0))/1000</f>
        <v>5.9433962264150946</v>
      </c>
      <c r="AA118" s="570">
        <f t="array" ref="AA118">(Z118^INDEX(ShipData!$X$36:$X$39,MATCH($F118,ShipData!$U$36:$U$39,0)))*0.756*INDEX(ShipData!$W$36:$W$39,MATCH($F118,ShipData!$U$36:$U$39,0))</f>
        <v>3369.7610132900404</v>
      </c>
      <c r="AB118" s="570" t="s">
        <v>1174</v>
      </c>
      <c r="AC118" s="548" t="s">
        <v>1194</v>
      </c>
      <c r="AD118" s="570" t="s">
        <v>1338</v>
      </c>
    </row>
    <row r="119" spans="3:35">
      <c r="C119" s="570" t="str">
        <f t="shared" si="10"/>
        <v>TFSSELCCD2N</v>
      </c>
      <c r="E119" s="555" t="s">
        <v>80</v>
      </c>
      <c r="F119" s="548" t="s">
        <v>1339</v>
      </c>
      <c r="G119" s="548">
        <v>2020</v>
      </c>
      <c r="H119" s="1362" t="s">
        <v>1175</v>
      </c>
      <c r="I119" s="1363">
        <f t="array" ref="I119">INDEX($AI$12:$BH$15,MATCH(F119,$AH$12:$AH$15,0),MATCH(I$1&amp;$AB119,$AI$9:$BH$9&amp;$AI$11:$BH$11,0))</f>
        <v>1527</v>
      </c>
      <c r="J119" s="1363">
        <f t="shared" si="11"/>
        <v>1527</v>
      </c>
      <c r="K119" s="1363">
        <v>17027</v>
      </c>
      <c r="L119" s="1397">
        <v>30722</v>
      </c>
      <c r="M119" s="1366">
        <f t="array" ref="M119">1/(INDEX($AI$12:$BH$15,MATCH($F119,$AH$12:$AH$15,0),MATCH(($G119&amp;M$1)&amp;$AB119,$AI$9:$BH$9&amp;$AI$11:$BH$11,0))/1.852)</f>
        <v>3.4190010788978875</v>
      </c>
      <c r="N119" s="1366">
        <f t="shared" si="12"/>
        <v>3.4190010788978875</v>
      </c>
      <c r="O119" s="1362">
        <v>30</v>
      </c>
      <c r="P119" s="1366"/>
      <c r="Q119" s="1363">
        <f>1.896*100</f>
        <v>189.6</v>
      </c>
      <c r="R119" s="1403">
        <f>R13+34057</f>
        <v>67901.051464575547</v>
      </c>
      <c r="S119" s="1362"/>
      <c r="T119" s="1362">
        <v>1E-3</v>
      </c>
      <c r="U119" s="1368"/>
      <c r="Z119" s="1366">
        <f t="array" ref="Z119">INDEX($AI$12:$BH$15,MATCH(F119,$AH$12:$AH$15,0),MATCH($AB119&amp;$Z$1,$AI$11:$BH$11&amp;$AI$9:$BH$9,0))/1000</f>
        <v>2.5449999999999999</v>
      </c>
      <c r="AA119" s="570">
        <f t="array" ref="AA119">(Z119^INDEX(ShipData!$X$36:$X$39,MATCH($F119,ShipData!$U$36:$U$39,0)))*0.756*INDEX(ShipData!$W$36:$W$39,MATCH($F119,ShipData!$U$36:$U$39,0))</f>
        <v>1921.6608368614334</v>
      </c>
      <c r="AB119" s="570" t="s">
        <v>1178</v>
      </c>
      <c r="AC119" s="548" t="s">
        <v>1194</v>
      </c>
      <c r="AD119" s="570" t="s">
        <v>1338</v>
      </c>
      <c r="AG119" s="548"/>
    </row>
    <row r="120" spans="3:35">
      <c r="C120" s="570" t="str">
        <f t="shared" si="10"/>
        <v>TFSMELCCD3N</v>
      </c>
      <c r="E120" s="555" t="s">
        <v>80</v>
      </c>
      <c r="F120" s="548" t="s">
        <v>1339</v>
      </c>
      <c r="G120" s="548">
        <v>2030</v>
      </c>
      <c r="H120" s="1362" t="s">
        <v>1175</v>
      </c>
      <c r="I120" s="1363">
        <f t="array" ref="I120">INDEX($AI$12:$BH$15,MATCH(F120,$AH$12:$AH$15,0),MATCH(I$1&amp;$AB120,$AI$9:$BH$9&amp;$AI$11:$BH$11,0))</f>
        <v>4174</v>
      </c>
      <c r="J120" s="1363">
        <f t="shared" si="11"/>
        <v>4174</v>
      </c>
      <c r="K120" s="1363">
        <v>3330</v>
      </c>
      <c r="L120" s="1397">
        <v>6009</v>
      </c>
      <c r="M120" s="1366">
        <f t="array" ref="M120">1/(INDEX($AI$12:$BH$15,MATCH($F120,$AH$12:$AH$15,0),MATCH(($G120&amp;M$1)&amp;$AB120,$AI$9:$BH$9&amp;$AI$11:$BH$11,0))/1.852)</f>
        <v>2.1794284452298629</v>
      </c>
      <c r="N120" s="1366">
        <f t="shared" si="12"/>
        <v>2.1794284452298629</v>
      </c>
      <c r="O120" s="1362">
        <v>30</v>
      </c>
      <c r="P120" s="1366"/>
      <c r="Q120" s="1363">
        <f>100*3.394</f>
        <v>339.40000000000003</v>
      </c>
      <c r="R120" s="1403">
        <f>R15+34057</f>
        <v>94497.986625948048</v>
      </c>
      <c r="S120" s="1362"/>
      <c r="T120" s="1362">
        <v>1E-3</v>
      </c>
      <c r="U120" s="1368"/>
      <c r="Z120" s="1366">
        <f t="array" ref="Z120">INDEX($AI$12:$BH$15,MATCH(F120,$AH$12:$AH$15,0),MATCH($AB120&amp;$Z$1,$AI$11:$BH$11&amp;$AI$9:$BH$9,0))/1000</f>
        <v>6.956666666666667</v>
      </c>
      <c r="AA120" s="570">
        <f t="array" ref="AA120">(Z120^INDEX(ShipData!$X$36:$X$39,MATCH($F120,ShipData!$U$36:$U$39,0)))*0.756*INDEX(ShipData!$W$36:$W$39,MATCH($F120,ShipData!$U$36:$U$39,0))</f>
        <v>3439.8048335584949</v>
      </c>
      <c r="AB120" s="570" t="s">
        <v>1174</v>
      </c>
      <c r="AC120" s="548" t="s">
        <v>1194</v>
      </c>
      <c r="AD120" s="570" t="s">
        <v>1338</v>
      </c>
    </row>
    <row r="121" spans="3:35">
      <c r="C121" s="570" t="str">
        <f t="shared" si="10"/>
        <v>TFSSELCCC2N</v>
      </c>
      <c r="E121" s="555" t="s">
        <v>80</v>
      </c>
      <c r="F121" s="548" t="s">
        <v>1337</v>
      </c>
      <c r="G121" s="548">
        <v>2020</v>
      </c>
      <c r="H121" s="1362" t="s">
        <v>1175</v>
      </c>
      <c r="I121" s="1363">
        <f t="array" ref="I121">INDEX($AI$12:$BH$15,MATCH(F121,$AH$12:$AH$15,0),MATCH(I$1&amp;$AB121,$AI$9:$BH$9&amp;$AI$11:$BH$11,0))</f>
        <v>2450</v>
      </c>
      <c r="J121" s="1363">
        <f t="shared" si="11"/>
        <v>2450</v>
      </c>
      <c r="K121" s="1363">
        <v>0</v>
      </c>
      <c r="L121" s="1397">
        <v>0</v>
      </c>
      <c r="M121" s="1366">
        <f t="array" ref="M121">1/(INDEX($AI$12:$BH$15,MATCH($F121,$AH$12:$AH$15,0),MATCH(($G121&amp;M$1)&amp;$AB121,$AI$9:$BH$9&amp;$AI$11:$BH$11,0))/1.852)</f>
        <v>1.7403348779577166</v>
      </c>
      <c r="N121" s="1366">
        <f t="shared" si="12"/>
        <v>1.7403348779577166</v>
      </c>
      <c r="O121" s="1362">
        <v>30</v>
      </c>
      <c r="P121" s="1366"/>
      <c r="Q121" s="1363">
        <f>2.42*100</f>
        <v>242</v>
      </c>
      <c r="R121" s="1403">
        <f>R19+34057</f>
        <v>66089.80596771292</v>
      </c>
      <c r="S121" s="1362"/>
      <c r="T121" s="1362">
        <v>1E-3</v>
      </c>
      <c r="U121" s="1368"/>
      <c r="Z121" s="1366">
        <f t="array" ref="Z121">INDEX($AI$12:$BH$15,MATCH(F121,$AH$12:$AH$15,0),MATCH($AB121&amp;$Z$1,$AI$11:$BH$11&amp;$AI$9:$BH$9,0))/1000</f>
        <v>3.5</v>
      </c>
      <c r="AA121" s="570">
        <f t="array" ref="AA121">(Z121^INDEX(ShipData!$X$36:$X$39,MATCH($F121,ShipData!$U$36:$U$39,0)))*0.756*INDEX(ShipData!$W$36:$W$39,MATCH($F121,ShipData!$U$36:$U$39,0))</f>
        <v>2454.0448908848457</v>
      </c>
      <c r="AB121" s="570" t="s">
        <v>1178</v>
      </c>
      <c r="AC121" s="548" t="s">
        <v>1194</v>
      </c>
      <c r="AD121" s="570" t="s">
        <v>1335</v>
      </c>
    </row>
    <row r="122" spans="3:35">
      <c r="C122" s="570" t="str">
        <f t="shared" si="10"/>
        <v>TFSMELCCC3N</v>
      </c>
      <c r="E122" s="555" t="s">
        <v>80</v>
      </c>
      <c r="F122" s="548" t="s">
        <v>1337</v>
      </c>
      <c r="G122" s="548">
        <v>2030</v>
      </c>
      <c r="H122" s="1362" t="s">
        <v>1175</v>
      </c>
      <c r="I122" s="1363">
        <f t="array" ref="I122">INDEX($AI$12:$BH$15,MATCH(F122,$AH$12:$AH$15,0),MATCH(I$1&amp;$AB122,$AI$9:$BH$9&amp;$AI$11:$BH$11,0))</f>
        <v>4900</v>
      </c>
      <c r="J122" s="1363">
        <f t="shared" si="11"/>
        <v>4900</v>
      </c>
      <c r="K122" s="1363">
        <v>362</v>
      </c>
      <c r="L122" s="1397">
        <v>653</v>
      </c>
      <c r="M122" s="1366">
        <f t="array" ref="M122">1/(INDEX($AI$12:$BH$15,MATCH($F122,$AH$12:$AH$15,0),MATCH(($G122&amp;M$1)&amp;$AB122,$AI$9:$BH$9&amp;$AI$11:$BH$11,0))/1.852)</f>
        <v>0.87906595126970144</v>
      </c>
      <c r="N122" s="1366">
        <f t="shared" si="12"/>
        <v>0.87906595126970144</v>
      </c>
      <c r="O122" s="1362">
        <v>30</v>
      </c>
      <c r="P122" s="1366"/>
      <c r="Q122" s="1363">
        <f>100*5.411</f>
        <v>541.09999999999991</v>
      </c>
      <c r="R122" s="1403">
        <f>R21+34057</f>
        <v>105643.37597003153</v>
      </c>
      <c r="S122" s="1362"/>
      <c r="T122" s="1362">
        <v>1E-3</v>
      </c>
      <c r="U122" s="1368"/>
      <c r="Z122" s="1366">
        <f t="array" ref="Z122">INDEX($AI$12:$BH$15,MATCH(F122,$AH$12:$AH$15,0),MATCH($AB122&amp;$Z$1,$AI$11:$BH$11&amp;$AI$9:$BH$9,0))/1000</f>
        <v>7</v>
      </c>
      <c r="AA122" s="570">
        <f t="array" ref="AA122">(Z122^INDEX(ShipData!$X$36:$X$39,MATCH($F122,ShipData!$U$36:$U$39,0)))*0.756*INDEX(ShipData!$W$36:$W$39,MATCH($F122,ShipData!$U$36:$U$39,0))</f>
        <v>5483.7455856749639</v>
      </c>
      <c r="AB122" s="570" t="s">
        <v>1174</v>
      </c>
      <c r="AC122" s="548" t="s">
        <v>1194</v>
      </c>
      <c r="AD122" s="570" t="s">
        <v>1335</v>
      </c>
    </row>
    <row r="123" spans="3:35">
      <c r="C123" s="570" t="str">
        <f t="shared" si="10"/>
        <v>TFSSELCCR2N</v>
      </c>
      <c r="E123" s="555" t="s">
        <v>80</v>
      </c>
      <c r="F123" s="548" t="s">
        <v>1336</v>
      </c>
      <c r="G123" s="548">
        <v>2020</v>
      </c>
      <c r="H123" s="1362" t="s">
        <v>1175</v>
      </c>
      <c r="I123" s="1363">
        <f t="array" ref="I123">INDEX($AI$12:$BH$15,MATCH(F123,$AH$12:$AH$15,0),MATCH(I$1&amp;$AB123,$AI$9:$BH$9&amp;$AI$11:$BH$11,0))</f>
        <v>1002</v>
      </c>
      <c r="J123" s="1363">
        <f t="shared" si="11"/>
        <v>1002</v>
      </c>
      <c r="K123" s="1363">
        <v>38287</v>
      </c>
      <c r="L123" s="1397">
        <v>69083</v>
      </c>
      <c r="M123" s="1366">
        <f t="array" ref="M123">1/(INDEX($AI$12:$BH$15,MATCH($F123,$AH$12:$AH$15,0),MATCH(($G123&amp;M$1)&amp;$AB123,$AI$9:$BH$9&amp;$AI$11:$BH$11,0))/1.852)</f>
        <v>1.7403348779577166</v>
      </c>
      <c r="N123" s="1366">
        <f t="shared" si="12"/>
        <v>1.7403348779577166</v>
      </c>
      <c r="O123" s="1362">
        <v>30</v>
      </c>
      <c r="P123" s="1366"/>
      <c r="Q123" s="1363">
        <f>1.693*100</f>
        <v>169.3</v>
      </c>
      <c r="R123" s="1403">
        <f>R25+34057</f>
        <v>56804.269316904043</v>
      </c>
      <c r="S123" s="1362"/>
      <c r="T123" s="1362">
        <v>1E-3</v>
      </c>
      <c r="U123" s="1368"/>
      <c r="Z123" s="1366">
        <f t="array" ref="Z123">INDEX($AI$12:$BH$15,MATCH(F123,$AH$12:$AH$15,0),MATCH($AB123&amp;$Z$1,$AI$11:$BH$11&amp;$AI$9:$BH$9,0))/1000</f>
        <v>1.4314285714285715</v>
      </c>
      <c r="AA123" s="570">
        <f t="array" ref="AA123">(Z123^INDEX(ShipData!$X$36:$X$39,MATCH($F123,ShipData!$U$36:$U$39,0)))*0.756*INDEX(ShipData!$W$36:$W$39,MATCH($F123,ShipData!$U$36:$U$39,0))</f>
        <v>1715.2886160618959</v>
      </c>
      <c r="AB123" s="570" t="s">
        <v>1178</v>
      </c>
      <c r="AC123" s="548" t="s">
        <v>1194</v>
      </c>
      <c r="AD123" s="570" t="s">
        <v>1335</v>
      </c>
    </row>
    <row r="124" spans="3:35">
      <c r="C124" s="1149" t="str">
        <f t="shared" si="10"/>
        <v>TFSMELCCR3N</v>
      </c>
      <c r="D124" s="1149"/>
      <c r="E124" s="1387" t="s">
        <v>80</v>
      </c>
      <c r="F124" s="1386" t="s">
        <v>1336</v>
      </c>
      <c r="G124" s="1386">
        <v>2030</v>
      </c>
      <c r="H124" s="1374" t="s">
        <v>1175</v>
      </c>
      <c r="I124" s="1375">
        <f t="array" ref="I124">INDEX($AI$12:$BH$15,MATCH(F124,$AH$12:$AH$15,0),MATCH(I$1&amp;$AB124,$AI$9:$BH$9&amp;$AI$11:$BH$11,0))</f>
        <v>3608</v>
      </c>
      <c r="J124" s="1375">
        <f t="shared" si="11"/>
        <v>3608</v>
      </c>
      <c r="K124" s="1375">
        <v>925</v>
      </c>
      <c r="L124" s="1399">
        <v>1668</v>
      </c>
      <c r="M124" s="1398">
        <f t="array" ref="M124">1/(INDEX($AI$12:$BH$15,MATCH($F124,$AH$12:$AH$15,0),MATCH(($G124&amp;M$1)&amp;$AB124,$AI$9:$BH$9&amp;$AI$11:$BH$11,0))/1.852)</f>
        <v>0.87906595126970144</v>
      </c>
      <c r="N124" s="1398">
        <f t="shared" si="12"/>
        <v>0.87906595126970144</v>
      </c>
      <c r="O124" s="1374">
        <v>30</v>
      </c>
      <c r="P124" s="1398"/>
      <c r="Q124" s="1375">
        <f>100*5.396</f>
        <v>539.6</v>
      </c>
      <c r="R124" s="1402">
        <f>R27+34057</f>
        <v>105456.41045902918</v>
      </c>
      <c r="S124" s="1374"/>
      <c r="T124" s="1374">
        <v>1E-3</v>
      </c>
      <c r="U124" s="1385"/>
      <c r="V124" s="1149"/>
      <c r="W124" s="573"/>
      <c r="Z124" s="1366">
        <f t="array" ref="Z124">INDEX($AI$12:$BH$15,MATCH(F124,$AH$12:$AH$15,0),MATCH($AB124&amp;$Z$1,$AI$11:$BH$11&amp;$AI$9:$BH$9,0))/1000</f>
        <v>5.1542857142857148</v>
      </c>
      <c r="AA124" s="570">
        <f t="array" ref="AA124">(Z124^INDEX(ShipData!$X$36:$X$39,MATCH($F124,ShipData!$U$36:$U$39,0)))*0.756*INDEX(ShipData!$W$36:$W$39,MATCH($F124,ShipData!$U$36:$U$39,0))</f>
        <v>5468.6247789018307</v>
      </c>
      <c r="AB124" s="570" t="s">
        <v>1174</v>
      </c>
      <c r="AC124" s="548" t="s">
        <v>1194</v>
      </c>
      <c r="AD124" s="570" t="s">
        <v>1335</v>
      </c>
    </row>
    <row r="125" spans="3:35">
      <c r="C125" s="570" t="str">
        <f t="shared" si="10"/>
        <v>TFSSFOFCL2N</v>
      </c>
      <c r="E125" s="555" t="s">
        <v>1185</v>
      </c>
      <c r="F125" s="548" t="s">
        <v>1340</v>
      </c>
      <c r="G125" s="548">
        <v>2020</v>
      </c>
      <c r="H125" s="1362" t="s">
        <v>1175</v>
      </c>
      <c r="I125" s="1363">
        <f t="array" ref="I125">INDEX($AI$12:$BH$15,MATCH(F125,$AH$12:$AH$15,0),MATCH(I$1&amp;$AB125,$AI$9:$BH$9&amp;$AI$11:$BH$11,0))</f>
        <v>810</v>
      </c>
      <c r="J125" s="1363">
        <f t="shared" si="11"/>
        <v>810</v>
      </c>
      <c r="K125" s="1363">
        <v>46488</v>
      </c>
      <c r="L125" s="1362">
        <v>83879</v>
      </c>
      <c r="M125" s="1366">
        <f t="array" ref="M125">1/(INDEX($AI$12:$BH$15,MATCH($F125,$AH$12:$AH$15,0),MATCH(($G125&amp;M$1)&amp;$AB125,$AI$9:$BH$9&amp;$AI$11:$BH$11,0))/1.852)</f>
        <v>2.3752039567310899</v>
      </c>
      <c r="N125" s="1366">
        <f t="shared" si="12"/>
        <v>2.3752039567310899</v>
      </c>
      <c r="O125" s="1362">
        <v>30</v>
      </c>
      <c r="P125" s="1366"/>
      <c r="Q125" s="1366">
        <f t="shared" ref="Q125:Q132" si="13">0.035*R125</f>
        <v>2531.8228002351166</v>
      </c>
      <c r="R125" s="1366">
        <f t="array" ref="R125">(AA125*(INDEX(ShipData!$P$19:$R$26,MATCH($AC125,ShipData!$N$19:$N$26,0),MATCH($AD125,ShipData!$P$18:$R$18,0))+INDEX(ShipData!$P$30:$R$37,MATCH($AC125,ShipData!$N$30:$N$37,0),MATCH($AD125,ShipData!$P$29:$R$29,0)))+K125*0.1*(1/M125)*INDEX(ShipData!$P$41:$R$48,MATCH($AC125,ShipData!$N$41:$N$48,0),MATCH($AD125,ShipData!$P$40:$R$40,0)))*6.5/1000</f>
        <v>72337.794292431892</v>
      </c>
      <c r="S125" s="1362"/>
      <c r="T125" s="1362">
        <v>1E-3</v>
      </c>
      <c r="U125" s="1368"/>
      <c r="Z125" s="1366">
        <f t="array" ref="Z125">INDEX($AI$12:$BH$15,MATCH(F125,$AH$12:$AH$15,0),MATCH($AB125&amp;$Z$1,$AI$11:$BH$11&amp;$AI$9:$BH$9,0))/1000</f>
        <v>1.5804878048780491</v>
      </c>
      <c r="AA125" s="570">
        <f t="array" ref="AA125">(Z125^INDEX(ShipData!$X$36:$X$39,MATCH($F125,ShipData!$U$36:$U$39,0)))*0.756*INDEX(ShipData!$W$36:$W$39,MATCH($F125,ShipData!$U$36:$U$39,0))</f>
        <v>1602.8300580975306</v>
      </c>
      <c r="AB125" s="570" t="s">
        <v>1178</v>
      </c>
      <c r="AC125" s="548" t="s">
        <v>1184</v>
      </c>
      <c r="AD125" s="570" t="s">
        <v>1338</v>
      </c>
    </row>
    <row r="126" spans="3:35">
      <c r="C126" s="570" t="str">
        <f t="shared" si="10"/>
        <v>TFSMFOFCL3N</v>
      </c>
      <c r="E126" s="555" t="s">
        <v>1185</v>
      </c>
      <c r="F126" s="548" t="s">
        <v>1340</v>
      </c>
      <c r="G126" s="548">
        <v>2030</v>
      </c>
      <c r="H126" s="1362" t="s">
        <v>1175</v>
      </c>
      <c r="I126" s="1363">
        <f t="array" ref="I126">INDEX($AI$12:$BH$15,MATCH(F126,$AH$12:$AH$15,0),MATCH(I$1&amp;$AB126,$AI$9:$BH$9&amp;$AI$11:$BH$11,0))</f>
        <v>3045.9905660377353</v>
      </c>
      <c r="J126" s="1363">
        <f t="shared" si="11"/>
        <v>3045.9905660377353</v>
      </c>
      <c r="K126" s="1363">
        <v>25616</v>
      </c>
      <c r="L126" s="1362">
        <v>46219</v>
      </c>
      <c r="M126" s="1366">
        <f t="array" ref="M126">1/(INDEX($AI$12:$BH$15,MATCH($F126,$AH$12:$AH$15,0),MATCH(($G126&amp;M$1)&amp;$AB126,$AI$9:$BH$9&amp;$AI$11:$BH$11,0))/1.852)</f>
        <v>1.9876124255718461</v>
      </c>
      <c r="N126" s="1366">
        <f t="shared" si="12"/>
        <v>1.9876124255718461</v>
      </c>
      <c r="O126" s="1362">
        <v>30</v>
      </c>
      <c r="P126" s="1366"/>
      <c r="Q126" s="1366">
        <f t="shared" si="13"/>
        <v>5303.5708496831639</v>
      </c>
      <c r="R126" s="1366">
        <f t="array" ref="R126">(AA126*(INDEX(ShipData!$P$19:$R$26,MATCH($AC126,ShipData!$N$19:$N$26,0),MATCH($AD126,ShipData!$P$18:$R$18,0))+INDEX(ShipData!$P$30:$R$37,MATCH($AC126,ShipData!$N$30:$N$37,0),MATCH($AD126,ShipData!$P$29:$R$29,0)))+K126*0.1*(1/M126)*INDEX(ShipData!$P$41:$R$48,MATCH($AC126,ShipData!$N$41:$N$48,0),MATCH($AD126,ShipData!$P$40:$R$40,0)))*6.5/1000</f>
        <v>151530.59570523325</v>
      </c>
      <c r="S126" s="1362"/>
      <c r="T126" s="1362">
        <v>1E-3</v>
      </c>
      <c r="U126" s="1368"/>
      <c r="Z126" s="1366">
        <f t="array" ref="Z126">INDEX($AI$12:$BH$15,MATCH(F126,$AH$12:$AH$15,0),MATCH($AB126&amp;$Z$1,$AI$11:$BH$11&amp;$AI$9:$BH$9,0))/1000</f>
        <v>5.9433962264150946</v>
      </c>
      <c r="AA126" s="570">
        <f t="array" ref="AA126">(Z126^INDEX(ShipData!$X$36:$X$39,MATCH($F126,ShipData!$U$36:$U$39,0)))*0.756*INDEX(ShipData!$W$36:$W$39,MATCH($F126,ShipData!$U$36:$U$39,0))</f>
        <v>3369.7610132900404</v>
      </c>
      <c r="AB126" s="570" t="s">
        <v>1174</v>
      </c>
      <c r="AC126" s="548" t="s">
        <v>1184</v>
      </c>
      <c r="AD126" s="570" t="s">
        <v>1338</v>
      </c>
    </row>
    <row r="127" spans="3:35">
      <c r="C127" s="570" t="str">
        <f t="shared" si="10"/>
        <v>TFSSFOFCD2N</v>
      </c>
      <c r="E127" s="555" t="s">
        <v>1185</v>
      </c>
      <c r="F127" s="548" t="s">
        <v>1339</v>
      </c>
      <c r="G127" s="548">
        <v>2020</v>
      </c>
      <c r="H127" s="1362" t="s">
        <v>1175</v>
      </c>
      <c r="I127" s="1363">
        <f t="array" ref="I127">INDEX($AI$12:$BH$15,MATCH(F127,$AH$12:$AH$15,0),MATCH(I$1&amp;$AB127,$AI$9:$BH$9&amp;$AI$11:$BH$11,0))</f>
        <v>1527</v>
      </c>
      <c r="J127" s="1363">
        <f t="shared" si="11"/>
        <v>1527</v>
      </c>
      <c r="K127" s="1363">
        <v>17027</v>
      </c>
      <c r="L127" s="1397">
        <v>30722</v>
      </c>
      <c r="M127" s="1366">
        <f t="array" ref="M127">1/(INDEX($AI$12:$BH$15,MATCH($F127,$AH$12:$AH$15,0),MATCH(($G127&amp;M$1)&amp;$AB127,$AI$9:$BH$9&amp;$AI$11:$BH$11,0))/1.852)</f>
        <v>3.4190010788978875</v>
      </c>
      <c r="N127" s="1366">
        <f t="shared" si="12"/>
        <v>3.4190010788978875</v>
      </c>
      <c r="O127" s="1362">
        <v>30</v>
      </c>
      <c r="P127" s="1366"/>
      <c r="Q127" s="1366">
        <f t="shared" si="13"/>
        <v>3022.8301376959384</v>
      </c>
      <c r="R127" s="1366">
        <f t="array" ref="R127">(AA127*(INDEX(ShipData!$P$19:$R$26,MATCH($AC127,ShipData!$N$19:$N$26,0),MATCH($AD127,ShipData!$P$18:$R$18,0))+INDEX(ShipData!$P$30:$R$37,MATCH($AC127,ShipData!$N$30:$N$37,0),MATCH($AD127,ShipData!$P$29:$R$29,0)))+K127*0.1*(1/M127)*INDEX(ShipData!$P$41:$R$48,MATCH($AC127,ShipData!$N$41:$N$48,0),MATCH($AD127,ShipData!$P$40:$R$40,0)))*6.5/1000</f>
        <v>86366.575362741089</v>
      </c>
      <c r="S127" s="1362"/>
      <c r="T127" s="1362">
        <v>1E-3</v>
      </c>
      <c r="U127" s="1368"/>
      <c r="Z127" s="1366">
        <f t="array" ref="Z127">INDEX($AI$12:$BH$15,MATCH(F127,$AH$12:$AH$15,0),MATCH($AB127&amp;$Z$1,$AI$11:$BH$11&amp;$AI$9:$BH$9,0))/1000</f>
        <v>2.5449999999999999</v>
      </c>
      <c r="AA127" s="570">
        <f t="array" ref="AA127">(Z127^INDEX(ShipData!$X$36:$X$39,MATCH($F127,ShipData!$U$36:$U$39,0)))*0.756*INDEX(ShipData!$W$36:$W$39,MATCH($F127,ShipData!$U$36:$U$39,0))</f>
        <v>1921.6608368614334</v>
      </c>
      <c r="AB127" s="570" t="s">
        <v>1178</v>
      </c>
      <c r="AC127" s="548" t="s">
        <v>1184</v>
      </c>
      <c r="AD127" s="570" t="s">
        <v>1338</v>
      </c>
    </row>
    <row r="128" spans="3:35">
      <c r="C128" s="570" t="str">
        <f t="shared" si="10"/>
        <v>TFSMFOFCD3N</v>
      </c>
      <c r="E128" s="555" t="s">
        <v>1185</v>
      </c>
      <c r="F128" s="548" t="s">
        <v>1339</v>
      </c>
      <c r="G128" s="548">
        <v>2030</v>
      </c>
      <c r="H128" s="1362" t="s">
        <v>1175</v>
      </c>
      <c r="I128" s="1363">
        <f t="array" ref="I128">INDEX($AI$12:$BH$15,MATCH(F128,$AH$12:$AH$15,0),MATCH(I$1&amp;$AB128,$AI$9:$BH$9&amp;$AI$11:$BH$11,0))</f>
        <v>4174</v>
      </c>
      <c r="J128" s="1363">
        <f t="shared" si="11"/>
        <v>4174</v>
      </c>
      <c r="K128" s="1363">
        <v>3330</v>
      </c>
      <c r="L128" s="1397">
        <v>6009</v>
      </c>
      <c r="M128" s="1366">
        <f t="array" ref="M128">1/(INDEX($AI$12:$BH$15,MATCH($F128,$AH$12:$AH$15,0),MATCH(($G128&amp;M$1)&amp;$AB128,$AI$9:$BH$9&amp;$AI$11:$BH$11,0))/1.852)</f>
        <v>2.1794284452298629</v>
      </c>
      <c r="N128" s="1366">
        <f t="shared" si="12"/>
        <v>2.1794284452298629</v>
      </c>
      <c r="O128" s="1362">
        <v>30</v>
      </c>
      <c r="P128" s="1366"/>
      <c r="Q128" s="1366">
        <f t="shared" si="13"/>
        <v>5405.8748580563715</v>
      </c>
      <c r="R128" s="1366">
        <f t="array" ref="R128">(AA128*(INDEX(ShipData!$P$19:$R$26,MATCH($AC128,ShipData!$N$19:$N$26,0),MATCH($AD128,ShipData!$P$18:$R$18,0))+INDEX(ShipData!$P$30:$R$37,MATCH($AC128,ShipData!$N$30:$N$37,0),MATCH($AD128,ShipData!$P$29:$R$29,0)))+K128*0.1*(1/M128)*INDEX(ShipData!$P$41:$R$48,MATCH($AC128,ShipData!$N$41:$N$48,0),MATCH($AD128,ShipData!$P$40:$R$40,0)))*6.5/1000</f>
        <v>154453.56737303917</v>
      </c>
      <c r="S128" s="1362"/>
      <c r="T128" s="1362">
        <v>1E-3</v>
      </c>
      <c r="U128" s="1368"/>
      <c r="Z128" s="1366">
        <f t="array" ref="Z128">INDEX($AI$12:$BH$15,MATCH(F128,$AH$12:$AH$15,0),MATCH($AB128&amp;$Z$1,$AI$11:$BH$11&amp;$AI$9:$BH$9,0))/1000</f>
        <v>6.956666666666667</v>
      </c>
      <c r="AA128" s="570">
        <f t="array" ref="AA128">(Z128^INDEX(ShipData!$X$36:$X$39,MATCH($F128,ShipData!$U$36:$U$39,0)))*0.756*INDEX(ShipData!$W$36:$W$39,MATCH($F128,ShipData!$U$36:$U$39,0))</f>
        <v>3439.8048335584949</v>
      </c>
      <c r="AB128" s="570" t="s">
        <v>1174</v>
      </c>
      <c r="AC128" s="548" t="s">
        <v>1184</v>
      </c>
      <c r="AD128" s="570" t="s">
        <v>1338</v>
      </c>
    </row>
    <row r="129" spans="3:30">
      <c r="C129" s="570" t="str">
        <f t="shared" si="10"/>
        <v>TFSSFOFCC2N</v>
      </c>
      <c r="E129" s="555" t="s">
        <v>1185</v>
      </c>
      <c r="F129" s="548" t="s">
        <v>1337</v>
      </c>
      <c r="G129" s="548">
        <v>2020</v>
      </c>
      <c r="H129" s="1362" t="s">
        <v>1175</v>
      </c>
      <c r="I129" s="1363">
        <f t="array" ref="I129">INDEX($AI$12:$BH$15,MATCH(F129,$AH$12:$AH$15,0),MATCH(I$1&amp;$AB129,$AI$9:$BH$9&amp;$AI$11:$BH$11,0))</f>
        <v>2450</v>
      </c>
      <c r="J129" s="1363">
        <f t="shared" si="11"/>
        <v>2450</v>
      </c>
      <c r="K129" s="1363">
        <v>0</v>
      </c>
      <c r="L129" s="1397">
        <v>0</v>
      </c>
      <c r="M129" s="1366">
        <f t="array" ref="M129">1/(INDEX($AI$12:$BH$15,MATCH($F129,$AH$12:$AH$15,0),MATCH(($G129&amp;M$1)&amp;$AB129,$AI$9:$BH$9&amp;$AI$11:$BH$11,0))/1.852)</f>
        <v>1.7403348779577166</v>
      </c>
      <c r="N129" s="1366">
        <f t="shared" si="12"/>
        <v>1.7403348779577166</v>
      </c>
      <c r="O129" s="1362">
        <v>30</v>
      </c>
      <c r="P129" s="1366"/>
      <c r="Q129" s="1366">
        <f t="shared" si="13"/>
        <v>3611.0000184845203</v>
      </c>
      <c r="R129" s="1366">
        <f t="array" ref="R129">(AA129*(INDEX(ShipData!$P$19:$R$26,MATCH($AC129,ShipData!$N$19:$N$26,0),MATCH($AD129,ShipData!$P$18:$R$18,0))+INDEX(ShipData!$P$30:$R$37,MATCH($AC129,ShipData!$N$30:$N$37,0),MATCH($AD129,ShipData!$P$29:$R$29,0)))+K129*0.1*(1/M129)*INDEX(ShipData!$P$41:$R$48,MATCH($AC129,ShipData!$N$41:$N$48,0),MATCH($AD129,ShipData!$P$40:$R$40,0)))*6.5/1000</f>
        <v>103171.42909955772</v>
      </c>
      <c r="S129" s="1362"/>
      <c r="T129" s="1362">
        <v>1E-3</v>
      </c>
      <c r="U129" s="1368"/>
      <c r="Z129" s="1366">
        <f t="array" ref="Z129">INDEX($AI$12:$BH$15,MATCH(F129,$AH$12:$AH$15,0),MATCH($AB129&amp;$Z$1,$AI$11:$BH$11&amp;$AI$9:$BH$9,0))/1000</f>
        <v>3.5</v>
      </c>
      <c r="AA129" s="570">
        <f t="array" ref="AA129">(Z129^INDEX(ShipData!$X$36:$X$39,MATCH($F129,ShipData!$U$36:$U$39,0)))*0.756*INDEX(ShipData!$W$36:$W$39,MATCH($F129,ShipData!$U$36:$U$39,0))</f>
        <v>2454.0448908848457</v>
      </c>
      <c r="AB129" s="570" t="s">
        <v>1178</v>
      </c>
      <c r="AC129" s="548" t="s">
        <v>1184</v>
      </c>
      <c r="AD129" s="570" t="s">
        <v>1335</v>
      </c>
    </row>
    <row r="130" spans="3:30">
      <c r="C130" s="570" t="str">
        <f t="shared" si="10"/>
        <v>TFSMFOFCC3N</v>
      </c>
      <c r="E130" s="555" t="s">
        <v>1185</v>
      </c>
      <c r="F130" s="548" t="s">
        <v>1337</v>
      </c>
      <c r="G130" s="548">
        <v>2030</v>
      </c>
      <c r="H130" s="1362" t="s">
        <v>1175</v>
      </c>
      <c r="I130" s="1363">
        <f t="array" ref="I130">INDEX($AI$12:$BH$15,MATCH(F130,$AH$12:$AH$15,0),MATCH(I$1&amp;$AB130,$AI$9:$BH$9&amp;$AI$11:$BH$11,0))</f>
        <v>4900</v>
      </c>
      <c r="J130" s="1363">
        <f t="shared" si="11"/>
        <v>4900</v>
      </c>
      <c r="K130" s="1363">
        <v>362</v>
      </c>
      <c r="L130" s="1397">
        <v>653</v>
      </c>
      <c r="M130" s="1366">
        <f t="array" ref="M130">1/(INDEX($AI$12:$BH$15,MATCH($F130,$AH$12:$AH$15,0),MATCH(($G130&amp;M$1)&amp;$AB130,$AI$9:$BH$9&amp;$AI$11:$BH$11,0))/1.852)</f>
        <v>0.87906595126970144</v>
      </c>
      <c r="N130" s="1366">
        <f t="shared" si="12"/>
        <v>0.87906595126970144</v>
      </c>
      <c r="O130" s="1362">
        <v>30</v>
      </c>
      <c r="P130" s="1366"/>
      <c r="Q130" s="1366">
        <f t="shared" si="13"/>
        <v>8069.2819641274991</v>
      </c>
      <c r="R130" s="1366">
        <f t="array" ref="R130">(AA130*(INDEX(ShipData!$P$19:$R$26,MATCH($AC130,ShipData!$N$19:$N$26,0),MATCH($AD130,ShipData!$P$18:$R$18,0))+INDEX(ShipData!$P$30:$R$37,MATCH($AC130,ShipData!$N$30:$N$37,0),MATCH($AD130,ShipData!$P$29:$R$29,0)))+K130*0.1*(1/M130)*INDEX(ShipData!$P$41:$R$48,MATCH($AC130,ShipData!$N$41:$N$48,0),MATCH($AD130,ShipData!$P$40:$R$40,0)))*6.5/1000</f>
        <v>230550.91326078566</v>
      </c>
      <c r="S130" s="1362"/>
      <c r="T130" s="1362">
        <v>1E-3</v>
      </c>
      <c r="U130" s="1368"/>
      <c r="Z130" s="1366">
        <f t="array" ref="Z130">INDEX($AI$12:$BH$15,MATCH(F130,$AH$12:$AH$15,0),MATCH($AB130&amp;$Z$1,$AI$11:$BH$11&amp;$AI$9:$BH$9,0))/1000</f>
        <v>7</v>
      </c>
      <c r="AA130" s="570">
        <f t="array" ref="AA130">(Z130^INDEX(ShipData!$X$36:$X$39,MATCH($F130,ShipData!$U$36:$U$39,0)))*0.756*INDEX(ShipData!$W$36:$W$39,MATCH($F130,ShipData!$U$36:$U$39,0))</f>
        <v>5483.7455856749639</v>
      </c>
      <c r="AB130" s="570" t="s">
        <v>1174</v>
      </c>
      <c r="AC130" s="548" t="s">
        <v>1184</v>
      </c>
      <c r="AD130" s="570" t="s">
        <v>1335</v>
      </c>
    </row>
    <row r="131" spans="3:30">
      <c r="C131" s="570" t="str">
        <f t="shared" si="10"/>
        <v>TFSSFOFCR2N</v>
      </c>
      <c r="E131" s="555" t="s">
        <v>1185</v>
      </c>
      <c r="F131" s="548" t="s">
        <v>1336</v>
      </c>
      <c r="G131" s="548">
        <v>2020</v>
      </c>
      <c r="H131" s="1362" t="s">
        <v>1175</v>
      </c>
      <c r="I131" s="1363">
        <f t="array" ref="I131">INDEX($AI$12:$BH$15,MATCH(F131,$AH$12:$AH$15,0),MATCH(I$1&amp;$AB131,$AI$9:$BH$9&amp;$AI$11:$BH$11,0))</f>
        <v>1002</v>
      </c>
      <c r="J131" s="1363">
        <f t="shared" si="11"/>
        <v>1002</v>
      </c>
      <c r="K131" s="1363">
        <v>38287</v>
      </c>
      <c r="L131" s="1397">
        <v>69083</v>
      </c>
      <c r="M131" s="1366">
        <f t="array" ref="M131">1/(INDEX($AI$12:$BH$15,MATCH($F131,$AH$12:$AH$15,0),MATCH(($G131&amp;M$1)&amp;$AB131,$AI$9:$BH$9&amp;$AI$11:$BH$11,0))/1.852)</f>
        <v>1.7403348779577166</v>
      </c>
      <c r="N131" s="1366">
        <f t="shared" si="12"/>
        <v>1.7403348779577166</v>
      </c>
      <c r="O131" s="1362">
        <v>30</v>
      </c>
      <c r="P131" s="1366"/>
      <c r="Q131" s="1366">
        <f t="shared" si="13"/>
        <v>2536.4707832113631</v>
      </c>
      <c r="R131" s="1366">
        <f t="array" ref="R131">(AA131*(INDEX(ShipData!$P$19:$R$26,MATCH($AC131,ShipData!$N$19:$N$26,0),MATCH($AD131,ShipData!$P$18:$R$18,0))+INDEX(ShipData!$P$30:$R$37,MATCH($AC131,ShipData!$N$30:$N$37,0),MATCH($AD131,ShipData!$P$29:$R$29,0)))+K131*0.1*(1/M131)*INDEX(ShipData!$P$41:$R$48,MATCH($AC131,ShipData!$N$41:$N$48,0),MATCH($AD131,ShipData!$P$40:$R$40,0)))*6.5/1000</f>
        <v>72470.593806038945</v>
      </c>
      <c r="S131" s="1362"/>
      <c r="T131" s="1362">
        <v>1E-3</v>
      </c>
      <c r="U131" s="1368"/>
      <c r="Z131" s="1366">
        <f t="array" ref="Z131">INDEX($AI$12:$BH$15,MATCH(F131,$AH$12:$AH$15,0),MATCH($AB131&amp;$Z$1,$AI$11:$BH$11&amp;$AI$9:$BH$9,0))/1000</f>
        <v>1.4314285714285715</v>
      </c>
      <c r="AA131" s="570">
        <f t="array" ref="AA131">(Z131^INDEX(ShipData!$X$36:$X$39,MATCH($F131,ShipData!$U$36:$U$39,0)))*0.756*INDEX(ShipData!$W$36:$W$39,MATCH($F131,ShipData!$U$36:$U$39,0))</f>
        <v>1715.2886160618959</v>
      </c>
      <c r="AB131" s="570" t="s">
        <v>1178</v>
      </c>
      <c r="AC131" s="548" t="s">
        <v>1184</v>
      </c>
      <c r="AD131" s="570" t="s">
        <v>1335</v>
      </c>
    </row>
    <row r="132" spans="3:30">
      <c r="C132" s="1149" t="str">
        <f t="shared" si="10"/>
        <v>TFSMFOFCR3N</v>
      </c>
      <c r="D132" s="1149"/>
      <c r="E132" s="1387" t="s">
        <v>1185</v>
      </c>
      <c r="F132" s="1386" t="s">
        <v>1336</v>
      </c>
      <c r="G132" s="1386">
        <v>2030</v>
      </c>
      <c r="H132" s="1374" t="s">
        <v>1175</v>
      </c>
      <c r="I132" s="1375">
        <f t="array" ref="I132">INDEX($AI$12:$BH$15,MATCH(F132,$AH$12:$AH$15,0),MATCH(I$1&amp;$AB132,$AI$9:$BH$9&amp;$AI$11:$BH$11,0))</f>
        <v>3608</v>
      </c>
      <c r="J132" s="1375">
        <f t="shared" si="11"/>
        <v>3608</v>
      </c>
      <c r="K132" s="1375">
        <v>925</v>
      </c>
      <c r="L132" s="1399">
        <v>1668</v>
      </c>
      <c r="M132" s="1398">
        <f t="array" ref="M132">1/(INDEX($AI$12:$BH$15,MATCH($F132,$AH$12:$AH$15,0),MATCH(($G132&amp;M$1)&amp;$AB132,$AI$9:$BH$9&amp;$AI$11:$BH$11,0))/1.852)</f>
        <v>0.87906595126970144</v>
      </c>
      <c r="N132" s="1398">
        <f t="shared" si="12"/>
        <v>0.87906595126970144</v>
      </c>
      <c r="O132" s="1374">
        <v>30</v>
      </c>
      <c r="P132" s="1398"/>
      <c r="Q132" s="1398">
        <f t="shared" si="13"/>
        <v>8047.3967370874207</v>
      </c>
      <c r="R132" s="1398">
        <f t="array" ref="R132">(AA132*(INDEX(ShipData!$P$19:$R$26,MATCH($AC132,ShipData!$N$19:$N$26,0),MATCH($AD132,ShipData!$P$18:$R$18,0))+INDEX(ShipData!$P$30:$R$37,MATCH($AC132,ShipData!$N$30:$N$37,0),MATCH($AD132,ShipData!$P$29:$R$29,0)))+K132*0.1*(1/M132)*INDEX(ShipData!$P$41:$R$48,MATCH($AC132,ShipData!$N$41:$N$48,0),MATCH($AD132,ShipData!$P$40:$R$40,0)))*6.5/1000</f>
        <v>229925.62105964057</v>
      </c>
      <c r="S132" s="1374"/>
      <c r="T132" s="1374">
        <v>1E-3</v>
      </c>
      <c r="U132" s="1385"/>
      <c r="V132" s="1149"/>
      <c r="W132" s="573"/>
      <c r="Z132" s="1366">
        <f t="array" ref="Z132">INDEX($AI$12:$BH$15,MATCH(F132,$AH$12:$AH$15,0),MATCH($AB132&amp;$Z$1,$AI$11:$BH$11&amp;$AI$9:$BH$9,0))/1000</f>
        <v>5.1542857142857148</v>
      </c>
      <c r="AA132" s="570">
        <f t="array" ref="AA132">(Z132^INDEX(ShipData!$X$36:$X$39,MATCH($F132,ShipData!$U$36:$U$39,0)))*0.756*INDEX(ShipData!$W$36:$W$39,MATCH($F132,ShipData!$U$36:$U$39,0))</f>
        <v>5468.6247789018307</v>
      </c>
      <c r="AB132" s="570" t="s">
        <v>1174</v>
      </c>
      <c r="AC132" s="548" t="s">
        <v>1184</v>
      </c>
      <c r="AD132" s="570" t="s">
        <v>1335</v>
      </c>
    </row>
    <row r="133" spans="3:30">
      <c r="C133" s="570" t="str">
        <f t="shared" si="10"/>
        <v>TFSSFOFCL3N</v>
      </c>
      <c r="E133" s="555" t="s">
        <v>1197</v>
      </c>
      <c r="F133" s="548" t="s">
        <v>1340</v>
      </c>
      <c r="G133" s="1401">
        <v>2030</v>
      </c>
      <c r="H133" s="1362" t="s">
        <v>1175</v>
      </c>
      <c r="I133" s="1363">
        <f t="array" ref="I133">INDEX($AI$12:$BH$15,MATCH(F133,$AH$12:$AH$15,0),MATCH(I$1&amp;$AB133,$AI$9:$BH$9&amp;$AI$11:$BH$11,0))</f>
        <v>810</v>
      </c>
      <c r="J133" s="1363">
        <f t="shared" si="11"/>
        <v>810</v>
      </c>
      <c r="K133" s="1363">
        <v>46488</v>
      </c>
      <c r="L133" s="1362">
        <v>83879</v>
      </c>
      <c r="M133" s="1366">
        <f t="array" ref="M133">1/(INDEX($AI$12:$BH$15,MATCH($F133,$AH$12:$AH$15,0),MATCH(($G133&amp;M$1)&amp;$AB133,$AI$9:$BH$9&amp;$AI$11:$BH$11,0))/1.852)</f>
        <v>3.8453314985699092</v>
      </c>
      <c r="N133" s="1366">
        <f t="shared" si="12"/>
        <v>3.8453314985699092</v>
      </c>
      <c r="O133" s="1362">
        <v>30</v>
      </c>
      <c r="P133" s="1366"/>
      <c r="Q133" s="1363">
        <v>3191.9571180000007</v>
      </c>
      <c r="R133" s="1366">
        <f t="array" ref="R133">(AA133*(INDEX(ShipData!$P$19:$R$26,MATCH($AC133,ShipData!$N$19:$N$26,0),MATCH($AD133,ShipData!$P$18:$R$18,0))+INDEX(ShipData!$P$30:$R$37,MATCH($AC133,ShipData!$N$30:$N$37,0),MATCH($AD133,ShipData!$P$29:$R$29,0)))+K133*0.1*(1/M133)*INDEX(ShipData!$P$41:$R$48,MATCH($AC133,ShipData!$N$41:$N$48,0),MATCH($AD133,ShipData!$P$40:$R$40,0)))*6.5/1000</f>
        <v>72191.880685171491</v>
      </c>
      <c r="S133" s="1362"/>
      <c r="T133" s="1362">
        <v>1E-3</v>
      </c>
      <c r="U133" s="1368"/>
      <c r="Z133" s="1366">
        <f t="array" ref="Z133">INDEX($AI$12:$BH$15,MATCH(F133,$AH$12:$AH$15,0),MATCH($AB133&amp;$Z$1,$AI$11:$BH$11&amp;$AI$9:$BH$9,0))/1000</f>
        <v>1.5804878048780491</v>
      </c>
      <c r="AA133" s="570">
        <f t="array" ref="AA133">(Z133^INDEX(ShipData!$X$36:$X$39,MATCH($F133,ShipData!$U$36:$U$39,0)))*0.756*INDEX(ShipData!$W$36:$W$39,MATCH($F133,ShipData!$U$36:$U$39,0))</f>
        <v>1602.8300580975306</v>
      </c>
      <c r="AB133" s="570" t="s">
        <v>1178</v>
      </c>
      <c r="AC133" s="548" t="s">
        <v>1184</v>
      </c>
      <c r="AD133" s="570" t="s">
        <v>1338</v>
      </c>
    </row>
    <row r="134" spans="3:30">
      <c r="C134" s="570" t="str">
        <f t="shared" si="10"/>
        <v>TFSMFOFCL3N</v>
      </c>
      <c r="E134" s="555" t="s">
        <v>1197</v>
      </c>
      <c r="F134" s="548" t="s">
        <v>1340</v>
      </c>
      <c r="G134" s="1401">
        <v>2030</v>
      </c>
      <c r="H134" s="1362" t="s">
        <v>1175</v>
      </c>
      <c r="I134" s="1363">
        <f t="array" ref="I134">INDEX($AI$12:$BH$15,MATCH(F134,$AH$12:$AH$15,0),MATCH(I$1&amp;$AB134,$AI$9:$BH$9&amp;$AI$11:$BH$11,0))</f>
        <v>3045.9905660377353</v>
      </c>
      <c r="J134" s="1363">
        <f t="shared" si="11"/>
        <v>3045.9905660377353</v>
      </c>
      <c r="K134" s="1363">
        <v>25616</v>
      </c>
      <c r="L134" s="1362">
        <v>46219</v>
      </c>
      <c r="M134" s="1366">
        <f t="array" ref="M134">1/(INDEX($AI$12:$BH$15,MATCH($F134,$AH$12:$AH$15,0),MATCH(($G134&amp;M$1)&amp;$AB134,$AI$9:$BH$9&amp;$AI$11:$BH$11,0))/1.852)</f>
        <v>1.9876124255718461</v>
      </c>
      <c r="N134" s="1366">
        <f t="shared" si="12"/>
        <v>1.9876124255718461</v>
      </c>
      <c r="O134" s="1362">
        <v>30</v>
      </c>
      <c r="P134" s="1366"/>
      <c r="Q134" s="1363">
        <v>6839.9081100000003</v>
      </c>
      <c r="R134" s="1366">
        <f t="array" ref="R134">(AA134*(INDEX(ShipData!$P$19:$R$26,MATCH($AC134,ShipData!$N$19:$N$26,0),MATCH($AD134,ShipData!$P$18:$R$18,0))+INDEX(ShipData!$P$30:$R$37,MATCH($AC134,ShipData!$N$30:$N$37,0),MATCH($AD134,ShipData!$P$29:$R$29,0)))+K134*0.1*(1/M134)*INDEX(ShipData!$P$41:$R$48,MATCH($AC134,ShipData!$N$41:$N$48,0),MATCH($AD134,ShipData!$P$40:$R$40,0)))*6.5/1000</f>
        <v>151530.59570523325</v>
      </c>
      <c r="S134" s="1362"/>
      <c r="T134" s="1362">
        <v>1E-3</v>
      </c>
      <c r="U134" s="1368"/>
      <c r="Z134" s="1366">
        <f t="array" ref="Z134">INDEX($AI$12:$BH$15,MATCH(F134,$AH$12:$AH$15,0),MATCH($AB134&amp;$Z$1,$AI$11:$BH$11&amp;$AI$9:$BH$9,0))/1000</f>
        <v>5.9433962264150946</v>
      </c>
      <c r="AA134" s="570">
        <f t="array" ref="AA134">(Z134^INDEX(ShipData!$X$36:$X$39,MATCH($F134,ShipData!$U$36:$U$39,0)))*0.756*INDEX(ShipData!$W$36:$W$39,MATCH($F134,ShipData!$U$36:$U$39,0))</f>
        <v>3369.7610132900404</v>
      </c>
      <c r="AB134" s="570" t="s">
        <v>1174</v>
      </c>
      <c r="AC134" s="548" t="s">
        <v>1184</v>
      </c>
      <c r="AD134" s="570" t="s">
        <v>1338</v>
      </c>
    </row>
    <row r="135" spans="3:30">
      <c r="C135" s="570" t="str">
        <f t="shared" si="10"/>
        <v>TFSSFOFCD3N</v>
      </c>
      <c r="E135" s="555" t="s">
        <v>1197</v>
      </c>
      <c r="F135" s="548" t="s">
        <v>1339</v>
      </c>
      <c r="G135" s="1401">
        <v>2030</v>
      </c>
      <c r="H135" s="1362" t="s">
        <v>1175</v>
      </c>
      <c r="I135" s="1363">
        <f t="array" ref="I135">INDEX($AI$12:$BH$15,MATCH(F135,$AH$12:$AH$15,0),MATCH(I$1&amp;$AB135,$AI$9:$BH$9&amp;$AI$11:$BH$11,0))</f>
        <v>1527</v>
      </c>
      <c r="J135" s="1363">
        <f t="shared" si="11"/>
        <v>1527</v>
      </c>
      <c r="K135" s="1363">
        <v>17027</v>
      </c>
      <c r="L135" s="1397">
        <v>30722</v>
      </c>
      <c r="M135" s="1366">
        <f t="array" ref="M135">1/(INDEX($AI$12:$BH$15,MATCH($F135,$AH$12:$AH$15,0),MATCH(($G135&amp;M$1)&amp;$AB135,$AI$9:$BH$9&amp;$AI$11:$BH$11,0))/1.852)</f>
        <v>3.891319674651244</v>
      </c>
      <c r="N135" s="1366">
        <f t="shared" si="12"/>
        <v>3.891319674651244</v>
      </c>
      <c r="O135" s="1362">
        <v>30</v>
      </c>
      <c r="P135" s="1366"/>
      <c r="Q135" s="1363">
        <v>3557.8781280000003</v>
      </c>
      <c r="R135" s="1366">
        <f t="array" ref="R135">(AA135*(INDEX(ShipData!$P$19:$R$26,MATCH($AC135,ShipData!$N$19:$N$26,0),MATCH($AD135,ShipData!$P$18:$R$18,0))+INDEX(ShipData!$P$30:$R$37,MATCH($AC135,ShipData!$N$30:$N$37,0),MATCH($AD135,ShipData!$P$29:$R$29,0)))+K135*0.1*(1/M135)*INDEX(ShipData!$P$41:$R$48,MATCH($AC135,ShipData!$N$41:$N$48,0),MATCH($AD135,ShipData!$P$40:$R$40,0)))*6.5/1000</f>
        <v>86354.788135823022</v>
      </c>
      <c r="S135" s="1362"/>
      <c r="T135" s="1362">
        <v>1E-3</v>
      </c>
      <c r="U135" s="1368"/>
      <c r="Z135" s="1366">
        <f t="array" ref="Z135">INDEX($AI$12:$BH$15,MATCH(F135,$AH$12:$AH$15,0),MATCH($AB135&amp;$Z$1,$AI$11:$BH$11&amp;$AI$9:$BH$9,0))/1000</f>
        <v>2.5449999999999999</v>
      </c>
      <c r="AA135" s="570">
        <f t="array" ref="AA135">(Z135^INDEX(ShipData!$X$36:$X$39,MATCH($F135,ShipData!$U$36:$U$39,0)))*0.756*INDEX(ShipData!$W$36:$W$39,MATCH($F135,ShipData!$U$36:$U$39,0))</f>
        <v>1921.6608368614334</v>
      </c>
      <c r="AB135" s="570" t="s">
        <v>1178</v>
      </c>
      <c r="AC135" s="548" t="s">
        <v>1184</v>
      </c>
      <c r="AD135" s="570" t="s">
        <v>1338</v>
      </c>
    </row>
    <row r="136" spans="3:30">
      <c r="C136" s="570" t="str">
        <f t="shared" si="10"/>
        <v>TFSMFOFCD3N</v>
      </c>
      <c r="E136" s="555" t="s">
        <v>1197</v>
      </c>
      <c r="F136" s="548" t="s">
        <v>1339</v>
      </c>
      <c r="G136" s="1401">
        <v>2030</v>
      </c>
      <c r="H136" s="1362" t="s">
        <v>1175</v>
      </c>
      <c r="I136" s="1363">
        <f t="array" ref="I136">INDEX($AI$12:$BH$15,MATCH(F136,$AH$12:$AH$15,0),MATCH(I$1&amp;$AB136,$AI$9:$BH$9&amp;$AI$11:$BH$11,0))</f>
        <v>4174</v>
      </c>
      <c r="J136" s="1363">
        <f t="shared" si="11"/>
        <v>4174</v>
      </c>
      <c r="K136" s="1363">
        <v>3330</v>
      </c>
      <c r="L136" s="1397">
        <v>6009</v>
      </c>
      <c r="M136" s="1366">
        <f t="array" ref="M136">1/(INDEX($AI$12:$BH$15,MATCH($F136,$AH$12:$AH$15,0),MATCH(($G136&amp;M$1)&amp;$AB136,$AI$9:$BH$9&amp;$AI$11:$BH$11,0))/1.852)</f>
        <v>2.1794284452298629</v>
      </c>
      <c r="N136" s="1366">
        <f t="shared" si="12"/>
        <v>2.1794284452298629</v>
      </c>
      <c r="O136" s="1362">
        <v>30</v>
      </c>
      <c r="P136" s="1366"/>
      <c r="Q136" s="1363">
        <v>6368.9020920000021</v>
      </c>
      <c r="R136" s="1366">
        <f t="array" ref="R136">(AA136*(INDEX(ShipData!$P$19:$R$26,MATCH($AC136,ShipData!$N$19:$N$26,0),MATCH($AD136,ShipData!$P$18:$R$18,0))+INDEX(ShipData!$P$30:$R$37,MATCH($AC136,ShipData!$N$30:$N$37,0),MATCH($AD136,ShipData!$P$29:$R$29,0)))+K136*0.1*(1/M136)*INDEX(ShipData!$P$41:$R$48,MATCH($AC136,ShipData!$N$41:$N$48,0),MATCH($AD136,ShipData!$P$40:$R$40,0)))*6.5/1000</f>
        <v>154453.56737303917</v>
      </c>
      <c r="S136" s="1362"/>
      <c r="T136" s="1362">
        <v>1E-3</v>
      </c>
      <c r="U136" s="1368"/>
      <c r="Z136" s="1366">
        <f t="array" ref="Z136">INDEX($AI$12:$BH$15,MATCH(F136,$AH$12:$AH$15,0),MATCH($AB136&amp;$Z$1,$AI$11:$BH$11&amp;$AI$9:$BH$9,0))/1000</f>
        <v>6.956666666666667</v>
      </c>
      <c r="AA136" s="570">
        <f t="array" ref="AA136">(Z136^INDEX(ShipData!$X$36:$X$39,MATCH($F136,ShipData!$U$36:$U$39,0)))*0.756*INDEX(ShipData!$W$36:$W$39,MATCH($F136,ShipData!$U$36:$U$39,0))</f>
        <v>3439.8048335584949</v>
      </c>
      <c r="AB136" s="570" t="s">
        <v>1174</v>
      </c>
      <c r="AC136" s="548" t="s">
        <v>1184</v>
      </c>
      <c r="AD136" s="570" t="s">
        <v>1338</v>
      </c>
    </row>
    <row r="137" spans="3:30">
      <c r="C137" s="570" t="str">
        <f t="shared" si="10"/>
        <v>TFSSFOFCC3N</v>
      </c>
      <c r="E137" s="555" t="s">
        <v>1197</v>
      </c>
      <c r="F137" s="548" t="s">
        <v>1337</v>
      </c>
      <c r="G137" s="1401">
        <v>2030</v>
      </c>
      <c r="H137" s="1362" t="s">
        <v>1175</v>
      </c>
      <c r="I137" s="1363">
        <f t="array" ref="I137">INDEX($AI$12:$BH$15,MATCH(F137,$AH$12:$AH$15,0),MATCH(I$1&amp;$AB137,$AI$9:$BH$9&amp;$AI$11:$BH$11,0))</f>
        <v>2450</v>
      </c>
      <c r="J137" s="1363">
        <f t="shared" si="11"/>
        <v>2450</v>
      </c>
      <c r="K137" s="1363">
        <v>0</v>
      </c>
      <c r="L137" s="1397">
        <v>0</v>
      </c>
      <c r="M137" s="1366">
        <f t="array" ref="M137">1/(INDEX($AI$12:$BH$15,MATCH($F137,$AH$12:$AH$15,0),MATCH(($G137&amp;M$1)&amp;$AB137,$AI$9:$BH$9&amp;$AI$11:$BH$11,0))/1.852)</f>
        <v>1.7403348779577166</v>
      </c>
      <c r="N137" s="1366">
        <f t="shared" si="12"/>
        <v>1.7403348779577166</v>
      </c>
      <c r="O137" s="1362">
        <v>30</v>
      </c>
      <c r="P137" s="1366"/>
      <c r="Q137" s="1363">
        <v>3858.8999400000002</v>
      </c>
      <c r="R137" s="1366">
        <f t="array" ref="R137">(AA137*(INDEX(ShipData!$P$19:$R$26,MATCH($AC137,ShipData!$N$19:$N$26,0),MATCH($AD137,ShipData!$P$18:$R$18,0))+INDEX(ShipData!$P$30:$R$37,MATCH($AC137,ShipData!$N$30:$N$37,0),MATCH($AD137,ShipData!$P$29:$R$29,0)))+K137*0.1*(1/M137)*INDEX(ShipData!$P$41:$R$48,MATCH($AC137,ShipData!$N$41:$N$48,0),MATCH($AD137,ShipData!$P$40:$R$40,0)))*6.5/1000</f>
        <v>103171.42909955772</v>
      </c>
      <c r="S137" s="1362"/>
      <c r="T137" s="1362">
        <v>1E-3</v>
      </c>
      <c r="U137" s="1368"/>
      <c r="Z137" s="1366">
        <f t="array" ref="Z137">INDEX($AI$12:$BH$15,MATCH(F137,$AH$12:$AH$15,0),MATCH($AB137&amp;$Z$1,$AI$11:$BH$11&amp;$AI$9:$BH$9,0))/1000</f>
        <v>3.5</v>
      </c>
      <c r="AA137" s="570">
        <f t="array" ref="AA137">(Z137^INDEX(ShipData!$X$36:$X$39,MATCH($F137,ShipData!$U$36:$U$39,0)))*0.756*INDEX(ShipData!$W$36:$W$39,MATCH($F137,ShipData!$U$36:$U$39,0))</f>
        <v>2454.0448908848457</v>
      </c>
      <c r="AB137" s="570" t="s">
        <v>1178</v>
      </c>
      <c r="AC137" s="548" t="s">
        <v>1184</v>
      </c>
      <c r="AD137" s="570" t="s">
        <v>1335</v>
      </c>
    </row>
    <row r="138" spans="3:30">
      <c r="C138" s="570" t="str">
        <f t="shared" si="10"/>
        <v>TFSMFOFCC3N</v>
      </c>
      <c r="E138" s="555" t="s">
        <v>1197</v>
      </c>
      <c r="F138" s="548" t="s">
        <v>1337</v>
      </c>
      <c r="G138" s="1401">
        <v>2030</v>
      </c>
      <c r="H138" s="1362" t="s">
        <v>1175</v>
      </c>
      <c r="I138" s="1363">
        <f t="array" ref="I138">INDEX($AI$12:$BH$15,MATCH(F138,$AH$12:$AH$15,0),MATCH(I$1&amp;$AB138,$AI$9:$BH$9&amp;$AI$11:$BH$11,0))</f>
        <v>4900</v>
      </c>
      <c r="J138" s="1363">
        <f t="shared" si="11"/>
        <v>4900</v>
      </c>
      <c r="K138" s="1363">
        <v>362</v>
      </c>
      <c r="L138" s="1397">
        <v>653</v>
      </c>
      <c r="M138" s="1366">
        <f t="array" ref="M138">1/(INDEX($AI$12:$BH$15,MATCH($F138,$AH$12:$AH$15,0),MATCH(($G138&amp;M$1)&amp;$AB138,$AI$9:$BH$9&amp;$AI$11:$BH$11,0))/1.852)</f>
        <v>0.87906595126970144</v>
      </c>
      <c r="N138" s="1366">
        <f t="shared" si="12"/>
        <v>0.87906595126970144</v>
      </c>
      <c r="O138" s="1362">
        <v>30</v>
      </c>
      <c r="P138" s="1366"/>
      <c r="Q138" s="1363">
        <v>8621.1839700000019</v>
      </c>
      <c r="R138" s="1366">
        <f t="array" ref="R138">(AA138*(INDEX(ShipData!$P$19:$R$26,MATCH($AC138,ShipData!$N$19:$N$26,0),MATCH($AD138,ShipData!$P$18:$R$18,0))+INDEX(ShipData!$P$30:$R$37,MATCH($AC138,ShipData!$N$30:$N$37,0),MATCH($AD138,ShipData!$P$29:$R$29,0)))+K138*0.1*(1/M138)*INDEX(ShipData!$P$41:$R$48,MATCH($AC138,ShipData!$N$41:$N$48,0),MATCH($AD138,ShipData!$P$40:$R$40,0)))*6.5/1000</f>
        <v>230550.91326078566</v>
      </c>
      <c r="S138" s="1362"/>
      <c r="T138" s="1362">
        <v>1E-3</v>
      </c>
      <c r="U138" s="1368"/>
      <c r="Z138" s="1366">
        <f t="array" ref="Z138">INDEX($AI$12:$BH$15,MATCH(F138,$AH$12:$AH$15,0),MATCH($AB138&amp;$Z$1,$AI$11:$BH$11&amp;$AI$9:$BH$9,0))/1000</f>
        <v>7</v>
      </c>
      <c r="AA138" s="570">
        <f t="array" ref="AA138">(Z138^INDEX(ShipData!$X$36:$X$39,MATCH($F138,ShipData!$U$36:$U$39,0)))*0.756*INDEX(ShipData!$W$36:$W$39,MATCH($F138,ShipData!$U$36:$U$39,0))</f>
        <v>5483.7455856749639</v>
      </c>
      <c r="AB138" s="570" t="s">
        <v>1174</v>
      </c>
      <c r="AC138" s="548" t="s">
        <v>1184</v>
      </c>
      <c r="AD138" s="570" t="s">
        <v>1335</v>
      </c>
    </row>
    <row r="139" spans="3:30">
      <c r="C139" s="570" t="str">
        <f t="shared" si="10"/>
        <v>TFSSFOFCR3N</v>
      </c>
      <c r="E139" s="555" t="s">
        <v>1197</v>
      </c>
      <c r="F139" s="548" t="s">
        <v>1336</v>
      </c>
      <c r="G139" s="1401">
        <v>2030</v>
      </c>
      <c r="H139" s="1362" t="s">
        <v>1175</v>
      </c>
      <c r="I139" s="1363">
        <f t="array" ref="I139">INDEX($AI$12:$BH$15,MATCH(F139,$AH$12:$AH$15,0),MATCH(I$1&amp;$AB139,$AI$9:$BH$9&amp;$AI$11:$BH$11,0))</f>
        <v>1002</v>
      </c>
      <c r="J139" s="1363">
        <f t="shared" si="11"/>
        <v>1002</v>
      </c>
      <c r="K139" s="1363">
        <v>38287</v>
      </c>
      <c r="L139" s="1397">
        <v>69083</v>
      </c>
      <c r="M139" s="1366">
        <f t="array" ref="M139">1/(INDEX($AI$12:$BH$15,MATCH($F139,$AH$12:$AH$15,0),MATCH(($G139&amp;M$1)&amp;$AB139,$AI$9:$BH$9&amp;$AI$11:$BH$11,0))/1.852)</f>
        <v>1.7403348779577166</v>
      </c>
      <c r="N139" s="1366">
        <f t="shared" si="12"/>
        <v>1.7403348779577166</v>
      </c>
      <c r="O139" s="1362">
        <v>30</v>
      </c>
      <c r="P139" s="1366"/>
      <c r="Q139" s="1363">
        <v>3176.9449740000005</v>
      </c>
      <c r="R139" s="1366">
        <f t="array" ref="R139">(AA139*(INDEX(ShipData!$P$19:$R$26,MATCH($AC139,ShipData!$N$19:$N$26,0),MATCH($AD139,ShipData!$P$18:$R$18,0))+INDEX(ShipData!$P$30:$R$37,MATCH($AC139,ShipData!$N$30:$N$37,0),MATCH($AD139,ShipData!$P$29:$R$29,0)))+K139*0.1*(1/M139)*INDEX(ShipData!$P$41:$R$48,MATCH($AC139,ShipData!$N$41:$N$48,0),MATCH($AD139,ShipData!$P$40:$R$40,0)))*6.5/1000</f>
        <v>72470.593806038945</v>
      </c>
      <c r="S139" s="1362"/>
      <c r="T139" s="1362">
        <v>1E-3</v>
      </c>
      <c r="U139" s="1368"/>
      <c r="Z139" s="1366">
        <f t="array" ref="Z139">INDEX($AI$12:$BH$15,MATCH(F139,$AH$12:$AH$15,0),MATCH($AB139&amp;$Z$1,$AI$11:$BH$11&amp;$AI$9:$BH$9,0))/1000</f>
        <v>1.4314285714285715</v>
      </c>
      <c r="AA139" s="570">
        <f t="array" ref="AA139">(Z139^INDEX(ShipData!$X$36:$X$39,MATCH($F139,ShipData!$U$36:$U$39,0)))*0.756*INDEX(ShipData!$W$36:$W$39,MATCH($F139,ShipData!$U$36:$U$39,0))</f>
        <v>1715.2886160618959</v>
      </c>
      <c r="AB139" s="570" t="s">
        <v>1178</v>
      </c>
      <c r="AC139" s="548" t="s">
        <v>1184</v>
      </c>
      <c r="AD139" s="570" t="s">
        <v>1335</v>
      </c>
    </row>
    <row r="140" spans="3:30">
      <c r="C140" s="1149" t="str">
        <f t="shared" si="10"/>
        <v>TFSMFOFCR3N</v>
      </c>
      <c r="D140" s="1149"/>
      <c r="E140" s="1387" t="s">
        <v>1197</v>
      </c>
      <c r="F140" s="1386" t="s">
        <v>1336</v>
      </c>
      <c r="G140" s="1400">
        <v>2030</v>
      </c>
      <c r="H140" s="1374" t="s">
        <v>1175</v>
      </c>
      <c r="I140" s="1375">
        <f t="array" ref="I140">INDEX($AI$12:$BH$15,MATCH(F140,$AH$12:$AH$15,0),MATCH(I$1&amp;$AB140,$AI$9:$BH$9&amp;$AI$11:$BH$11,0))</f>
        <v>3608</v>
      </c>
      <c r="J140" s="1375">
        <f t="shared" si="11"/>
        <v>3608</v>
      </c>
      <c r="K140" s="1375">
        <v>925</v>
      </c>
      <c r="L140" s="1399">
        <v>1668</v>
      </c>
      <c r="M140" s="1398">
        <f t="array" ref="M140">1/(INDEX($AI$12:$BH$15,MATCH($F140,$AH$12:$AH$15,0),MATCH(($G140&amp;M$1)&amp;$AB140,$AI$9:$BH$9&amp;$AI$11:$BH$11,0))/1.852)</f>
        <v>0.87906595126970144</v>
      </c>
      <c r="N140" s="1398">
        <f t="shared" si="12"/>
        <v>0.87906595126970144</v>
      </c>
      <c r="O140" s="1374">
        <v>30</v>
      </c>
      <c r="P140" s="1398"/>
      <c r="Q140" s="1375">
        <v>10125.691128</v>
      </c>
      <c r="R140" s="1398">
        <f t="array" ref="R140">(AA140*(INDEX(ShipData!$P$19:$R$26,MATCH($AC140,ShipData!$N$19:$N$26,0),MATCH($AD140,ShipData!$P$18:$R$18,0))+INDEX(ShipData!$P$30:$R$37,MATCH($AC140,ShipData!$N$30:$N$37,0),MATCH($AD140,ShipData!$P$29:$R$29,0)))+K140*0.1*(1/M140)*INDEX(ShipData!$P$41:$R$48,MATCH($AC140,ShipData!$N$41:$N$48,0),MATCH($AD140,ShipData!$P$40:$R$40,0)))*6.5/1000</f>
        <v>229925.62105964057</v>
      </c>
      <c r="S140" s="1374"/>
      <c r="T140" s="1374">
        <v>1E-3</v>
      </c>
      <c r="U140" s="1385"/>
      <c r="V140" s="1149"/>
      <c r="W140" s="573"/>
      <c r="Z140" s="1366">
        <f t="array" ref="Z140">INDEX($AI$12:$BH$15,MATCH(F140,$AH$12:$AH$15,0),MATCH($AB140&amp;$Z$1,$AI$11:$BH$11&amp;$AI$9:$BH$9,0))/1000</f>
        <v>5.1542857142857148</v>
      </c>
      <c r="AA140" s="570">
        <f t="array" ref="AA140">(Z140^INDEX(ShipData!$X$36:$X$39,MATCH($F140,ShipData!$U$36:$U$39,0)))*0.756*INDEX(ShipData!$W$36:$W$39,MATCH($F140,ShipData!$U$36:$U$39,0))</f>
        <v>5468.6247789018307</v>
      </c>
      <c r="AB140" s="570" t="s">
        <v>1174</v>
      </c>
      <c r="AC140" s="548" t="s">
        <v>1184</v>
      </c>
      <c r="AD140" s="570" t="s">
        <v>1335</v>
      </c>
    </row>
    <row r="141" spans="3:30">
      <c r="C141" s="570" t="str">
        <f t="shared" si="10"/>
        <v>TFSSMOFCL2N</v>
      </c>
      <c r="E141" s="555" t="s">
        <v>1183</v>
      </c>
      <c r="F141" s="548" t="s">
        <v>1340</v>
      </c>
      <c r="G141" s="548">
        <v>2020</v>
      </c>
      <c r="H141" s="1362" t="s">
        <v>1175</v>
      </c>
      <c r="I141" s="1363">
        <f t="array" ref="I141">INDEX($AI$12:$BH$15,MATCH(F141,$AH$12:$AH$15,0),MATCH(I$1&amp;$AB141,$AI$9:$BH$9&amp;$AI$11:$BH$11,0))</f>
        <v>810</v>
      </c>
      <c r="J141" s="1363">
        <f t="shared" si="11"/>
        <v>810</v>
      </c>
      <c r="K141" s="1363">
        <v>46488</v>
      </c>
      <c r="L141" s="1362">
        <v>83879</v>
      </c>
      <c r="M141" s="1366">
        <f t="array" ref="M141">1/(INDEX($AI$12:$BH$15,MATCH($F141,$AH$12:$AH$15,0),MATCH(($G141&amp;M$1)&amp;$AB141,$AI$9:$BH$9&amp;$AI$11:$BH$11,0))/1.852)</f>
        <v>2.3752039567310899</v>
      </c>
      <c r="N141" s="1366">
        <f t="shared" si="12"/>
        <v>2.3752039567310899</v>
      </c>
      <c r="O141" s="1362">
        <v>30</v>
      </c>
      <c r="P141" s="1366"/>
      <c r="Q141" s="1366">
        <f t="shared" ref="Q141:Q164" si="14">0.035*R141</f>
        <v>2545.7276359347215</v>
      </c>
      <c r="R141" s="1366">
        <f t="array" ref="R141">(AA141*(INDEX(ShipData!$P$19:$R$26,MATCH($AC141,ShipData!$N$19:$N$26,0),MATCH($AD141,ShipData!$P$18:$R$18,0))+INDEX(ShipData!$P$30:$R$37,MATCH($AC141,ShipData!$N$30:$N$37,0),MATCH($AD141,ShipData!$P$29:$R$29,0)))+K141*0.1*(1/M141)*INDEX(ShipData!$P$41:$R$48,MATCH($AC141,ShipData!$N$41:$N$48,0),MATCH($AD141,ShipData!$P$40:$R$40,0)))*6.5/1000</f>
        <v>72735.075312420609</v>
      </c>
      <c r="S141" s="1362"/>
      <c r="T141" s="1362">
        <v>1E-3</v>
      </c>
      <c r="U141" s="1368"/>
      <c r="Z141" s="1366">
        <f t="array" ref="Z141">INDEX($AI$12:$BH$15,MATCH(F141,$AH$12:$AH$15,0),MATCH($AB141&amp;$Z$1,$AI$11:$BH$11&amp;$AI$9:$BH$9,0))/1000</f>
        <v>1.5804878048780491</v>
      </c>
      <c r="AA141" s="570">
        <f t="array" ref="AA141">(Z141^INDEX(ShipData!$X$36:$X$39,MATCH($F141,ShipData!$U$36:$U$39,0)))*0.756*INDEX(ShipData!$W$36:$W$39,MATCH($F141,ShipData!$U$36:$U$39,0))</f>
        <v>1602.8300580975306</v>
      </c>
      <c r="AB141" s="570" t="s">
        <v>1178</v>
      </c>
      <c r="AC141" s="548" t="s">
        <v>1182</v>
      </c>
      <c r="AD141" s="570" t="s">
        <v>1338</v>
      </c>
    </row>
    <row r="142" spans="3:30">
      <c r="C142" s="570" t="str">
        <f t="shared" si="10"/>
        <v>TFSMMOFCL3N</v>
      </c>
      <c r="E142" s="555" t="s">
        <v>1183</v>
      </c>
      <c r="F142" s="548" t="s">
        <v>1340</v>
      </c>
      <c r="G142" s="548">
        <v>2030</v>
      </c>
      <c r="H142" s="1362" t="s">
        <v>1175</v>
      </c>
      <c r="I142" s="1363">
        <f t="array" ref="I142">INDEX($AI$12:$BH$15,MATCH(F142,$AH$12:$AH$15,0),MATCH(I$1&amp;$AB142,$AI$9:$BH$9&amp;$AI$11:$BH$11,0))</f>
        <v>3045.9905660377353</v>
      </c>
      <c r="J142" s="1363">
        <f t="shared" si="11"/>
        <v>3045.9905660377353</v>
      </c>
      <c r="K142" s="1363">
        <v>25616</v>
      </c>
      <c r="L142" s="1362">
        <v>46219</v>
      </c>
      <c r="M142" s="1366">
        <f t="array" ref="M142">1/(INDEX($AI$12:$BH$15,MATCH($F142,$AH$12:$AH$15,0),MATCH(($G142&amp;M$1)&amp;$AB142,$AI$9:$BH$9&amp;$AI$11:$BH$11,0))/1.852)</f>
        <v>1.9876124255718461</v>
      </c>
      <c r="N142" s="1366">
        <f t="shared" si="12"/>
        <v>1.9876124255718461</v>
      </c>
      <c r="O142" s="1362">
        <v>30</v>
      </c>
      <c r="P142" s="1366"/>
      <c r="Q142" s="1366">
        <f t="shared" si="14"/>
        <v>5319.9456229525349</v>
      </c>
      <c r="R142" s="1366">
        <f t="array" ref="R142">(AA142*(INDEX(ShipData!$P$19:$R$26,MATCH($AC142,ShipData!$N$19:$N$26,0),MATCH($AD142,ShipData!$P$18:$R$18,0))+INDEX(ShipData!$P$30:$R$37,MATCH($AC142,ShipData!$N$30:$N$37,0),MATCH($AD142,ShipData!$P$29:$R$29,0)))+K142*0.1*(1/M142)*INDEX(ShipData!$P$41:$R$48,MATCH($AC142,ShipData!$N$41:$N$48,0),MATCH($AD142,ShipData!$P$40:$R$40,0)))*6.5/1000</f>
        <v>151998.4463700724</v>
      </c>
      <c r="S142" s="1362"/>
      <c r="T142" s="1362">
        <v>1E-3</v>
      </c>
      <c r="U142" s="1368"/>
      <c r="Z142" s="1366">
        <f t="array" ref="Z142">INDEX($AI$12:$BH$15,MATCH(F142,$AH$12:$AH$15,0),MATCH($AB142&amp;$Z$1,$AI$11:$BH$11&amp;$AI$9:$BH$9,0))/1000</f>
        <v>5.9433962264150946</v>
      </c>
      <c r="AA142" s="570">
        <f t="array" ref="AA142">(Z142^INDEX(ShipData!$X$36:$X$39,MATCH($F142,ShipData!$U$36:$U$39,0)))*0.756*INDEX(ShipData!$W$36:$W$39,MATCH($F142,ShipData!$U$36:$U$39,0))</f>
        <v>3369.7610132900404</v>
      </c>
      <c r="AB142" s="570" t="s">
        <v>1174</v>
      </c>
      <c r="AC142" s="548" t="s">
        <v>1182</v>
      </c>
      <c r="AD142" s="570" t="s">
        <v>1338</v>
      </c>
    </row>
    <row r="143" spans="3:30">
      <c r="C143" s="570" t="str">
        <f t="shared" si="10"/>
        <v>TFSSMOFCD2N</v>
      </c>
      <c r="E143" s="555" t="s">
        <v>1183</v>
      </c>
      <c r="F143" s="548" t="s">
        <v>1339</v>
      </c>
      <c r="G143" s="548">
        <v>2020</v>
      </c>
      <c r="H143" s="1362" t="s">
        <v>1175</v>
      </c>
      <c r="I143" s="1363">
        <f t="array" ref="I143">INDEX($AI$12:$BH$15,MATCH(F143,$AH$12:$AH$15,0),MATCH(I$1&amp;$AB143,$AI$9:$BH$9&amp;$AI$11:$BH$11,0))</f>
        <v>1527</v>
      </c>
      <c r="J143" s="1363">
        <f t="shared" si="11"/>
        <v>1527</v>
      </c>
      <c r="K143" s="1363">
        <v>17027</v>
      </c>
      <c r="L143" s="1397">
        <v>30722</v>
      </c>
      <c r="M143" s="1366">
        <f t="array" ref="M143">1/(INDEX($AI$12:$BH$15,MATCH($F143,$AH$12:$AH$15,0),MATCH(($G143&amp;M$1)&amp;$AB143,$AI$9:$BH$9&amp;$AI$11:$BH$11,0))/1.852)</f>
        <v>3.4190010788978875</v>
      </c>
      <c r="N143" s="1366">
        <f t="shared" si="12"/>
        <v>3.4190010788978875</v>
      </c>
      <c r="O143" s="1362">
        <v>30</v>
      </c>
      <c r="P143" s="1366"/>
      <c r="Q143" s="1366">
        <f t="shared" si="14"/>
        <v>3031.0900491143002</v>
      </c>
      <c r="R143" s="1366">
        <f t="array" ref="R143">(AA143*(INDEX(ShipData!$P$19:$R$26,MATCH($AC143,ShipData!$N$19:$N$26,0),MATCH($AD143,ShipData!$P$18:$R$18,0))+INDEX(ShipData!$P$30:$R$37,MATCH($AC143,ShipData!$N$30:$N$37,0),MATCH($AD143,ShipData!$P$29:$R$29,0)))+K143*0.1*(1/M143)*INDEX(ShipData!$P$41:$R$48,MATCH($AC143,ShipData!$N$41:$N$48,0),MATCH($AD143,ShipData!$P$40:$R$40,0)))*6.5/1000</f>
        <v>86602.57283183714</v>
      </c>
      <c r="S143" s="1362"/>
      <c r="T143" s="1362">
        <v>1E-3</v>
      </c>
      <c r="U143" s="1368"/>
      <c r="Z143" s="1366">
        <f t="array" ref="Z143">INDEX($AI$12:$BH$15,MATCH(F143,$AH$12:$AH$15,0),MATCH($AB143&amp;$Z$1,$AI$11:$BH$11&amp;$AI$9:$BH$9,0))/1000</f>
        <v>2.5449999999999999</v>
      </c>
      <c r="AA143" s="570">
        <f t="array" ref="AA143">(Z143^INDEX(ShipData!$X$36:$X$39,MATCH($F143,ShipData!$U$36:$U$39,0)))*0.756*INDEX(ShipData!$W$36:$W$39,MATCH($F143,ShipData!$U$36:$U$39,0))</f>
        <v>1921.6608368614334</v>
      </c>
      <c r="AB143" s="570" t="s">
        <v>1178</v>
      </c>
      <c r="AC143" s="548" t="s">
        <v>1182</v>
      </c>
      <c r="AD143" s="570" t="s">
        <v>1338</v>
      </c>
    </row>
    <row r="144" spans="3:30">
      <c r="C144" s="570" t="str">
        <f t="shared" si="10"/>
        <v>TFSMMOFCD3N</v>
      </c>
      <c r="E144" s="555" t="s">
        <v>1183</v>
      </c>
      <c r="F144" s="548" t="s">
        <v>1339</v>
      </c>
      <c r="G144" s="548">
        <v>2030</v>
      </c>
      <c r="H144" s="1362" t="s">
        <v>1175</v>
      </c>
      <c r="I144" s="1363">
        <f t="array" ref="I144">INDEX($AI$12:$BH$15,MATCH(F144,$AH$12:$AH$15,0),MATCH(I$1&amp;$AB144,$AI$9:$BH$9&amp;$AI$11:$BH$11,0))</f>
        <v>4174</v>
      </c>
      <c r="J144" s="1363">
        <f t="shared" si="11"/>
        <v>4174</v>
      </c>
      <c r="K144" s="1363">
        <v>3330</v>
      </c>
      <c r="L144" s="1397">
        <v>6009</v>
      </c>
      <c r="M144" s="1366">
        <f t="array" ref="M144">1/(INDEX($AI$12:$BH$15,MATCH($F144,$AH$12:$AH$15,0),MATCH(($G144&amp;M$1)&amp;$AB144,$AI$9:$BH$9&amp;$AI$11:$BH$11,0))/1.852)</f>
        <v>2.1794284452298629</v>
      </c>
      <c r="N144" s="1366">
        <f t="shared" si="12"/>
        <v>2.1794284452298629</v>
      </c>
      <c r="O144" s="1362">
        <v>30</v>
      </c>
      <c r="P144" s="1366"/>
      <c r="Q144" s="1366">
        <f t="shared" si="14"/>
        <v>5417.2993540717598</v>
      </c>
      <c r="R144" s="1366">
        <f t="array" ref="R144">(AA144*(INDEX(ShipData!$P$19:$R$26,MATCH($AC144,ShipData!$N$19:$N$26,0),MATCH($AD144,ShipData!$P$18:$R$18,0))+INDEX(ShipData!$P$30:$R$37,MATCH($AC144,ShipData!$N$30:$N$37,0),MATCH($AD144,ShipData!$P$29:$R$29,0)))+K144*0.1*(1/M144)*INDEX(ShipData!$P$41:$R$48,MATCH($AC144,ShipData!$N$41:$N$48,0),MATCH($AD144,ShipData!$P$40:$R$40,0)))*6.5/1000</f>
        <v>154779.98154490741</v>
      </c>
      <c r="S144" s="1362"/>
      <c r="T144" s="1362">
        <v>1E-3</v>
      </c>
      <c r="U144" s="1368"/>
      <c r="Z144" s="1366">
        <f t="array" ref="Z144">INDEX($AI$12:$BH$15,MATCH(F144,$AH$12:$AH$15,0),MATCH($AB144&amp;$Z$1,$AI$11:$BH$11&amp;$AI$9:$BH$9,0))/1000</f>
        <v>6.956666666666667</v>
      </c>
      <c r="AA144" s="570">
        <f t="array" ref="AA144">(Z144^INDEX(ShipData!$X$36:$X$39,MATCH($F144,ShipData!$U$36:$U$39,0)))*0.756*INDEX(ShipData!$W$36:$W$39,MATCH($F144,ShipData!$U$36:$U$39,0))</f>
        <v>3439.8048335584949</v>
      </c>
      <c r="AB144" s="570" t="s">
        <v>1174</v>
      </c>
      <c r="AC144" s="548" t="s">
        <v>1182</v>
      </c>
      <c r="AD144" s="570" t="s">
        <v>1338</v>
      </c>
    </row>
    <row r="145" spans="3:30">
      <c r="C145" s="570" t="str">
        <f t="shared" si="10"/>
        <v>TFSSMOFCC2N</v>
      </c>
      <c r="E145" s="555" t="s">
        <v>1183</v>
      </c>
      <c r="F145" s="548" t="s">
        <v>1337</v>
      </c>
      <c r="G145" s="548">
        <v>2020</v>
      </c>
      <c r="H145" s="1362" t="s">
        <v>1175</v>
      </c>
      <c r="I145" s="1363">
        <f t="array" ref="I145">INDEX($AI$12:$BH$15,MATCH(F145,$AH$12:$AH$15,0),MATCH(I$1&amp;$AB145,$AI$9:$BH$9&amp;$AI$11:$BH$11,0))</f>
        <v>2450</v>
      </c>
      <c r="J145" s="1363">
        <f t="shared" si="11"/>
        <v>2450</v>
      </c>
      <c r="K145" s="1363">
        <v>0</v>
      </c>
      <c r="L145" s="1397">
        <v>0</v>
      </c>
      <c r="M145" s="1366">
        <f t="array" ref="M145">1/(INDEX($AI$12:$BH$15,MATCH($F145,$AH$12:$AH$15,0),MATCH(($G145&amp;M$1)&amp;$AB145,$AI$9:$BH$9&amp;$AI$11:$BH$11,0))/1.852)</f>
        <v>1.7403348779577166</v>
      </c>
      <c r="N145" s="1366">
        <f t="shared" si="12"/>
        <v>1.7403348779577166</v>
      </c>
      <c r="O145" s="1362">
        <v>30</v>
      </c>
      <c r="P145" s="1366"/>
      <c r="Q145" s="1366">
        <f t="shared" si="14"/>
        <v>3618.6545694166275</v>
      </c>
      <c r="R145" s="1366">
        <f t="array" ref="R145">(AA145*(INDEX(ShipData!$P$19:$R$26,MATCH($AC145,ShipData!$N$19:$N$26,0),MATCH($AD145,ShipData!$P$18:$R$18,0))+INDEX(ShipData!$P$30:$R$37,MATCH($AC145,ShipData!$N$30:$N$37,0),MATCH($AD145,ShipData!$P$29:$R$29,0)))+K145*0.1*(1/M145)*INDEX(ShipData!$P$41:$R$48,MATCH($AC145,ShipData!$N$41:$N$48,0),MATCH($AD145,ShipData!$P$40:$R$40,0)))*6.5/1000</f>
        <v>103390.13055476078</v>
      </c>
      <c r="S145" s="1362"/>
      <c r="T145" s="1362">
        <v>1E-3</v>
      </c>
      <c r="U145" s="1368"/>
      <c r="Z145" s="1366">
        <f t="array" ref="Z145">INDEX($AI$12:$BH$15,MATCH(F145,$AH$12:$AH$15,0),MATCH($AB145&amp;$Z$1,$AI$11:$BH$11&amp;$AI$9:$BH$9,0))/1000</f>
        <v>3.5</v>
      </c>
      <c r="AA145" s="570">
        <f t="array" ref="AA145">(Z145^INDEX(ShipData!$X$36:$X$39,MATCH($F145,ShipData!$U$36:$U$39,0)))*0.756*INDEX(ShipData!$W$36:$W$39,MATCH($F145,ShipData!$U$36:$U$39,0))</f>
        <v>2454.0448908848457</v>
      </c>
      <c r="AB145" s="570" t="s">
        <v>1178</v>
      </c>
      <c r="AC145" s="548" t="s">
        <v>1182</v>
      </c>
      <c r="AD145" s="570" t="s">
        <v>1335</v>
      </c>
    </row>
    <row r="146" spans="3:30">
      <c r="C146" s="570" t="str">
        <f t="shared" si="10"/>
        <v>TFSMMOFCC3N</v>
      </c>
      <c r="E146" s="555" t="s">
        <v>1183</v>
      </c>
      <c r="F146" s="548" t="s">
        <v>1337</v>
      </c>
      <c r="G146" s="548">
        <v>2030</v>
      </c>
      <c r="H146" s="1362" t="s">
        <v>1175</v>
      </c>
      <c r="I146" s="1363">
        <f t="array" ref="I146">INDEX($AI$12:$BH$15,MATCH(F146,$AH$12:$AH$15,0),MATCH(I$1&amp;$AB146,$AI$9:$BH$9&amp;$AI$11:$BH$11,0))</f>
        <v>4900</v>
      </c>
      <c r="J146" s="1363">
        <f t="shared" si="11"/>
        <v>4900</v>
      </c>
      <c r="K146" s="1363">
        <v>362</v>
      </c>
      <c r="L146" s="1397">
        <v>653</v>
      </c>
      <c r="M146" s="1366">
        <f t="array" ref="M146">1/(INDEX($AI$12:$BH$15,MATCH($F146,$AH$12:$AH$15,0),MATCH(($G146&amp;M$1)&amp;$AB146,$AI$9:$BH$9&amp;$AI$11:$BH$11,0))/1.852)</f>
        <v>0.87906595126970144</v>
      </c>
      <c r="N146" s="1366">
        <f t="shared" si="12"/>
        <v>0.87906595126970144</v>
      </c>
      <c r="O146" s="1362">
        <v>30</v>
      </c>
      <c r="P146" s="1366"/>
      <c r="Q146" s="1366">
        <f t="shared" si="14"/>
        <v>8086.5271537347617</v>
      </c>
      <c r="R146" s="1366">
        <f t="array" ref="R146">(AA146*(INDEX(ShipData!$P$19:$R$26,MATCH($AC146,ShipData!$N$19:$N$26,0),MATCH($AD146,ShipData!$P$18:$R$18,0))+INDEX(ShipData!$P$30:$R$37,MATCH($AC146,ShipData!$N$30:$N$37,0),MATCH($AD146,ShipData!$P$29:$R$29,0)))+K146*0.1*(1/M146)*INDEX(ShipData!$P$41:$R$48,MATCH($AC146,ShipData!$N$41:$N$48,0),MATCH($AD146,ShipData!$P$40:$R$40,0)))*6.5/1000</f>
        <v>231043.63296385031</v>
      </c>
      <c r="S146" s="1362"/>
      <c r="T146" s="1362">
        <v>1E-3</v>
      </c>
      <c r="U146" s="1368"/>
      <c r="Z146" s="1366">
        <f t="array" ref="Z146">INDEX($AI$12:$BH$15,MATCH(F146,$AH$12:$AH$15,0),MATCH($AB146&amp;$Z$1,$AI$11:$BH$11&amp;$AI$9:$BH$9,0))/1000</f>
        <v>7</v>
      </c>
      <c r="AA146" s="570">
        <f t="array" ref="AA146">(Z146^INDEX(ShipData!$X$36:$X$39,MATCH($F146,ShipData!$U$36:$U$39,0)))*0.756*INDEX(ShipData!$W$36:$W$39,MATCH($F146,ShipData!$U$36:$U$39,0))</f>
        <v>5483.7455856749639</v>
      </c>
      <c r="AB146" s="570" t="s">
        <v>1174</v>
      </c>
      <c r="AC146" s="548" t="s">
        <v>1182</v>
      </c>
      <c r="AD146" s="570" t="s">
        <v>1335</v>
      </c>
    </row>
    <row r="147" spans="3:30">
      <c r="C147" s="570" t="str">
        <f t="shared" si="10"/>
        <v>TFSSMOFCR2N</v>
      </c>
      <c r="E147" s="555" t="s">
        <v>1183</v>
      </c>
      <c r="F147" s="548" t="s">
        <v>1336</v>
      </c>
      <c r="G147" s="548">
        <v>2020</v>
      </c>
      <c r="H147" s="1362" t="s">
        <v>1175</v>
      </c>
      <c r="I147" s="1363">
        <f t="array" ref="I147">INDEX($AI$12:$BH$15,MATCH(F147,$AH$12:$AH$15,0),MATCH(I$1&amp;$AB147,$AI$9:$BH$9&amp;$AI$11:$BH$11,0))</f>
        <v>1002</v>
      </c>
      <c r="J147" s="1363">
        <f t="shared" si="11"/>
        <v>1002</v>
      </c>
      <c r="K147" s="1363">
        <v>38287</v>
      </c>
      <c r="L147" s="1397">
        <v>69083</v>
      </c>
      <c r="M147" s="1366">
        <f t="array" ref="M147">1/(INDEX($AI$12:$BH$15,MATCH($F147,$AH$12:$AH$15,0),MATCH(($G147&amp;M$1)&amp;$AB147,$AI$9:$BH$9&amp;$AI$11:$BH$11,0))/1.852)</f>
        <v>1.7403348779577166</v>
      </c>
      <c r="N147" s="1366">
        <f t="shared" si="12"/>
        <v>1.7403348779577166</v>
      </c>
      <c r="O147" s="1362">
        <v>30</v>
      </c>
      <c r="P147" s="1366"/>
      <c r="Q147" s="1366">
        <f t="shared" si="14"/>
        <v>2549.3284654240033</v>
      </c>
      <c r="R147" s="1366">
        <f t="array" ref="R147">(AA147*(INDEX(ShipData!$P$19:$R$26,MATCH($AC147,ShipData!$N$19:$N$26,0),MATCH($AD147,ShipData!$P$18:$R$18,0))+INDEX(ShipData!$P$30:$R$37,MATCH($AC147,ShipData!$N$30:$N$37,0),MATCH($AD147,ShipData!$P$29:$R$29,0)))+K147*0.1*(1/M147)*INDEX(ShipData!$P$41:$R$48,MATCH($AC147,ShipData!$N$41:$N$48,0),MATCH($AD147,ShipData!$P$40:$R$40,0)))*6.5/1000</f>
        <v>72837.956154971514</v>
      </c>
      <c r="S147" s="1362"/>
      <c r="T147" s="1362">
        <v>1E-3</v>
      </c>
      <c r="U147" s="1368"/>
      <c r="Z147" s="1366">
        <f t="array" ref="Z147">INDEX($AI$12:$BH$15,MATCH(F147,$AH$12:$AH$15,0),MATCH($AB147&amp;$Z$1,$AI$11:$BH$11&amp;$AI$9:$BH$9,0))/1000</f>
        <v>1.4314285714285715</v>
      </c>
      <c r="AA147" s="570">
        <f t="array" ref="AA147">(Z147^INDEX(ShipData!$X$36:$X$39,MATCH($F147,ShipData!$U$36:$U$39,0)))*0.756*INDEX(ShipData!$W$36:$W$39,MATCH($F147,ShipData!$U$36:$U$39,0))</f>
        <v>1715.2886160618959</v>
      </c>
      <c r="AB147" s="570" t="s">
        <v>1178</v>
      </c>
      <c r="AC147" s="548" t="s">
        <v>1182</v>
      </c>
      <c r="AD147" s="570" t="s">
        <v>1335</v>
      </c>
    </row>
    <row r="148" spans="3:30">
      <c r="C148" s="1149" t="str">
        <f t="shared" si="10"/>
        <v>TFSMMOFCR3N</v>
      </c>
      <c r="D148" s="1149"/>
      <c r="E148" s="1387" t="s">
        <v>1183</v>
      </c>
      <c r="F148" s="1386" t="s">
        <v>1336</v>
      </c>
      <c r="G148" s="1386">
        <v>2030</v>
      </c>
      <c r="H148" s="1374" t="s">
        <v>1175</v>
      </c>
      <c r="I148" s="1375">
        <f t="array" ref="I148">INDEX($AI$12:$BH$15,MATCH(F148,$AH$12:$AH$15,0),MATCH(I$1&amp;$AB148,$AI$9:$BH$9&amp;$AI$11:$BH$11,0))</f>
        <v>3608</v>
      </c>
      <c r="J148" s="1375">
        <f t="shared" si="11"/>
        <v>3608</v>
      </c>
      <c r="K148" s="1375">
        <v>925</v>
      </c>
      <c r="L148" s="1399">
        <v>1668</v>
      </c>
      <c r="M148" s="1398">
        <f t="array" ref="M148">1/(INDEX($AI$12:$BH$15,MATCH($F148,$AH$12:$AH$15,0),MATCH(($G148&amp;M$1)&amp;$AB148,$AI$9:$BH$9&amp;$AI$11:$BH$11,0))/1.852)</f>
        <v>0.87906595126970144</v>
      </c>
      <c r="N148" s="1398">
        <f t="shared" si="12"/>
        <v>0.87906595126970144</v>
      </c>
      <c r="O148" s="1374">
        <v>30</v>
      </c>
      <c r="P148" s="1398"/>
      <c r="Q148" s="1398">
        <f t="shared" si="14"/>
        <v>8064.813316947655</v>
      </c>
      <c r="R148" s="1398">
        <f t="array" ref="R148">(AA148*(INDEX(ShipData!$P$19:$R$26,MATCH($AC148,ShipData!$N$19:$N$26,0),MATCH($AD148,ShipData!$P$18:$R$18,0))+INDEX(ShipData!$P$30:$R$37,MATCH($AC148,ShipData!$N$30:$N$37,0),MATCH($AD148,ShipData!$P$29:$R$29,0)))+K148*0.1*(1/M148)*INDEX(ShipData!$P$41:$R$48,MATCH($AC148,ShipData!$N$41:$N$48,0),MATCH($AD148,ShipData!$P$40:$R$40,0)))*6.5/1000</f>
        <v>230423.23762707584</v>
      </c>
      <c r="S148" s="1374"/>
      <c r="T148" s="1374">
        <v>1E-3</v>
      </c>
      <c r="U148" s="1385"/>
      <c r="V148" s="1149"/>
      <c r="W148" s="573"/>
      <c r="Z148" s="1366">
        <f t="array" ref="Z148">INDEX($AI$12:$BH$15,MATCH(F148,$AH$12:$AH$15,0),MATCH($AB148&amp;$Z$1,$AI$11:$BH$11&amp;$AI$9:$BH$9,0))/1000</f>
        <v>5.1542857142857148</v>
      </c>
      <c r="AA148" s="570">
        <f t="array" ref="AA148">(Z148^INDEX(ShipData!$X$36:$X$39,MATCH($F148,ShipData!$U$36:$U$39,0)))*0.756*INDEX(ShipData!$W$36:$W$39,MATCH($F148,ShipData!$U$36:$U$39,0))</f>
        <v>5468.6247789018307</v>
      </c>
      <c r="AB148" s="570" t="s">
        <v>1174</v>
      </c>
      <c r="AC148" s="548" t="s">
        <v>1182</v>
      </c>
      <c r="AD148" s="570" t="s">
        <v>1335</v>
      </c>
    </row>
    <row r="149" spans="3:30">
      <c r="C149" s="570" t="str">
        <f t="shared" si="10"/>
        <v>TFSSH2FCL2N</v>
      </c>
      <c r="E149" s="555" t="s">
        <v>1181</v>
      </c>
      <c r="F149" s="548" t="s">
        <v>1340</v>
      </c>
      <c r="G149" s="548">
        <v>2020</v>
      </c>
      <c r="H149" s="1362" t="s">
        <v>1175</v>
      </c>
      <c r="I149" s="1363">
        <f t="array" ref="I149">INDEX($AI$12:$BH$15,MATCH(F149,$AH$12:$AH$15,0),MATCH(I$1&amp;$AB149,$AI$9:$BH$9&amp;$AI$11:$BH$11,0))</f>
        <v>810</v>
      </c>
      <c r="J149" s="1363">
        <f t="shared" si="11"/>
        <v>810</v>
      </c>
      <c r="K149" s="1363">
        <v>46488</v>
      </c>
      <c r="L149" s="1362">
        <v>83879</v>
      </c>
      <c r="M149" s="1366">
        <f t="array" ref="M149">1/(INDEX($AI$12:$BH$15,MATCH($F149,$AH$12:$AH$15,0),MATCH(($G149&amp;M$1)&amp;$AB149,$AI$9:$BH$9&amp;$AI$11:$BH$11,0))/1.852)</f>
        <v>2.3752039567310899</v>
      </c>
      <c r="N149" s="1366">
        <f t="shared" si="12"/>
        <v>2.3752039567310899</v>
      </c>
      <c r="O149" s="1362">
        <v>30</v>
      </c>
      <c r="P149" s="1366"/>
      <c r="Q149" s="1366">
        <f t="shared" si="14"/>
        <v>2702.0399079357921</v>
      </c>
      <c r="R149" s="1366">
        <f t="array" ref="R149">(AA149*(INDEX(ShipData!$P$19:$R$26,MATCH($AC149,ShipData!$N$19:$N$26,0),MATCH($AD149,ShipData!$P$18:$R$18,0))+INDEX(ShipData!$P$30:$R$37,MATCH($AC149,ShipData!$N$30:$N$37,0),MATCH($AD149,ShipData!$P$29:$R$29,0)))+K149*0.1*(1/M149)*INDEX(ShipData!$P$41:$R$48,MATCH($AC149,ShipData!$N$41:$N$48,0),MATCH($AD149,ShipData!$P$40:$R$40,0)))*6.5/1000</f>
        <v>77201.140226736912</v>
      </c>
      <c r="S149" s="1362"/>
      <c r="T149" s="1362">
        <v>1E-3</v>
      </c>
      <c r="U149" s="1368"/>
      <c r="Z149" s="1366">
        <f t="array" ref="Z149">INDEX($AI$12:$BH$15,MATCH(F149,$AH$12:$AH$15,0),MATCH($AB149&amp;$Z$1,$AI$11:$BH$11&amp;$AI$9:$BH$9,0))/1000</f>
        <v>1.5804878048780491</v>
      </c>
      <c r="AA149" s="570">
        <f t="array" ref="AA149">(Z149^INDEX(ShipData!$X$36:$X$39,MATCH($F149,ShipData!$U$36:$U$39,0)))*0.756*INDEX(ShipData!$W$36:$W$39,MATCH($F149,ShipData!$U$36:$U$39,0))</f>
        <v>1602.8300580975306</v>
      </c>
      <c r="AB149" s="570" t="s">
        <v>1178</v>
      </c>
      <c r="AC149" s="548" t="s">
        <v>1180</v>
      </c>
      <c r="AD149" s="570" t="s">
        <v>1338</v>
      </c>
    </row>
    <row r="150" spans="3:30">
      <c r="C150" s="570" t="str">
        <f t="shared" si="10"/>
        <v>TFSMH2FCL3N</v>
      </c>
      <c r="E150" s="555" t="s">
        <v>1181</v>
      </c>
      <c r="F150" s="548" t="s">
        <v>1340</v>
      </c>
      <c r="G150" s="548">
        <v>2030</v>
      </c>
      <c r="H150" s="1362" t="s">
        <v>1175</v>
      </c>
      <c r="I150" s="1363">
        <f t="array" ref="I150">INDEX($AI$12:$BH$15,MATCH(F150,$AH$12:$AH$15,0),MATCH(I$1&amp;$AB150,$AI$9:$BH$9&amp;$AI$11:$BH$11,0))</f>
        <v>3045.9905660377353</v>
      </c>
      <c r="J150" s="1363">
        <f t="shared" si="11"/>
        <v>3045.9905660377353</v>
      </c>
      <c r="K150" s="1363">
        <v>25616</v>
      </c>
      <c r="L150" s="1362">
        <v>46219</v>
      </c>
      <c r="M150" s="1366">
        <f t="array" ref="M150">1/(INDEX($AI$12:$BH$15,MATCH($F150,$AH$12:$AH$15,0),MATCH(($G150&amp;M$1)&amp;$AB150,$AI$9:$BH$9&amp;$AI$11:$BH$11,0))/1.852)</f>
        <v>1.9876124255718461</v>
      </c>
      <c r="N150" s="1366">
        <f t="shared" si="12"/>
        <v>1.9876124255718461</v>
      </c>
      <c r="O150" s="1362">
        <v>30</v>
      </c>
      <c r="P150" s="1366"/>
      <c r="Q150" s="1366">
        <f t="shared" si="14"/>
        <v>5487.8424428011513</v>
      </c>
      <c r="R150" s="1366">
        <f t="array" ref="R150">(AA150*(INDEX(ShipData!$P$19:$R$26,MATCH($AC150,ShipData!$N$19:$N$26,0),MATCH($AD150,ShipData!$P$18:$R$18,0))+INDEX(ShipData!$P$30:$R$37,MATCH($AC150,ShipData!$N$30:$N$37,0),MATCH($AD150,ShipData!$P$29:$R$29,0)))+K150*0.1*(1/M150)*INDEX(ShipData!$P$41:$R$48,MATCH($AC150,ShipData!$N$41:$N$48,0),MATCH($AD150,ShipData!$P$40:$R$40,0)))*6.5/1000</f>
        <v>156795.49836574716</v>
      </c>
      <c r="S150" s="1362"/>
      <c r="T150" s="1362">
        <v>1E-3</v>
      </c>
      <c r="U150" s="1368"/>
      <c r="Z150" s="1366">
        <f t="array" ref="Z150">INDEX($AI$12:$BH$15,MATCH(F150,$AH$12:$AH$15,0),MATCH($AB150&amp;$Z$1,$AI$11:$BH$11&amp;$AI$9:$BH$9,0))/1000</f>
        <v>5.9433962264150946</v>
      </c>
      <c r="AA150" s="570">
        <f t="array" ref="AA150">(Z150^INDEX(ShipData!$X$36:$X$39,MATCH($F150,ShipData!$U$36:$U$39,0)))*0.756*INDEX(ShipData!$W$36:$W$39,MATCH($F150,ShipData!$U$36:$U$39,0))</f>
        <v>3369.7610132900404</v>
      </c>
      <c r="AB150" s="570" t="s">
        <v>1174</v>
      </c>
      <c r="AC150" s="548" t="s">
        <v>1180</v>
      </c>
      <c r="AD150" s="570" t="s">
        <v>1338</v>
      </c>
    </row>
    <row r="151" spans="3:30">
      <c r="C151" s="570" t="str">
        <f t="shared" si="10"/>
        <v>TFSSH2FCD2N</v>
      </c>
      <c r="E151" s="555" t="s">
        <v>1181</v>
      </c>
      <c r="F151" s="548" t="s">
        <v>1339</v>
      </c>
      <c r="G151" s="548">
        <v>2020</v>
      </c>
      <c r="H151" s="1362" t="s">
        <v>1175</v>
      </c>
      <c r="I151" s="1363">
        <f t="array" ref="I151">INDEX($AI$12:$BH$15,MATCH(F151,$AH$12:$AH$15,0),MATCH(I$1&amp;$AB151,$AI$9:$BH$9&amp;$AI$11:$BH$11,0))</f>
        <v>1527</v>
      </c>
      <c r="J151" s="1363">
        <f t="shared" si="11"/>
        <v>1527</v>
      </c>
      <c r="K151" s="1363">
        <v>17027</v>
      </c>
      <c r="L151" s="1397">
        <v>30722</v>
      </c>
      <c r="M151" s="1366">
        <f t="array" ref="M151">1/(INDEX($AI$12:$BH$15,MATCH($F151,$AH$12:$AH$15,0),MATCH(($G151&amp;M$1)&amp;$AB151,$AI$9:$BH$9&amp;$AI$11:$BH$11,0))/1.852)</f>
        <v>3.4190010788978875</v>
      </c>
      <c r="N151" s="1366">
        <f t="shared" si="12"/>
        <v>3.4190010788978875</v>
      </c>
      <c r="O151" s="1362">
        <v>30</v>
      </c>
      <c r="P151" s="1366"/>
      <c r="Q151" s="1366">
        <f t="shared" si="14"/>
        <v>3113.3600763731083</v>
      </c>
      <c r="R151" s="1366">
        <f t="array" ref="R151">(AA151*(INDEX(ShipData!$P$19:$R$26,MATCH($AC151,ShipData!$N$19:$N$26,0),MATCH($AD151,ShipData!$P$18:$R$18,0))+INDEX(ShipData!$P$30:$R$37,MATCH($AC151,ShipData!$N$30:$N$37,0),MATCH($AD151,ShipData!$P$29:$R$29,0)))+K151*0.1*(1/M151)*INDEX(ShipData!$P$41:$R$48,MATCH($AC151,ShipData!$N$41:$N$48,0),MATCH($AD151,ShipData!$P$40:$R$40,0)))*6.5/1000</f>
        <v>88953.145039231662</v>
      </c>
      <c r="S151" s="1362"/>
      <c r="T151" s="1362">
        <v>1E-3</v>
      </c>
      <c r="U151" s="1368"/>
      <c r="Z151" s="1366">
        <f t="array" ref="Z151">INDEX($AI$12:$BH$15,MATCH(F151,$AH$12:$AH$15,0),MATCH($AB151&amp;$Z$1,$AI$11:$BH$11&amp;$AI$9:$BH$9,0))/1000</f>
        <v>2.5449999999999999</v>
      </c>
      <c r="AA151" s="570">
        <f t="array" ref="AA151">(Z151^INDEX(ShipData!$X$36:$X$39,MATCH($F151,ShipData!$U$36:$U$39,0)))*0.756*INDEX(ShipData!$W$36:$W$39,MATCH($F151,ShipData!$U$36:$U$39,0))</f>
        <v>1921.6608368614334</v>
      </c>
      <c r="AB151" s="570" t="s">
        <v>1178</v>
      </c>
      <c r="AC151" s="548" t="s">
        <v>1180</v>
      </c>
      <c r="AD151" s="570" t="s">
        <v>1338</v>
      </c>
    </row>
    <row r="152" spans="3:30">
      <c r="C152" s="570" t="str">
        <f t="shared" si="10"/>
        <v>TFSMH2FCD3N</v>
      </c>
      <c r="E152" s="555" t="s">
        <v>1181</v>
      </c>
      <c r="F152" s="548" t="s">
        <v>1339</v>
      </c>
      <c r="G152" s="548">
        <v>2030</v>
      </c>
      <c r="H152" s="1362" t="s">
        <v>1175</v>
      </c>
      <c r="I152" s="1363">
        <f t="array" ref="I152">INDEX($AI$12:$BH$15,MATCH(F152,$AH$12:$AH$15,0),MATCH(I$1&amp;$AB152,$AI$9:$BH$9&amp;$AI$11:$BH$11,0))</f>
        <v>4174</v>
      </c>
      <c r="J152" s="1363">
        <f t="shared" si="11"/>
        <v>4174</v>
      </c>
      <c r="K152" s="1363">
        <v>3330</v>
      </c>
      <c r="L152" s="1397">
        <v>6009</v>
      </c>
      <c r="M152" s="1366">
        <f t="array" ref="M152">1/(INDEX($AI$12:$BH$15,MATCH($F152,$AH$12:$AH$15,0),MATCH(($G152&amp;M$1)&amp;$AB152,$AI$9:$BH$9&amp;$AI$11:$BH$11,0))/1.852)</f>
        <v>2.1794284452298629</v>
      </c>
      <c r="N152" s="1366">
        <f t="shared" si="12"/>
        <v>2.1794284452298629</v>
      </c>
      <c r="O152" s="1362">
        <v>30</v>
      </c>
      <c r="P152" s="1366"/>
      <c r="Q152" s="1366">
        <f t="shared" si="14"/>
        <v>5522.5530364292918</v>
      </c>
      <c r="R152" s="1366">
        <f t="array" ref="R152">(AA152*(INDEX(ShipData!$P$19:$R$26,MATCH($AC152,ShipData!$N$19:$N$26,0),MATCH($AD152,ShipData!$P$18:$R$18,0))+INDEX(ShipData!$P$30:$R$37,MATCH($AC152,ShipData!$N$30:$N$37,0),MATCH($AD152,ShipData!$P$29:$R$29,0)))+K152*0.1*(1/M152)*INDEX(ShipData!$P$41:$R$48,MATCH($AC152,ShipData!$N$41:$N$48,0),MATCH($AD152,ShipData!$P$40:$R$40,0)))*6.5/1000</f>
        <v>157787.22961226545</v>
      </c>
      <c r="S152" s="1362"/>
      <c r="T152" s="1362">
        <v>1E-3</v>
      </c>
      <c r="U152" s="1368"/>
      <c r="Z152" s="1366">
        <f t="array" ref="Z152">INDEX($AI$12:$BH$15,MATCH(F152,$AH$12:$AH$15,0),MATCH($AB152&amp;$Z$1,$AI$11:$BH$11&amp;$AI$9:$BH$9,0))/1000</f>
        <v>6.956666666666667</v>
      </c>
      <c r="AA152" s="570">
        <f t="array" ref="AA152">(Z152^INDEX(ShipData!$X$36:$X$39,MATCH($F152,ShipData!$U$36:$U$39,0)))*0.756*INDEX(ShipData!$W$36:$W$39,MATCH($F152,ShipData!$U$36:$U$39,0))</f>
        <v>3439.8048335584949</v>
      </c>
      <c r="AB152" s="570" t="s">
        <v>1174</v>
      </c>
      <c r="AC152" s="548" t="s">
        <v>1180</v>
      </c>
      <c r="AD152" s="570" t="s">
        <v>1338</v>
      </c>
    </row>
    <row r="153" spans="3:30">
      <c r="C153" s="570" t="str">
        <f t="shared" si="10"/>
        <v>TFSSH2FCC2N</v>
      </c>
      <c r="E153" s="555" t="s">
        <v>1181</v>
      </c>
      <c r="F153" s="548" t="s">
        <v>1337</v>
      </c>
      <c r="G153" s="548">
        <v>2020</v>
      </c>
      <c r="H153" s="1362" t="s">
        <v>1175</v>
      </c>
      <c r="I153" s="1363">
        <f t="array" ref="I153">INDEX($AI$12:$BH$15,MATCH(F153,$AH$12:$AH$15,0),MATCH(I$1&amp;$AB153,$AI$9:$BH$9&amp;$AI$11:$BH$11,0))</f>
        <v>2450</v>
      </c>
      <c r="J153" s="1363">
        <f t="shared" si="11"/>
        <v>2450</v>
      </c>
      <c r="K153" s="1363">
        <v>0</v>
      </c>
      <c r="L153" s="1397">
        <v>0</v>
      </c>
      <c r="M153" s="1366">
        <f t="array" ref="M153">1/(INDEX($AI$12:$BH$15,MATCH($F153,$AH$12:$AH$15,0),MATCH(($G153&amp;M$1)&amp;$AB153,$AI$9:$BH$9&amp;$AI$11:$BH$11,0))/1.852)</f>
        <v>1.7403348779577166</v>
      </c>
      <c r="N153" s="1366">
        <f t="shared" si="12"/>
        <v>1.7403348779577166</v>
      </c>
      <c r="O153" s="1362">
        <v>30</v>
      </c>
      <c r="P153" s="1366"/>
      <c r="Q153" s="1366">
        <f t="shared" si="14"/>
        <v>3718.1637315340222</v>
      </c>
      <c r="R153" s="1366">
        <f t="array" ref="R153">(AA153*(INDEX(ShipData!$P$19:$R$26,MATCH($AC153,ShipData!$N$19:$N$26,0),MATCH($AD153,ShipData!$P$18:$R$18,0))+INDEX(ShipData!$P$30:$R$37,MATCH($AC153,ShipData!$N$30:$N$37,0),MATCH($AD153,ShipData!$P$29:$R$29,0)))+K153*0.1*(1/M153)*INDEX(ShipData!$P$41:$R$48,MATCH($AC153,ShipData!$N$41:$N$48,0),MATCH($AD153,ShipData!$P$40:$R$40,0)))*6.5/1000</f>
        <v>106233.24947240062</v>
      </c>
      <c r="S153" s="1362"/>
      <c r="T153" s="1362">
        <v>1E-3</v>
      </c>
      <c r="U153" s="1368"/>
      <c r="V153" s="548"/>
      <c r="W153" s="548"/>
      <c r="X153" s="548" t="s">
        <v>1341</v>
      </c>
      <c r="Y153" s="548"/>
      <c r="Z153" s="1366">
        <f t="array" ref="Z153">INDEX($AI$12:$BH$15,MATCH(F153,$AH$12:$AH$15,0),MATCH($AB153&amp;$Z$1,$AI$11:$BH$11&amp;$AI$9:$BH$9,0))/1000</f>
        <v>3.5</v>
      </c>
      <c r="AA153" s="570">
        <f t="array" ref="AA153">(Z153^INDEX(ShipData!$X$36:$X$39,MATCH($F153,ShipData!$U$36:$U$39,0)))*0.756*INDEX(ShipData!$W$36:$W$39,MATCH($F153,ShipData!$U$36:$U$39,0))</f>
        <v>2454.0448908848457</v>
      </c>
      <c r="AB153" s="570" t="s">
        <v>1178</v>
      </c>
      <c r="AC153" s="548" t="s">
        <v>1180</v>
      </c>
      <c r="AD153" s="570" t="s">
        <v>1335</v>
      </c>
    </row>
    <row r="154" spans="3:30">
      <c r="C154" s="570" t="str">
        <f t="shared" si="10"/>
        <v>TFSMH2FCC3N</v>
      </c>
      <c r="E154" s="555" t="s">
        <v>1181</v>
      </c>
      <c r="F154" s="548" t="s">
        <v>1337</v>
      </c>
      <c r="G154" s="548">
        <v>2030</v>
      </c>
      <c r="H154" s="1362" t="s">
        <v>1175</v>
      </c>
      <c r="I154" s="1363">
        <f t="array" ref="I154">INDEX($AI$12:$BH$15,MATCH(F154,$AH$12:$AH$15,0),MATCH(I$1&amp;$AB154,$AI$9:$BH$9&amp;$AI$11:$BH$11,0))</f>
        <v>4900</v>
      </c>
      <c r="J154" s="1363">
        <f t="shared" si="11"/>
        <v>4900</v>
      </c>
      <c r="K154" s="1363">
        <v>362</v>
      </c>
      <c r="L154" s="1397">
        <v>653</v>
      </c>
      <c r="M154" s="1366">
        <f t="array" ref="M154">1/(INDEX($AI$12:$BH$15,MATCH($F154,$AH$12:$AH$15,0),MATCH(($G154&amp;M$1)&amp;$AB154,$AI$9:$BH$9&amp;$AI$11:$BH$11,0))/1.852)</f>
        <v>0.87906595126970144</v>
      </c>
      <c r="N154" s="1366">
        <f t="shared" si="12"/>
        <v>0.87906595126970144</v>
      </c>
      <c r="O154" s="1362">
        <v>30</v>
      </c>
      <c r="P154" s="1366"/>
      <c r="Q154" s="1366">
        <f t="shared" si="14"/>
        <v>8310.620933963206</v>
      </c>
      <c r="R154" s="1366">
        <f t="array" ref="R154">(AA154*(INDEX(ShipData!$P$19:$R$26,MATCH($AC154,ShipData!$N$19:$N$26,0),MATCH($AD154,ShipData!$P$18:$R$18,0))+INDEX(ShipData!$P$30:$R$37,MATCH($AC154,ShipData!$N$30:$N$37,0),MATCH($AD154,ShipData!$P$29:$R$29,0)))+K154*0.1*(1/M154)*INDEX(ShipData!$P$41:$R$48,MATCH($AC154,ShipData!$N$41:$N$48,0),MATCH($AD154,ShipData!$P$40:$R$40,0)))*6.5/1000</f>
        <v>237446.31239894874</v>
      </c>
      <c r="S154" s="1362"/>
      <c r="T154" s="1362">
        <v>1E-3</v>
      </c>
      <c r="U154" s="1368"/>
      <c r="Z154" s="1366">
        <f t="array" ref="Z154">INDEX($AI$12:$BH$15,MATCH(F154,$AH$12:$AH$15,0),MATCH($AB154&amp;$Z$1,$AI$11:$BH$11&amp;$AI$9:$BH$9,0))/1000</f>
        <v>7</v>
      </c>
      <c r="AA154" s="570">
        <f t="array" ref="AA154">(Z154^INDEX(ShipData!$X$36:$X$39,MATCH($F154,ShipData!$U$36:$U$39,0)))*0.756*INDEX(ShipData!$W$36:$W$39,MATCH($F154,ShipData!$U$36:$U$39,0))</f>
        <v>5483.7455856749639</v>
      </c>
      <c r="AB154" s="570" t="s">
        <v>1174</v>
      </c>
      <c r="AC154" s="548" t="s">
        <v>1180</v>
      </c>
      <c r="AD154" s="570" t="s">
        <v>1335</v>
      </c>
    </row>
    <row r="155" spans="3:30">
      <c r="C155" s="570" t="str">
        <f t="shared" si="10"/>
        <v>TFSSH2FCR2N</v>
      </c>
      <c r="E155" s="555" t="s">
        <v>1181</v>
      </c>
      <c r="F155" s="548" t="s">
        <v>1336</v>
      </c>
      <c r="G155" s="548">
        <v>2020</v>
      </c>
      <c r="H155" s="1362" t="s">
        <v>1175</v>
      </c>
      <c r="I155" s="1363">
        <f t="array" ref="I155">INDEX($AI$12:$BH$15,MATCH(F155,$AH$12:$AH$15,0),MATCH(I$1&amp;$AB155,$AI$9:$BH$9&amp;$AI$11:$BH$11,0))</f>
        <v>1002</v>
      </c>
      <c r="J155" s="1363">
        <f t="shared" si="11"/>
        <v>1002</v>
      </c>
      <c r="K155" s="1363">
        <v>38287</v>
      </c>
      <c r="L155" s="1397">
        <v>69083</v>
      </c>
      <c r="M155" s="1366">
        <f t="array" ref="M155">1/(INDEX($AI$12:$BH$15,MATCH($F155,$AH$12:$AH$15,0),MATCH(($G155&amp;M$1)&amp;$AB155,$AI$9:$BH$9&amp;$AI$11:$BH$11,0))/1.852)</f>
        <v>1.7403348779577166</v>
      </c>
      <c r="N155" s="1366">
        <f t="shared" si="12"/>
        <v>1.7403348779577166</v>
      </c>
      <c r="O155" s="1362">
        <v>30</v>
      </c>
      <c r="P155" s="1366"/>
      <c r="Q155" s="1366">
        <f t="shared" si="14"/>
        <v>2711.4733822044759</v>
      </c>
      <c r="R155" s="1366">
        <f t="array" ref="R155">(AA155*(INDEX(ShipData!$P$19:$R$26,MATCH($AC155,ShipData!$N$19:$N$26,0),MATCH($AD155,ShipData!$P$18:$R$18,0))+INDEX(ShipData!$P$30:$R$37,MATCH($AC155,ShipData!$N$30:$N$37,0),MATCH($AD155,ShipData!$P$29:$R$29,0)))+K155*0.1*(1/M155)*INDEX(ShipData!$P$41:$R$48,MATCH($AC155,ShipData!$N$41:$N$48,0),MATCH($AD155,ShipData!$P$40:$R$40,0)))*6.5/1000</f>
        <v>77470.668062985016</v>
      </c>
      <c r="S155" s="1362"/>
      <c r="T155" s="1362">
        <v>1E-3</v>
      </c>
      <c r="U155" s="1368"/>
      <c r="Z155" s="1366">
        <f t="array" ref="Z155">INDEX($AI$12:$BH$15,MATCH(F155,$AH$12:$AH$15,0),MATCH($AB155&amp;$Z$1,$AI$11:$BH$11&amp;$AI$9:$BH$9,0))/1000</f>
        <v>1.4314285714285715</v>
      </c>
      <c r="AA155" s="570">
        <f t="array" ref="AA155">(Z155^INDEX(ShipData!$X$36:$X$39,MATCH($F155,ShipData!$U$36:$U$39,0)))*0.756*INDEX(ShipData!$W$36:$W$39,MATCH($F155,ShipData!$U$36:$U$39,0))</f>
        <v>1715.2886160618959</v>
      </c>
      <c r="AB155" s="570" t="s">
        <v>1178</v>
      </c>
      <c r="AC155" s="548" t="s">
        <v>1180</v>
      </c>
      <c r="AD155" s="570" t="s">
        <v>1335</v>
      </c>
    </row>
    <row r="156" spans="3:30">
      <c r="C156" s="1149" t="str">
        <f t="shared" si="10"/>
        <v>TFSMH2FCR3N</v>
      </c>
      <c r="D156" s="1149"/>
      <c r="E156" s="1387" t="s">
        <v>1181</v>
      </c>
      <c r="F156" s="1386" t="s">
        <v>1336</v>
      </c>
      <c r="G156" s="1386">
        <v>2030</v>
      </c>
      <c r="H156" s="1374" t="s">
        <v>1175</v>
      </c>
      <c r="I156" s="1375">
        <f t="array" ref="I156">INDEX($AI$12:$BH$15,MATCH(F156,$AH$12:$AH$15,0),MATCH(I$1&amp;$AB156,$AI$9:$BH$9&amp;$AI$11:$BH$11,0))</f>
        <v>3608</v>
      </c>
      <c r="J156" s="1375">
        <f t="shared" si="11"/>
        <v>3608</v>
      </c>
      <c r="K156" s="1375">
        <v>925</v>
      </c>
      <c r="L156" s="1399">
        <v>1668</v>
      </c>
      <c r="M156" s="1398">
        <f t="array" ref="M156">1/(INDEX($AI$12:$BH$15,MATCH($F156,$AH$12:$AH$15,0),MATCH(($G156&amp;M$1)&amp;$AB156,$AI$9:$BH$9&amp;$AI$11:$BH$11,0))/1.852)</f>
        <v>0.87906595126970144</v>
      </c>
      <c r="N156" s="1398">
        <f t="shared" si="12"/>
        <v>0.87906595126970144</v>
      </c>
      <c r="O156" s="1374">
        <v>30</v>
      </c>
      <c r="P156" s="1398"/>
      <c r="Q156" s="1398">
        <f t="shared" si="14"/>
        <v>8290.9894675174073</v>
      </c>
      <c r="R156" s="1398">
        <f t="array" ref="R156">(AA156*(INDEX(ShipData!$P$19:$R$26,MATCH($AC156,ShipData!$N$19:$N$26,0),MATCH($AD156,ShipData!$P$18:$R$18,0))+INDEX(ShipData!$P$30:$R$37,MATCH($AC156,ShipData!$N$30:$N$37,0),MATCH($AD156,ShipData!$P$29:$R$29,0)))+K156*0.1*(1/M156)*INDEX(ShipData!$P$41:$R$48,MATCH($AC156,ShipData!$N$41:$N$48,0),MATCH($AD156,ShipData!$P$40:$R$40,0)))*6.5/1000</f>
        <v>236885.41335764021</v>
      </c>
      <c r="S156" s="1374"/>
      <c r="T156" s="1374">
        <v>1E-3</v>
      </c>
      <c r="U156" s="1385"/>
      <c r="V156" s="1149"/>
      <c r="W156" s="573"/>
      <c r="Z156" s="1366">
        <f t="array" ref="Z156">INDEX($AI$12:$BH$15,MATCH(F156,$AH$12:$AH$15,0),MATCH($AB156&amp;$Z$1,$AI$11:$BH$11&amp;$AI$9:$BH$9,0))/1000</f>
        <v>5.1542857142857148</v>
      </c>
      <c r="AA156" s="570">
        <f t="array" ref="AA156">(Z156^INDEX(ShipData!$X$36:$X$39,MATCH($F156,ShipData!$U$36:$U$39,0)))*0.756*INDEX(ShipData!$W$36:$W$39,MATCH($F156,ShipData!$U$36:$U$39,0))</f>
        <v>5468.6247789018307</v>
      </c>
      <c r="AB156" s="570" t="s">
        <v>1174</v>
      </c>
      <c r="AC156" s="548" t="s">
        <v>1180</v>
      </c>
      <c r="AD156" s="570" t="s">
        <v>1335</v>
      </c>
    </row>
    <row r="157" spans="3:30">
      <c r="C157" s="570" t="str">
        <f t="shared" si="10"/>
        <v>TFSSNGFCL2N</v>
      </c>
      <c r="E157" s="555" t="s">
        <v>1177</v>
      </c>
      <c r="F157" s="548" t="s">
        <v>1340</v>
      </c>
      <c r="G157" s="548">
        <v>2020</v>
      </c>
      <c r="H157" s="1362" t="s">
        <v>1175</v>
      </c>
      <c r="I157" s="1363">
        <f t="array" ref="I157">INDEX($AI$12:$BH$15,MATCH(F157,$AH$12:$AH$15,0),MATCH(I$1&amp;$AB157,$AI$9:$BH$9&amp;$AI$11:$BH$11,0))</f>
        <v>810</v>
      </c>
      <c r="J157" s="1363">
        <f t="shared" si="11"/>
        <v>810</v>
      </c>
      <c r="K157" s="1363">
        <v>46488</v>
      </c>
      <c r="L157" s="1362">
        <v>83879</v>
      </c>
      <c r="M157" s="1366">
        <f t="array" ref="M157">1/(INDEX($AI$12:$BH$15,MATCH($F157,$AH$12:$AH$15,0),MATCH(($G157&amp;M$1)&amp;$AB157,$AI$9:$BH$9&amp;$AI$11:$BH$11,0))/1.852)</f>
        <v>2.3752039567310899</v>
      </c>
      <c r="N157" s="1366">
        <f t="shared" si="12"/>
        <v>2.3752039567310899</v>
      </c>
      <c r="O157" s="1362">
        <v>30</v>
      </c>
      <c r="P157" s="1366"/>
      <c r="Q157" s="1366">
        <f t="shared" si="14"/>
        <v>2582.4426646781103</v>
      </c>
      <c r="R157" s="1366">
        <f t="array" ref="R157">(AA157*(INDEX(ShipData!$P$19:$R$26,MATCH($AC157,ShipData!$N$19:$N$26,0),MATCH($AD157,ShipData!$P$18:$R$18,0))+INDEX(ShipData!$P$30:$R$37,MATCH($AC157,ShipData!$N$30:$N$37,0),MATCH($AD157,ShipData!$P$29:$R$29,0)))+K157*0.1*(1/M157)*INDEX(ShipData!$P$41:$R$48,MATCH($AC157,ShipData!$N$41:$N$48,0),MATCH($AD157,ShipData!$P$40:$R$40,0)))*6.5/1000</f>
        <v>73784.076133660288</v>
      </c>
      <c r="S157" s="1362"/>
      <c r="T157" s="1362">
        <v>1E-3</v>
      </c>
      <c r="U157" s="1368"/>
      <c r="Z157" s="1366">
        <f t="array" ref="Z157">INDEX($AI$12:$BH$15,MATCH(F157,$AH$12:$AH$15,0),MATCH($AB157&amp;$Z$1,$AI$11:$BH$11&amp;$AI$9:$BH$9,0))/1000</f>
        <v>1.5804878048780491</v>
      </c>
      <c r="AA157" s="570">
        <f t="array" ref="AA157">(Z157^INDEX(ShipData!$X$36:$X$39,MATCH($F157,ShipData!$U$36:$U$39,0)))*0.756*INDEX(ShipData!$W$36:$W$39,MATCH($F157,ShipData!$U$36:$U$39,0))</f>
        <v>1602.8300580975306</v>
      </c>
      <c r="AB157" s="570" t="s">
        <v>1178</v>
      </c>
      <c r="AC157" s="548" t="s">
        <v>1173</v>
      </c>
      <c r="AD157" s="570" t="s">
        <v>1338</v>
      </c>
    </row>
    <row r="158" spans="3:30">
      <c r="C158" s="570" t="str">
        <f t="shared" si="10"/>
        <v>TFSMNGFCL3N</v>
      </c>
      <c r="E158" s="555" t="s">
        <v>1177</v>
      </c>
      <c r="F158" s="548" t="s">
        <v>1340</v>
      </c>
      <c r="G158" s="548">
        <v>2030</v>
      </c>
      <c r="H158" s="1362" t="s">
        <v>1175</v>
      </c>
      <c r="I158" s="1363">
        <f t="array" ref="I158">INDEX($AI$12:$BH$15,MATCH(F158,$AH$12:$AH$15,0),MATCH(I$1&amp;$AB158,$AI$9:$BH$9&amp;$AI$11:$BH$11,0))</f>
        <v>3045.9905660377353</v>
      </c>
      <c r="J158" s="1363">
        <f t="shared" si="11"/>
        <v>3045.9905660377353</v>
      </c>
      <c r="K158" s="1363">
        <v>25616</v>
      </c>
      <c r="L158" s="1362">
        <v>46219</v>
      </c>
      <c r="M158" s="1366">
        <f t="array" ref="M158">1/(INDEX($AI$12:$BH$15,MATCH($F158,$AH$12:$AH$15,0),MATCH(($G158&amp;M$1)&amp;$AB158,$AI$9:$BH$9&amp;$AI$11:$BH$11,0))/1.852)</f>
        <v>1.9876124255718461</v>
      </c>
      <c r="N158" s="1366">
        <f t="shared" si="12"/>
        <v>1.9876124255718461</v>
      </c>
      <c r="O158" s="1362">
        <v>30</v>
      </c>
      <c r="P158" s="1366"/>
      <c r="Q158" s="1366">
        <f t="shared" si="14"/>
        <v>5358.5591296125003</v>
      </c>
      <c r="R158" s="1366">
        <f t="array" ref="R158">(AA158*(INDEX(ShipData!$P$19:$R$26,MATCH($AC158,ShipData!$N$19:$N$26,0),MATCH($AD158,ShipData!$P$18:$R$18,0))+INDEX(ShipData!$P$30:$R$37,MATCH($AC158,ShipData!$N$30:$N$37,0),MATCH($AD158,ShipData!$P$29:$R$29,0)))+K158*0.1*(1/M158)*INDEX(ShipData!$P$41:$R$48,MATCH($AC158,ShipData!$N$41:$N$48,0),MATCH($AD158,ShipData!$P$40:$R$40,0)))*6.5/1000</f>
        <v>153101.68941749999</v>
      </c>
      <c r="S158" s="1362"/>
      <c r="T158" s="1362">
        <v>1E-3</v>
      </c>
      <c r="U158" s="1368"/>
      <c r="Z158" s="1366">
        <f t="array" ref="Z158">INDEX($AI$12:$BH$15,MATCH(F158,$AH$12:$AH$15,0),MATCH($AB158&amp;$Z$1,$AI$11:$BH$11&amp;$AI$9:$BH$9,0))/1000</f>
        <v>5.9433962264150946</v>
      </c>
      <c r="AA158" s="570">
        <f t="array" ref="AA158">(Z158^INDEX(ShipData!$X$36:$X$39,MATCH($F158,ShipData!$U$36:$U$39,0)))*0.756*INDEX(ShipData!$W$36:$W$39,MATCH($F158,ShipData!$U$36:$U$39,0))</f>
        <v>3369.7610132900404</v>
      </c>
      <c r="AB158" s="570" t="s">
        <v>1174</v>
      </c>
      <c r="AC158" s="548" t="s">
        <v>1173</v>
      </c>
      <c r="AD158" s="570" t="s">
        <v>1338</v>
      </c>
    </row>
    <row r="159" spans="3:30">
      <c r="C159" s="570" t="str">
        <f t="shared" si="10"/>
        <v>TFSSNGFCD2N</v>
      </c>
      <c r="E159" s="555" t="s">
        <v>1177</v>
      </c>
      <c r="F159" s="548" t="s">
        <v>1339</v>
      </c>
      <c r="G159" s="548">
        <v>2020</v>
      </c>
      <c r="H159" s="1362" t="s">
        <v>1175</v>
      </c>
      <c r="I159" s="1363">
        <f t="array" ref="I159">INDEX($AI$12:$BH$15,MATCH(F159,$AH$12:$AH$15,0),MATCH(I$1&amp;$AB159,$AI$9:$BH$9&amp;$AI$11:$BH$11,0))</f>
        <v>1527</v>
      </c>
      <c r="J159" s="1363">
        <f t="shared" si="11"/>
        <v>1527</v>
      </c>
      <c r="K159" s="1363">
        <v>17027</v>
      </c>
      <c r="L159" s="1397">
        <v>30722</v>
      </c>
      <c r="M159" s="1366">
        <f t="array" ref="M159">1/(INDEX($AI$12:$BH$15,MATCH($F159,$AH$12:$AH$15,0),MATCH(($G159&amp;M$1)&amp;$AB159,$AI$9:$BH$9&amp;$AI$11:$BH$11,0))/1.852)</f>
        <v>3.4190010788978875</v>
      </c>
      <c r="N159" s="1366">
        <f t="shared" si="12"/>
        <v>3.4190010788978875</v>
      </c>
      <c r="O159" s="1362">
        <v>30</v>
      </c>
      <c r="P159" s="1366"/>
      <c r="Q159" s="1366">
        <f t="shared" si="14"/>
        <v>3049.8758218063249</v>
      </c>
      <c r="R159" s="1366">
        <f t="array" ref="R159">(AA159*(INDEX(ShipData!$P$19:$R$26,MATCH($AC159,ShipData!$N$19:$N$26,0),MATCH($AD159,ShipData!$P$18:$R$18,0))+INDEX(ShipData!$P$30:$R$37,MATCH($AC159,ShipData!$N$30:$N$37,0),MATCH($AD159,ShipData!$P$29:$R$29,0)))+K159*0.1*(1/M159)*INDEX(ShipData!$P$41:$R$48,MATCH($AC159,ShipData!$N$41:$N$48,0),MATCH($AD159,ShipData!$P$40:$R$40,0)))*6.5/1000</f>
        <v>87139.309194466419</v>
      </c>
      <c r="S159" s="1362"/>
      <c r="T159" s="1362">
        <v>1E-3</v>
      </c>
      <c r="U159" s="1368"/>
      <c r="Z159" s="1366">
        <f t="array" ref="Z159">INDEX($AI$12:$BH$15,MATCH(F159,$AH$12:$AH$15,0),MATCH($AB159&amp;$Z$1,$AI$11:$BH$11&amp;$AI$9:$BH$9,0))/1000</f>
        <v>2.5449999999999999</v>
      </c>
      <c r="AA159" s="570">
        <f t="array" ref="AA159">(Z159^INDEX(ShipData!$X$36:$X$39,MATCH($F159,ShipData!$U$36:$U$39,0)))*0.756*INDEX(ShipData!$W$36:$W$39,MATCH($F159,ShipData!$U$36:$U$39,0))</f>
        <v>1921.6608368614334</v>
      </c>
      <c r="AB159" s="570" t="s">
        <v>1178</v>
      </c>
      <c r="AC159" s="548" t="s">
        <v>1173</v>
      </c>
      <c r="AD159" s="570" t="s">
        <v>1338</v>
      </c>
    </row>
    <row r="160" spans="3:30">
      <c r="C160" s="570" t="str">
        <f t="shared" si="10"/>
        <v>TFSMNGFCD3N</v>
      </c>
      <c r="E160" s="555" t="s">
        <v>1177</v>
      </c>
      <c r="F160" s="548" t="s">
        <v>1339</v>
      </c>
      <c r="G160" s="548">
        <v>2030</v>
      </c>
      <c r="H160" s="1362" t="s">
        <v>1175</v>
      </c>
      <c r="I160" s="1363">
        <f t="array" ref="I160">INDEX($AI$12:$BH$15,MATCH(F160,$AH$12:$AH$15,0),MATCH(I$1&amp;$AB160,$AI$9:$BH$9&amp;$AI$11:$BH$11,0))</f>
        <v>4174</v>
      </c>
      <c r="J160" s="1363">
        <f t="shared" si="11"/>
        <v>4174</v>
      </c>
      <c r="K160" s="1363">
        <v>3330</v>
      </c>
      <c r="L160" s="1397">
        <v>6009</v>
      </c>
      <c r="M160" s="1366">
        <f t="array" ref="M160">1/(INDEX($AI$12:$BH$15,MATCH($F160,$AH$12:$AH$15,0),MATCH(($G160&amp;M$1)&amp;$AB160,$AI$9:$BH$9&amp;$AI$11:$BH$11,0))/1.852)</f>
        <v>2.1794284452298629</v>
      </c>
      <c r="N160" s="1366">
        <f t="shared" si="12"/>
        <v>2.1794284452298629</v>
      </c>
      <c r="O160" s="1362">
        <v>30</v>
      </c>
      <c r="P160" s="1366"/>
      <c r="Q160" s="1366">
        <f t="shared" si="14"/>
        <v>5440.8435513079758</v>
      </c>
      <c r="R160" s="1366">
        <f t="array" ref="R160">(AA160*(INDEX(ShipData!$P$19:$R$26,MATCH($AC160,ShipData!$N$19:$N$26,0),MATCH($AD160,ShipData!$P$18:$R$18,0))+INDEX(ShipData!$P$30:$R$37,MATCH($AC160,ShipData!$N$30:$N$37,0),MATCH($AD160,ShipData!$P$29:$R$29,0)))+K160*0.1*(1/M160)*INDEX(ShipData!$P$41:$R$48,MATCH($AC160,ShipData!$N$41:$N$48,0),MATCH($AD160,ShipData!$P$40:$R$40,0)))*6.5/1000</f>
        <v>155452.67289451358</v>
      </c>
      <c r="S160" s="1362"/>
      <c r="T160" s="1362">
        <v>1E-3</v>
      </c>
      <c r="U160" s="1368"/>
      <c r="Z160" s="1366">
        <f t="array" ref="Z160">INDEX($AI$12:$BH$15,MATCH(F160,$AH$12:$AH$15,0),MATCH($AB160&amp;$Z$1,$AI$11:$BH$11&amp;$AI$9:$BH$9,0))/1000</f>
        <v>6.956666666666667</v>
      </c>
      <c r="AA160" s="570">
        <f t="array" ref="AA160">(Z160^INDEX(ShipData!$X$36:$X$39,MATCH($F160,ShipData!$U$36:$U$39,0)))*0.756*INDEX(ShipData!$W$36:$W$39,MATCH($F160,ShipData!$U$36:$U$39,0))</f>
        <v>3439.8048335584949</v>
      </c>
      <c r="AB160" s="570" t="s">
        <v>1174</v>
      </c>
      <c r="AC160" s="548" t="s">
        <v>1173</v>
      </c>
      <c r="AD160" s="570" t="s">
        <v>1338</v>
      </c>
    </row>
    <row r="161" spans="2:30">
      <c r="C161" s="570" t="str">
        <f t="shared" si="10"/>
        <v>TFSSNGFCC2N</v>
      </c>
      <c r="E161" s="555" t="s">
        <v>1177</v>
      </c>
      <c r="F161" s="548" t="s">
        <v>1337</v>
      </c>
      <c r="G161" s="548">
        <v>2020</v>
      </c>
      <c r="H161" s="1362" t="s">
        <v>1175</v>
      </c>
      <c r="I161" s="1363">
        <f t="array" ref="I161">INDEX($AI$12:$BH$15,MATCH(F161,$AH$12:$AH$15,0),MATCH(I$1&amp;$AB161,$AI$9:$BH$9&amp;$AI$11:$BH$11,0))</f>
        <v>2450</v>
      </c>
      <c r="J161" s="1363">
        <f t="shared" si="11"/>
        <v>2450</v>
      </c>
      <c r="K161" s="1363">
        <v>0</v>
      </c>
      <c r="L161" s="1397">
        <v>0</v>
      </c>
      <c r="M161" s="1366">
        <f t="array" ref="M161">1/(INDEX($AI$12:$BH$15,MATCH($F161,$AH$12:$AH$15,0),MATCH(($G161&amp;M$1)&amp;$AB161,$AI$9:$BH$9&amp;$AI$11:$BH$11,0))/1.852)</f>
        <v>1.7403348779577166</v>
      </c>
      <c r="N161" s="1366">
        <f t="shared" si="12"/>
        <v>1.7403348779577166</v>
      </c>
      <c r="O161" s="1362">
        <v>30</v>
      </c>
      <c r="P161" s="1366"/>
      <c r="Q161" s="1366">
        <f t="shared" si="14"/>
        <v>3641.6182222129496</v>
      </c>
      <c r="R161" s="1366">
        <f t="array" ref="R161">(AA161*(INDEX(ShipData!$P$19:$R$26,MATCH($AC161,ShipData!$N$19:$N$26,0),MATCH($AD161,ShipData!$P$18:$R$18,0))+INDEX(ShipData!$P$30:$R$37,MATCH($AC161,ShipData!$N$30:$N$37,0),MATCH($AD161,ShipData!$P$29:$R$29,0)))+K161*0.1*(1/M161)*INDEX(ShipData!$P$41:$R$48,MATCH($AC161,ShipData!$N$41:$N$48,0),MATCH($AD161,ShipData!$P$40:$R$40,0)))*6.5/1000</f>
        <v>104046.23492036999</v>
      </c>
      <c r="S161" s="1362"/>
      <c r="T161" s="1362">
        <v>1E-3</v>
      </c>
      <c r="U161" s="1368"/>
      <c r="Z161" s="1366">
        <f t="array" ref="Z161">INDEX($AI$12:$BH$15,MATCH(F161,$AH$12:$AH$15,0),MATCH($AB161&amp;$Z$1,$AI$11:$BH$11&amp;$AI$9:$BH$9,0))/1000</f>
        <v>3.5</v>
      </c>
      <c r="AA161" s="570">
        <f t="array" ref="AA161">(Z161^INDEX(ShipData!$X$36:$X$39,MATCH($F161,ShipData!$U$36:$U$39,0)))*0.756*INDEX(ShipData!$W$36:$W$39,MATCH($F161,ShipData!$U$36:$U$39,0))</f>
        <v>2454.0448908848457</v>
      </c>
      <c r="AB161" s="570" t="s">
        <v>1178</v>
      </c>
      <c r="AC161" s="548" t="s">
        <v>1173</v>
      </c>
      <c r="AD161" s="570" t="s">
        <v>1335</v>
      </c>
    </row>
    <row r="162" spans="2:30">
      <c r="C162" s="570" t="str">
        <f t="shared" si="10"/>
        <v>TFSMNGFCC3N</v>
      </c>
      <c r="E162" s="555" t="s">
        <v>1177</v>
      </c>
      <c r="F162" s="548" t="s">
        <v>1337</v>
      </c>
      <c r="G162" s="548">
        <v>2030</v>
      </c>
      <c r="H162" s="1362" t="s">
        <v>1175</v>
      </c>
      <c r="I162" s="1363">
        <f t="array" ref="I162">INDEX($AI$12:$BH$15,MATCH(F162,$AH$12:$AH$15,0),MATCH(I$1&amp;$AB162,$AI$9:$BH$9&amp;$AI$11:$BH$11,0))</f>
        <v>4900</v>
      </c>
      <c r="J162" s="1363">
        <f t="shared" si="11"/>
        <v>4900</v>
      </c>
      <c r="K162" s="1363">
        <v>362</v>
      </c>
      <c r="L162" s="1397">
        <v>653</v>
      </c>
      <c r="M162" s="1366">
        <f t="array" ref="M162">1/(INDEX($AI$12:$BH$15,MATCH($F162,$AH$12:$AH$15,0),MATCH(($G162&amp;M$1)&amp;$AB162,$AI$9:$BH$9&amp;$AI$11:$BH$11,0))/1.852)</f>
        <v>0.87906595126970144</v>
      </c>
      <c r="N162" s="1366">
        <f t="shared" si="12"/>
        <v>0.87906595126970144</v>
      </c>
      <c r="O162" s="1362">
        <v>30</v>
      </c>
      <c r="P162" s="1366"/>
      <c r="Q162" s="1366">
        <f t="shared" si="14"/>
        <v>8138.2158802235699</v>
      </c>
      <c r="R162" s="1366">
        <f t="array" ref="R162">(AA162*(INDEX(ShipData!$P$19:$R$26,MATCH($AC162,ShipData!$N$19:$N$26,0),MATCH($AD162,ShipData!$P$18:$R$18,0))+INDEX(ShipData!$P$30:$R$37,MATCH($AC162,ShipData!$N$30:$N$37,0),MATCH($AD162,ShipData!$P$29:$R$29,0)))+K162*0.1*(1/M162)*INDEX(ShipData!$P$41:$R$48,MATCH($AC162,ShipData!$N$41:$N$48,0),MATCH($AD162,ShipData!$P$40:$R$40,0)))*6.5/1000</f>
        <v>232520.45372067339</v>
      </c>
      <c r="S162" s="1362"/>
      <c r="T162" s="1362">
        <v>1E-3</v>
      </c>
      <c r="U162" s="1368"/>
      <c r="Z162" s="1366">
        <f t="array" ref="Z162">INDEX($AI$12:$BH$15,MATCH(F162,$AH$12:$AH$15,0),MATCH($AB162&amp;$Z$1,$AI$11:$BH$11&amp;$AI$9:$BH$9,0))/1000</f>
        <v>7</v>
      </c>
      <c r="AA162" s="570">
        <f t="array" ref="AA162">(Z162^INDEX(ShipData!$X$36:$X$39,MATCH($F162,ShipData!$U$36:$U$39,0)))*0.756*INDEX(ShipData!$W$36:$W$39,MATCH($F162,ShipData!$U$36:$U$39,0))</f>
        <v>5483.7455856749639</v>
      </c>
      <c r="AB162" s="570" t="s">
        <v>1174</v>
      </c>
      <c r="AC162" s="548" t="s">
        <v>1173</v>
      </c>
      <c r="AD162" s="570" t="s">
        <v>1335</v>
      </c>
    </row>
    <row r="163" spans="2:30">
      <c r="C163" s="570" t="str">
        <f t="shared" si="10"/>
        <v>TFSSNGFCR2N</v>
      </c>
      <c r="E163" s="555" t="s">
        <v>1177</v>
      </c>
      <c r="F163" s="548" t="s">
        <v>1336</v>
      </c>
      <c r="G163" s="548">
        <v>2020</v>
      </c>
      <c r="H163" s="1362" t="s">
        <v>1175</v>
      </c>
      <c r="I163" s="1363">
        <f t="array" ref="I163">INDEX($AI$12:$BH$15,MATCH(F163,$AH$12:$AH$15,0),MATCH(I$1&amp;$AB163,$AI$9:$BH$9&amp;$AI$11:$BH$11,0))</f>
        <v>1002</v>
      </c>
      <c r="J163" s="1363">
        <f t="shared" si="11"/>
        <v>1002</v>
      </c>
      <c r="K163" s="1363">
        <v>38287</v>
      </c>
      <c r="L163" s="1397">
        <v>69083</v>
      </c>
      <c r="M163" s="1366">
        <f t="array" ref="M163">1/(INDEX($AI$12:$BH$15,MATCH($F163,$AH$12:$AH$15,0),MATCH(($G163&amp;M$1)&amp;$AB163,$AI$9:$BH$9&amp;$AI$11:$BH$11,0))/1.852)</f>
        <v>1.7403348779577166</v>
      </c>
      <c r="N163" s="1366">
        <f t="shared" si="12"/>
        <v>1.7403348779577166</v>
      </c>
      <c r="O163" s="1362">
        <v>30</v>
      </c>
      <c r="P163" s="1366"/>
      <c r="Q163" s="1366">
        <f t="shared" si="14"/>
        <v>2585.3990360699986</v>
      </c>
      <c r="R163" s="1366">
        <f t="array" ref="R163">(AA163*(INDEX(ShipData!$P$19:$R$26,MATCH($AC163,ShipData!$N$19:$N$26,0),MATCH($AD163,ShipData!$P$18:$R$18,0))+INDEX(ShipData!$P$30:$R$37,MATCH($AC163,ShipData!$N$30:$N$37,0),MATCH($AD163,ShipData!$P$29:$R$29,0)))+K163*0.1*(1/M163)*INDEX(ShipData!$P$41:$R$48,MATCH($AC163,ShipData!$N$41:$N$48,0),MATCH($AD163,ShipData!$P$40:$R$40,0)))*6.5/1000</f>
        <v>73868.543887714244</v>
      </c>
      <c r="S163" s="1362"/>
      <c r="T163" s="1362">
        <v>1E-3</v>
      </c>
      <c r="U163" s="1368"/>
      <c r="Z163" s="1366">
        <f t="array" ref="Z163">INDEX($AI$12:$BH$15,MATCH(F163,$AH$12:$AH$15,0),MATCH($AB163&amp;$Z$1,$AI$11:$BH$11&amp;$AI$9:$BH$9,0))/1000</f>
        <v>1.4314285714285715</v>
      </c>
      <c r="AA163" s="570">
        <f t="array" ref="AA163">(Z163^INDEX(ShipData!$X$36:$X$39,MATCH($F163,ShipData!$U$36:$U$39,0)))*0.756*INDEX(ShipData!$W$36:$W$39,MATCH($F163,ShipData!$U$36:$U$39,0))</f>
        <v>1715.2886160618959</v>
      </c>
      <c r="AB163" s="570" t="s">
        <v>1178</v>
      </c>
      <c r="AC163" s="548" t="s">
        <v>1173</v>
      </c>
      <c r="AD163" s="570" t="s">
        <v>1335</v>
      </c>
    </row>
    <row r="164" spans="2:30">
      <c r="C164" s="1149" t="str">
        <f t="shared" si="10"/>
        <v>TFSMNGFCR3N</v>
      </c>
      <c r="D164" s="1149"/>
      <c r="E164" s="1387" t="s">
        <v>1177</v>
      </c>
      <c r="F164" s="1386" t="s">
        <v>1336</v>
      </c>
      <c r="G164" s="1386">
        <v>2030</v>
      </c>
      <c r="H164" s="1374" t="s">
        <v>1175</v>
      </c>
      <c r="I164" s="1375">
        <f t="array" ref="I164">INDEX($AI$12:$BH$15,MATCH(F164,$AH$12:$AH$15,0),MATCH(I$1&amp;$AB164,$AI$9:$BH$9&amp;$AI$11:$BH$11,0))</f>
        <v>3608</v>
      </c>
      <c r="J164" s="1375">
        <f t="shared" si="11"/>
        <v>3608</v>
      </c>
      <c r="K164" s="1375">
        <v>925</v>
      </c>
      <c r="L164" s="1399">
        <v>1668</v>
      </c>
      <c r="M164" s="1398">
        <f t="array" ref="M164">1/(INDEX($AI$12:$BH$15,MATCH($F164,$AH$12:$AH$15,0),MATCH(($G164&amp;M$1)&amp;$AB164,$AI$9:$BH$9&amp;$AI$11:$BH$11,0))/1.852)</f>
        <v>0.87906595126970144</v>
      </c>
      <c r="N164" s="1398">
        <f t="shared" si="12"/>
        <v>0.87906595126970144</v>
      </c>
      <c r="O164" s="1374">
        <v>30</v>
      </c>
      <c r="P164" s="1398"/>
      <c r="Q164" s="1398">
        <f t="shared" si="14"/>
        <v>8116.9433627217122</v>
      </c>
      <c r="R164" s="1398">
        <f t="array" ref="R164">(AA164*(INDEX(ShipData!$P$19:$R$26,MATCH($AC164,ShipData!$N$19:$N$26,0),MATCH($AD164,ShipData!$P$18:$R$18,0))+INDEX(ShipData!$P$30:$R$37,MATCH($AC164,ShipData!$N$30:$N$37,0),MATCH($AD164,ShipData!$P$29:$R$29,0)))+K164*0.1*(1/M164)*INDEX(ShipData!$P$41:$R$48,MATCH($AC164,ShipData!$N$41:$N$48,0),MATCH($AD164,ShipData!$P$40:$R$40,0)))*6.5/1000</f>
        <v>231912.6675063346</v>
      </c>
      <c r="S164" s="1374"/>
      <c r="T164" s="1374">
        <v>1E-3</v>
      </c>
      <c r="U164" s="1385"/>
      <c r="V164" s="1386"/>
      <c r="W164" s="553"/>
      <c r="X164" s="548" t="s">
        <v>1193</v>
      </c>
      <c r="Y164" s="548"/>
      <c r="Z164" s="1366">
        <f t="array" ref="Z164">INDEX($AI$12:$BH$15,MATCH(F164,$AH$12:$AH$15,0),MATCH($AB164&amp;$Z$1,$AI$11:$BH$11&amp;$AI$9:$BH$9,0))/1000</f>
        <v>5.1542857142857148</v>
      </c>
      <c r="AA164" s="570">
        <f t="array" ref="AA164">(Z164^INDEX(ShipData!$X$36:$X$39,MATCH($F164,ShipData!$U$36:$U$39,0)))*0.756*INDEX(ShipData!$W$36:$W$39,MATCH($F164,ShipData!$U$36:$U$39,0))</f>
        <v>5468.6247789018307</v>
      </c>
      <c r="AB164" s="570" t="s">
        <v>1174</v>
      </c>
      <c r="AC164" s="548" t="s">
        <v>1173</v>
      </c>
      <c r="AD164" s="570" t="s">
        <v>1335</v>
      </c>
    </row>
    <row r="165" spans="2:30">
      <c r="E165" s="555"/>
      <c r="F165" s="548"/>
      <c r="G165" s="548"/>
      <c r="H165" s="1362"/>
      <c r="I165" s="1362"/>
      <c r="J165" s="1362"/>
      <c r="K165" s="1362"/>
      <c r="L165" s="1397"/>
      <c r="M165" s="1362"/>
      <c r="N165" s="1363"/>
      <c r="O165" s="1363"/>
      <c r="P165" s="1366"/>
      <c r="Q165" s="1366"/>
      <c r="R165" s="1362"/>
      <c r="S165" s="1362"/>
      <c r="T165" s="1362"/>
      <c r="U165" s="1368"/>
    </row>
    <row r="166" spans="2:30">
      <c r="E166" s="555"/>
      <c r="F166" s="548"/>
      <c r="G166" s="548"/>
      <c r="H166" s="1362"/>
      <c r="I166" s="1362"/>
      <c r="J166" s="1362"/>
      <c r="K166" s="1362"/>
      <c r="L166" s="1397"/>
      <c r="M166" s="1362"/>
      <c r="N166" s="1363"/>
      <c r="O166" s="1363"/>
      <c r="P166" s="1366"/>
      <c r="Q166" s="1366"/>
      <c r="R166" s="1362"/>
      <c r="S166" s="1362"/>
      <c r="T166" s="1362"/>
      <c r="U166" s="1368"/>
    </row>
    <row r="167" spans="2:30">
      <c r="E167" s="555"/>
      <c r="F167" s="548"/>
      <c r="G167" s="548"/>
      <c r="H167" s="1362"/>
      <c r="I167" s="1362"/>
      <c r="J167" s="1362"/>
      <c r="K167" s="1362"/>
      <c r="L167" s="1397"/>
      <c r="M167" s="1362"/>
      <c r="N167" s="1363"/>
      <c r="O167" s="1363"/>
      <c r="P167" s="1366"/>
      <c r="Q167" s="1366"/>
      <c r="R167" s="1362"/>
      <c r="S167" s="1362"/>
      <c r="T167" s="1362"/>
      <c r="U167" s="1368"/>
    </row>
    <row r="168" spans="2:30">
      <c r="E168" s="555"/>
      <c r="F168" s="548"/>
      <c r="G168" s="548"/>
      <c r="H168" s="1362"/>
      <c r="I168" s="1362"/>
      <c r="J168" s="1362"/>
      <c r="K168" s="1362"/>
      <c r="L168" s="1397"/>
      <c r="M168" s="1362"/>
      <c r="N168" s="1363"/>
      <c r="O168" s="1363"/>
      <c r="P168" s="1366"/>
      <c r="Q168" s="1366"/>
      <c r="R168" s="1362"/>
      <c r="S168" s="1362"/>
      <c r="T168" s="1362"/>
      <c r="U168" s="1368"/>
    </row>
    <row r="169" spans="2:30">
      <c r="E169" s="555"/>
      <c r="F169" s="548"/>
      <c r="G169" s="548"/>
      <c r="H169" s="1362"/>
      <c r="I169" s="1362"/>
      <c r="J169" s="1362"/>
      <c r="K169" s="1362"/>
      <c r="L169" s="1397"/>
      <c r="M169" s="1362"/>
      <c r="N169" s="1363"/>
      <c r="O169" s="1363"/>
      <c r="P169" s="1366"/>
      <c r="Q169" s="1366"/>
      <c r="R169" s="1362"/>
      <c r="S169" s="1362"/>
      <c r="T169" s="1362"/>
      <c r="U169" s="1368"/>
    </row>
    <row r="170" spans="2:30">
      <c r="E170" s="555"/>
      <c r="F170" s="548"/>
      <c r="G170" s="548"/>
      <c r="H170" s="1362"/>
      <c r="I170" s="1362"/>
      <c r="J170" s="1362"/>
      <c r="K170" s="1362"/>
      <c r="L170" s="1397"/>
      <c r="M170" s="1362"/>
      <c r="N170" s="1363"/>
      <c r="O170" s="1363"/>
      <c r="P170" s="1366"/>
      <c r="Q170" s="1366"/>
      <c r="R170" s="1362"/>
      <c r="S170" s="1362"/>
      <c r="T170" s="1362"/>
      <c r="U170" s="1368"/>
    </row>
    <row r="171" spans="2:30">
      <c r="E171" s="555"/>
      <c r="F171" s="548"/>
      <c r="G171" s="548"/>
      <c r="H171" s="1362"/>
      <c r="I171" s="1362"/>
      <c r="J171" s="1362"/>
      <c r="K171" s="1362"/>
      <c r="L171" s="1397"/>
      <c r="M171" s="1362"/>
      <c r="N171" s="1363"/>
      <c r="O171" s="1363"/>
      <c r="P171" s="1366"/>
      <c r="Q171" s="1366"/>
      <c r="R171" s="1362"/>
      <c r="S171" s="1362"/>
      <c r="T171" s="1362"/>
      <c r="U171" s="1368"/>
    </row>
    <row r="172" spans="2:30">
      <c r="E172" s="555"/>
      <c r="F172" s="548"/>
      <c r="G172" s="548"/>
      <c r="H172" s="1362"/>
      <c r="I172" s="1362"/>
      <c r="J172" s="1362"/>
      <c r="K172" s="1362"/>
      <c r="L172" s="1397"/>
      <c r="M172" s="1362"/>
      <c r="N172" s="1363"/>
      <c r="O172" s="1363"/>
      <c r="P172" s="1366"/>
      <c r="Q172" s="1366"/>
      <c r="R172" s="1362"/>
      <c r="S172" s="1362"/>
      <c r="T172" s="1362"/>
      <c r="U172" s="1368"/>
    </row>
    <row r="173" spans="2:30">
      <c r="B173" s="18" t="s">
        <v>1483</v>
      </c>
      <c r="C173" s="18"/>
      <c r="D173" s="18"/>
      <c r="E173" s="575"/>
      <c r="F173" s="575"/>
      <c r="G173" s="548"/>
      <c r="M173" s="541"/>
      <c r="N173" s="557"/>
      <c r="O173" s="542"/>
      <c r="R173" s="485"/>
      <c r="S173" s="485"/>
      <c r="T173" s="485"/>
    </row>
    <row r="174" spans="2:30" ht="27.6">
      <c r="B174" s="1367" t="s">
        <v>63</v>
      </c>
      <c r="C174" s="1367" t="s">
        <v>1</v>
      </c>
      <c r="D174" s="1367" t="s">
        <v>64</v>
      </c>
      <c r="E174" s="1367" t="s">
        <v>65</v>
      </c>
      <c r="F174" s="1367" t="s">
        <v>66</v>
      </c>
      <c r="G174" s="1367" t="s">
        <v>67</v>
      </c>
      <c r="H174" s="1367" t="s">
        <v>68</v>
      </c>
      <c r="I174" s="1367" t="s">
        <v>69</v>
      </c>
      <c r="K174" s="541"/>
      <c r="L174" s="557"/>
      <c r="M174" s="542"/>
    </row>
    <row r="175" spans="2:30" ht="41.4" thickBot="1">
      <c r="B175" s="20" t="s">
        <v>70</v>
      </c>
      <c r="C175" s="20" t="s">
        <v>71</v>
      </c>
      <c r="D175" s="20" t="s">
        <v>72</v>
      </c>
      <c r="E175" s="20" t="s">
        <v>73</v>
      </c>
      <c r="F175" s="20" t="s">
        <v>74</v>
      </c>
      <c r="G175" s="20" t="s">
        <v>75</v>
      </c>
      <c r="H175" s="20" t="s">
        <v>76</v>
      </c>
      <c r="I175" s="20" t="s">
        <v>77</v>
      </c>
      <c r="K175" s="541"/>
      <c r="L175" s="557"/>
      <c r="M175" s="542"/>
    </row>
    <row r="176" spans="2:30">
      <c r="B176" s="575" t="s">
        <v>78</v>
      </c>
      <c r="C176" s="575" t="str">
        <f>C7</f>
        <v>TFSSFOICL2N</v>
      </c>
      <c r="D176" s="575" t="s">
        <v>1334</v>
      </c>
      <c r="E176" s="567" t="s">
        <v>86</v>
      </c>
      <c r="F176" s="567" t="s">
        <v>82</v>
      </c>
      <c r="G176" s="575"/>
      <c r="H176" s="575"/>
      <c r="I176" s="575"/>
      <c r="K176" s="557"/>
      <c r="M176" s="542"/>
    </row>
    <row r="177" spans="2:13" ht="13.8" thickBot="1">
      <c r="B177" s="575"/>
      <c r="C177" s="575" t="str">
        <f>C9</f>
        <v>TFSMFOICL2N</v>
      </c>
      <c r="D177" s="575" t="s">
        <v>1333</v>
      </c>
      <c r="E177" s="567" t="s">
        <v>86</v>
      </c>
      <c r="F177" s="567" t="s">
        <v>82</v>
      </c>
      <c r="G177" s="575"/>
      <c r="H177" s="575"/>
      <c r="I177" s="575"/>
      <c r="K177" s="557"/>
      <c r="L177" s="557"/>
      <c r="M177" s="542"/>
    </row>
    <row r="178" spans="2:13">
      <c r="B178" s="575"/>
      <c r="C178" s="575" t="str">
        <f>C11</f>
        <v>TFSLFOICL2N</v>
      </c>
      <c r="D178" s="575" t="s">
        <v>1332</v>
      </c>
      <c r="E178" s="567" t="s">
        <v>86</v>
      </c>
      <c r="F178" s="567" t="s">
        <v>82</v>
      </c>
      <c r="G178" s="575"/>
      <c r="H178" s="575"/>
      <c r="I178" s="575"/>
      <c r="J178" s="1248"/>
      <c r="K178" s="557"/>
      <c r="L178" s="557"/>
      <c r="M178" s="542"/>
    </row>
    <row r="179" spans="2:13">
      <c r="B179" s="575"/>
      <c r="C179" s="575" t="str">
        <f>C32</f>
        <v>TFSSFOICL1N</v>
      </c>
      <c r="D179" s="575" t="s">
        <v>1331</v>
      </c>
      <c r="E179" s="567" t="s">
        <v>86</v>
      </c>
      <c r="F179" s="567" t="s">
        <v>82</v>
      </c>
      <c r="G179" s="575"/>
      <c r="H179" s="575"/>
      <c r="I179" s="575"/>
      <c r="K179" s="557"/>
    </row>
    <row r="180" spans="2:13">
      <c r="C180" s="575" t="str">
        <f>C33</f>
        <v>TFSMFOICL1N</v>
      </c>
      <c r="D180" s="575" t="s">
        <v>1330</v>
      </c>
      <c r="E180" s="567" t="s">
        <v>86</v>
      </c>
      <c r="F180" s="567" t="s">
        <v>82</v>
      </c>
      <c r="K180" s="557"/>
      <c r="L180" s="1365"/>
      <c r="M180" s="1362"/>
    </row>
    <row r="181" spans="2:13">
      <c r="C181" s="575" t="str">
        <f>C34</f>
        <v>TFSLFOICL1N</v>
      </c>
      <c r="D181" s="575" t="s">
        <v>1329</v>
      </c>
      <c r="E181" s="567" t="s">
        <v>86</v>
      </c>
      <c r="F181" s="567" t="s">
        <v>82</v>
      </c>
      <c r="K181" s="557"/>
      <c r="L181" s="1365"/>
      <c r="M181" s="1362"/>
    </row>
    <row r="182" spans="2:13">
      <c r="C182" s="575" t="str">
        <f>C13</f>
        <v>TFSSFOICD2N</v>
      </c>
      <c r="D182" s="575" t="s">
        <v>1328</v>
      </c>
      <c r="E182" s="567" t="s">
        <v>86</v>
      </c>
      <c r="F182" s="567" t="s">
        <v>82</v>
      </c>
      <c r="K182" s="557"/>
      <c r="L182" s="1365"/>
      <c r="M182" s="1362"/>
    </row>
    <row r="183" spans="2:13">
      <c r="C183" s="575" t="str">
        <f>C15</f>
        <v>TFSMFOICD2N</v>
      </c>
      <c r="D183" s="575" t="s">
        <v>1327</v>
      </c>
      <c r="E183" s="567" t="s">
        <v>86</v>
      </c>
      <c r="F183" s="567" t="s">
        <v>82</v>
      </c>
      <c r="K183" s="557"/>
      <c r="M183" s="541"/>
    </row>
    <row r="184" spans="2:13">
      <c r="C184" s="575" t="str">
        <f>C17</f>
        <v>TFSLFOICD2N</v>
      </c>
      <c r="D184" s="575" t="s">
        <v>1326</v>
      </c>
      <c r="E184" s="567" t="s">
        <v>86</v>
      </c>
      <c r="F184" s="567" t="s">
        <v>82</v>
      </c>
      <c r="K184" s="557"/>
      <c r="L184" s="1365"/>
      <c r="M184" s="541"/>
    </row>
    <row r="185" spans="2:13">
      <c r="C185" s="575" t="str">
        <f>C29</f>
        <v>TFSSFOICD1N</v>
      </c>
      <c r="D185" s="575" t="s">
        <v>1325</v>
      </c>
      <c r="E185" s="567" t="s">
        <v>86</v>
      </c>
      <c r="F185" s="567" t="s">
        <v>82</v>
      </c>
      <c r="K185" s="557"/>
      <c r="M185" s="541"/>
    </row>
    <row r="186" spans="2:13">
      <c r="C186" s="575" t="str">
        <f>C30</f>
        <v>TFSMFOICD1N</v>
      </c>
      <c r="D186" s="575" t="s">
        <v>1324</v>
      </c>
      <c r="E186" s="567" t="s">
        <v>86</v>
      </c>
      <c r="F186" s="567" t="s">
        <v>82</v>
      </c>
      <c r="K186" s="557"/>
      <c r="M186" s="541"/>
    </row>
    <row r="187" spans="2:13">
      <c r="C187" s="575" t="str">
        <f>C31</f>
        <v>TFSLFOICD1N</v>
      </c>
      <c r="D187" s="575" t="s">
        <v>1323</v>
      </c>
      <c r="E187" s="567" t="s">
        <v>86</v>
      </c>
      <c r="F187" s="567" t="s">
        <v>82</v>
      </c>
      <c r="K187" s="557"/>
      <c r="M187" s="541"/>
    </row>
    <row r="188" spans="2:13">
      <c r="C188" s="575" t="str">
        <f>C19</f>
        <v>TFSSFOICC2N</v>
      </c>
      <c r="D188" s="575" t="s">
        <v>1322</v>
      </c>
      <c r="E188" s="567" t="s">
        <v>86</v>
      </c>
      <c r="F188" s="567" t="s">
        <v>82</v>
      </c>
      <c r="K188" s="557"/>
    </row>
    <row r="189" spans="2:13">
      <c r="C189" s="575" t="str">
        <f>C21</f>
        <v>TFSMFOICC2N</v>
      </c>
      <c r="D189" s="575" t="s">
        <v>1321</v>
      </c>
      <c r="E189" s="567" t="s">
        <v>86</v>
      </c>
      <c r="F189" s="567" t="s">
        <v>82</v>
      </c>
      <c r="K189" s="557"/>
    </row>
    <row r="190" spans="2:13">
      <c r="C190" s="575" t="str">
        <f>C23</f>
        <v>TFSLFOICC2N</v>
      </c>
      <c r="D190" s="575" t="s">
        <v>1320</v>
      </c>
      <c r="E190" s="567" t="s">
        <v>86</v>
      </c>
      <c r="F190" s="567" t="s">
        <v>82</v>
      </c>
      <c r="K190" s="557"/>
    </row>
    <row r="191" spans="2:13">
      <c r="C191" s="575" t="str">
        <f>C35</f>
        <v>TFSSFOICC1N</v>
      </c>
      <c r="D191" s="575" t="s">
        <v>1319</v>
      </c>
      <c r="E191" s="567" t="s">
        <v>86</v>
      </c>
      <c r="F191" s="567" t="s">
        <v>82</v>
      </c>
      <c r="K191" s="557"/>
    </row>
    <row r="192" spans="2:13">
      <c r="C192" s="575" t="str">
        <f>C36</f>
        <v>TFSMFOICC1N</v>
      </c>
      <c r="D192" s="575" t="s">
        <v>1318</v>
      </c>
      <c r="E192" s="567" t="s">
        <v>86</v>
      </c>
      <c r="F192" s="567" t="s">
        <v>82</v>
      </c>
      <c r="K192" s="557"/>
    </row>
    <row r="193" spans="3:11">
      <c r="C193" s="575" t="str">
        <f>C37</f>
        <v>TFSLFOICC1N</v>
      </c>
      <c r="D193" s="575" t="s">
        <v>1317</v>
      </c>
      <c r="E193" s="567" t="s">
        <v>86</v>
      </c>
      <c r="F193" s="567" t="s">
        <v>82</v>
      </c>
      <c r="K193" s="557"/>
    </row>
    <row r="194" spans="3:11">
      <c r="C194" s="575" t="str">
        <f>C25</f>
        <v>TFSSFOICR2N</v>
      </c>
      <c r="D194" s="575" t="s">
        <v>1316</v>
      </c>
      <c r="E194" s="567" t="s">
        <v>86</v>
      </c>
      <c r="F194" s="567" t="s">
        <v>82</v>
      </c>
      <c r="K194" s="557"/>
    </row>
    <row r="195" spans="3:11">
      <c r="C195" s="575" t="str">
        <f>C27</f>
        <v>TFSMFOICR2N</v>
      </c>
      <c r="D195" s="575" t="s">
        <v>1315</v>
      </c>
      <c r="E195" s="567" t="s">
        <v>86</v>
      </c>
      <c r="F195" s="567" t="s">
        <v>82</v>
      </c>
      <c r="K195" s="557"/>
    </row>
    <row r="196" spans="3:11">
      <c r="C196" s="575" t="str">
        <f>C38</f>
        <v>TFSLFOICR1N</v>
      </c>
      <c r="D196" s="575" t="s">
        <v>1314</v>
      </c>
      <c r="E196" s="567" t="s">
        <v>86</v>
      </c>
      <c r="F196" s="567" t="s">
        <v>82</v>
      </c>
      <c r="K196" s="557"/>
    </row>
    <row r="197" spans="3:11">
      <c r="C197" s="575" t="str">
        <f>C39</f>
        <v>TFSLFOICR1N</v>
      </c>
      <c r="D197" s="575" t="s">
        <v>1313</v>
      </c>
      <c r="E197" s="567" t="s">
        <v>86</v>
      </c>
      <c r="F197" s="567" t="s">
        <v>82</v>
      </c>
      <c r="K197" s="557"/>
    </row>
    <row r="198" spans="3:11">
      <c r="C198" s="575" t="str">
        <f>C40</f>
        <v>TFSSMOICL2N</v>
      </c>
      <c r="D198" s="575" t="s">
        <v>1312</v>
      </c>
      <c r="E198" s="567" t="s">
        <v>86</v>
      </c>
      <c r="F198" s="567" t="s">
        <v>82</v>
      </c>
      <c r="K198" s="557"/>
    </row>
    <row r="199" spans="3:11">
      <c r="C199" s="575" t="str">
        <f>C41</f>
        <v>TFSMMOICL2N</v>
      </c>
      <c r="D199" s="575" t="s">
        <v>1311</v>
      </c>
      <c r="E199" s="567" t="s">
        <v>86</v>
      </c>
      <c r="F199" s="567" t="s">
        <v>82</v>
      </c>
      <c r="K199" s="557"/>
    </row>
    <row r="200" spans="3:11">
      <c r="C200" s="575" t="str">
        <f>C42</f>
        <v>TFSLMOICL2N</v>
      </c>
      <c r="D200" s="575" t="s">
        <v>1310</v>
      </c>
      <c r="E200" s="567" t="s">
        <v>86</v>
      </c>
      <c r="F200" s="567" t="s">
        <v>82</v>
      </c>
      <c r="K200" s="557"/>
    </row>
    <row r="201" spans="3:11">
      <c r="C201" s="575" t="str">
        <f>C51</f>
        <v>TFSSH2ICL2N</v>
      </c>
      <c r="D201" s="575" t="s">
        <v>1309</v>
      </c>
      <c r="E201" s="567" t="s">
        <v>86</v>
      </c>
      <c r="F201" s="567" t="s">
        <v>82</v>
      </c>
      <c r="K201" s="557"/>
    </row>
    <row r="202" spans="3:11">
      <c r="C202" s="575" t="str">
        <f>C52</f>
        <v>TFSMH2ICL2N</v>
      </c>
      <c r="D202" s="575" t="s">
        <v>1308</v>
      </c>
      <c r="E202" s="567" t="s">
        <v>86</v>
      </c>
      <c r="F202" s="567" t="s">
        <v>82</v>
      </c>
      <c r="K202" s="557"/>
    </row>
    <row r="203" spans="3:11">
      <c r="C203" s="575" t="str">
        <f>C53</f>
        <v>TFSLH2ICL2N</v>
      </c>
      <c r="D203" s="575" t="s">
        <v>1307</v>
      </c>
      <c r="E203" s="567" t="s">
        <v>86</v>
      </c>
      <c r="F203" s="567" t="s">
        <v>82</v>
      </c>
      <c r="K203" s="557"/>
    </row>
    <row r="204" spans="3:11">
      <c r="C204" s="575" t="str">
        <f>C43</f>
        <v>TFSSMOICD2N</v>
      </c>
      <c r="D204" s="575" t="s">
        <v>1306</v>
      </c>
      <c r="E204" s="567" t="s">
        <v>86</v>
      </c>
      <c r="F204" s="567" t="s">
        <v>82</v>
      </c>
      <c r="K204" s="557"/>
    </row>
    <row r="205" spans="3:11">
      <c r="C205" s="575" t="str">
        <f>C44</f>
        <v>TFSMMOICD2N</v>
      </c>
      <c r="D205" s="575" t="s">
        <v>1305</v>
      </c>
      <c r="E205" s="567" t="s">
        <v>86</v>
      </c>
      <c r="F205" s="567" t="s">
        <v>82</v>
      </c>
      <c r="K205" s="557"/>
    </row>
    <row r="206" spans="3:11">
      <c r="C206" s="575" t="str">
        <f>C45</f>
        <v>TFSLMOICD2N</v>
      </c>
      <c r="D206" s="575" t="s">
        <v>1304</v>
      </c>
      <c r="E206" s="567" t="s">
        <v>86</v>
      </c>
      <c r="F206" s="567" t="s">
        <v>82</v>
      </c>
      <c r="K206" s="557"/>
    </row>
    <row r="207" spans="3:11">
      <c r="C207" s="575" t="str">
        <f>C54</f>
        <v>TFSSH2ICD2N</v>
      </c>
      <c r="D207" s="575" t="s">
        <v>1303</v>
      </c>
      <c r="E207" s="567" t="s">
        <v>86</v>
      </c>
      <c r="F207" s="567" t="s">
        <v>82</v>
      </c>
      <c r="K207" s="557"/>
    </row>
    <row r="208" spans="3:11">
      <c r="C208" s="575" t="str">
        <f>C55</f>
        <v>TFSMH2ICD2N</v>
      </c>
      <c r="D208" s="575" t="s">
        <v>1302</v>
      </c>
      <c r="E208" s="567" t="s">
        <v>86</v>
      </c>
      <c r="F208" s="567" t="s">
        <v>82</v>
      </c>
      <c r="K208" s="557"/>
    </row>
    <row r="209" spans="3:11">
      <c r="C209" s="575" t="str">
        <f>C56</f>
        <v>TFSLH2ICD2N</v>
      </c>
      <c r="D209" s="575" t="s">
        <v>1301</v>
      </c>
      <c r="E209" s="567" t="s">
        <v>86</v>
      </c>
      <c r="F209" s="567" t="s">
        <v>82</v>
      </c>
      <c r="K209" s="557"/>
    </row>
    <row r="210" spans="3:11">
      <c r="C210" s="575" t="str">
        <f>C46</f>
        <v>TFSSMOICC2N</v>
      </c>
      <c r="D210" s="575" t="s">
        <v>1300</v>
      </c>
      <c r="E210" s="567" t="s">
        <v>86</v>
      </c>
      <c r="F210" s="567" t="s">
        <v>82</v>
      </c>
      <c r="K210" s="557"/>
    </row>
    <row r="211" spans="3:11">
      <c r="C211" s="575" t="str">
        <f>C47</f>
        <v>TFSMMOICC2N</v>
      </c>
      <c r="D211" s="575" t="s">
        <v>1299</v>
      </c>
      <c r="E211" s="567" t="s">
        <v>86</v>
      </c>
      <c r="F211" s="567" t="s">
        <v>82</v>
      </c>
      <c r="K211" s="557"/>
    </row>
    <row r="212" spans="3:11">
      <c r="C212" s="575" t="str">
        <f>C48</f>
        <v>TFSLMOICC2N</v>
      </c>
      <c r="D212" s="575" t="s">
        <v>1298</v>
      </c>
      <c r="E212" s="567" t="s">
        <v>86</v>
      </c>
      <c r="F212" s="567" t="s">
        <v>82</v>
      </c>
      <c r="K212" s="557"/>
    </row>
    <row r="213" spans="3:11">
      <c r="C213" s="575" t="str">
        <f>C57</f>
        <v>TFSSH2ICC2N</v>
      </c>
      <c r="D213" s="575" t="s">
        <v>1297</v>
      </c>
      <c r="E213" s="567" t="s">
        <v>86</v>
      </c>
      <c r="F213" s="567" t="s">
        <v>82</v>
      </c>
      <c r="K213" s="557"/>
    </row>
    <row r="214" spans="3:11">
      <c r="C214" s="575" t="str">
        <f>C58</f>
        <v>TFSMH2ICC2N</v>
      </c>
      <c r="D214" s="575" t="s">
        <v>1296</v>
      </c>
      <c r="E214" s="567" t="s">
        <v>86</v>
      </c>
      <c r="F214" s="567" t="s">
        <v>82</v>
      </c>
      <c r="K214" s="557"/>
    </row>
    <row r="215" spans="3:11">
      <c r="C215" s="575" t="str">
        <f>C59</f>
        <v>TFSLH2ICC2N</v>
      </c>
      <c r="D215" s="575" t="s">
        <v>1295</v>
      </c>
      <c r="E215" s="567" t="s">
        <v>86</v>
      </c>
      <c r="F215" s="567" t="s">
        <v>82</v>
      </c>
      <c r="K215" s="557"/>
    </row>
    <row r="216" spans="3:11">
      <c r="C216" s="575" t="str">
        <f>C49</f>
        <v>TFSSMOICR2N</v>
      </c>
      <c r="D216" s="575" t="s">
        <v>1294</v>
      </c>
      <c r="E216" s="567" t="s">
        <v>86</v>
      </c>
      <c r="F216" s="567" t="s">
        <v>82</v>
      </c>
      <c r="K216" s="557"/>
    </row>
    <row r="217" spans="3:11">
      <c r="C217" s="575" t="str">
        <f>C50</f>
        <v>TFSMMOICR2N</v>
      </c>
      <c r="D217" s="575" t="s">
        <v>1293</v>
      </c>
      <c r="E217" s="567" t="s">
        <v>86</v>
      </c>
      <c r="F217" s="567" t="s">
        <v>82</v>
      </c>
      <c r="K217" s="557"/>
    </row>
    <row r="218" spans="3:11">
      <c r="C218" s="575" t="str">
        <f t="shared" ref="C218:C231" si="15">C60</f>
        <v>TFSLH2ICR2N</v>
      </c>
      <c r="D218" s="575" t="s">
        <v>1292</v>
      </c>
      <c r="E218" s="567" t="s">
        <v>86</v>
      </c>
      <c r="F218" s="567" t="s">
        <v>82</v>
      </c>
      <c r="K218" s="557"/>
    </row>
    <row r="219" spans="3:11">
      <c r="C219" s="575" t="str">
        <f t="shared" si="15"/>
        <v>TFSSH2ICR2N</v>
      </c>
      <c r="D219" s="575" t="s">
        <v>1291</v>
      </c>
      <c r="E219" s="567" t="s">
        <v>86</v>
      </c>
      <c r="F219" s="567" t="s">
        <v>82</v>
      </c>
      <c r="K219" s="557"/>
    </row>
    <row r="220" spans="3:11">
      <c r="C220" s="575" t="str">
        <f t="shared" si="15"/>
        <v>TFSMNGICL2N</v>
      </c>
      <c r="D220" s="575" t="s">
        <v>1290</v>
      </c>
      <c r="E220" s="567" t="s">
        <v>86</v>
      </c>
      <c r="F220" s="567" t="s">
        <v>82</v>
      </c>
      <c r="K220" s="557"/>
    </row>
    <row r="221" spans="3:11">
      <c r="C221" s="575" t="str">
        <f t="shared" si="15"/>
        <v>TFSLNGICL2N</v>
      </c>
      <c r="D221" s="575" t="s">
        <v>1289</v>
      </c>
      <c r="E221" s="567" t="s">
        <v>86</v>
      </c>
      <c r="F221" s="567" t="s">
        <v>82</v>
      </c>
      <c r="K221" s="557"/>
    </row>
    <row r="222" spans="3:11">
      <c r="C222" s="575" t="str">
        <f t="shared" si="15"/>
        <v>TFSSNGICL2N</v>
      </c>
      <c r="D222" s="575" t="s">
        <v>1288</v>
      </c>
      <c r="E222" s="567" t="s">
        <v>86</v>
      </c>
      <c r="F222" s="567" t="s">
        <v>82</v>
      </c>
      <c r="K222" s="557"/>
    </row>
    <row r="223" spans="3:11">
      <c r="C223" s="575" t="str">
        <f t="shared" si="15"/>
        <v>TFSMNGICD2N</v>
      </c>
      <c r="D223" s="575" t="s">
        <v>1287</v>
      </c>
      <c r="E223" s="567" t="s">
        <v>86</v>
      </c>
      <c r="F223" s="567" t="s">
        <v>82</v>
      </c>
      <c r="K223" s="557"/>
    </row>
    <row r="224" spans="3:11">
      <c r="C224" s="575" t="str">
        <f t="shared" si="15"/>
        <v>TFSLNGICD2N</v>
      </c>
      <c r="D224" s="575" t="s">
        <v>1286</v>
      </c>
      <c r="E224" s="567" t="s">
        <v>86</v>
      </c>
      <c r="F224" s="567" t="s">
        <v>82</v>
      </c>
      <c r="K224" s="557"/>
    </row>
    <row r="225" spans="3:11">
      <c r="C225" s="575" t="str">
        <f t="shared" si="15"/>
        <v>TFSSNGICD2N</v>
      </c>
      <c r="D225" s="575" t="s">
        <v>1285</v>
      </c>
      <c r="E225" s="567" t="s">
        <v>86</v>
      </c>
      <c r="F225" s="567" t="s">
        <v>82</v>
      </c>
      <c r="K225" s="557"/>
    </row>
    <row r="226" spans="3:11">
      <c r="C226" s="575" t="str">
        <f t="shared" si="15"/>
        <v>TFSMNGICC2N</v>
      </c>
      <c r="D226" s="575" t="s">
        <v>1284</v>
      </c>
      <c r="E226" s="567" t="s">
        <v>86</v>
      </c>
      <c r="F226" s="567" t="s">
        <v>82</v>
      </c>
      <c r="K226" s="557"/>
    </row>
    <row r="227" spans="3:11">
      <c r="C227" s="575" t="str">
        <f t="shared" si="15"/>
        <v>TFSLNGICC2N</v>
      </c>
      <c r="D227" s="575" t="s">
        <v>1283</v>
      </c>
      <c r="E227" s="567" t="s">
        <v>86</v>
      </c>
      <c r="F227" s="567" t="s">
        <v>82</v>
      </c>
      <c r="K227" s="557"/>
    </row>
    <row r="228" spans="3:11">
      <c r="C228" s="575" t="str">
        <f t="shared" si="15"/>
        <v>TFSSNGICC2N</v>
      </c>
      <c r="D228" s="575" t="s">
        <v>1282</v>
      </c>
      <c r="E228" s="567" t="s">
        <v>86</v>
      </c>
      <c r="F228" s="567" t="s">
        <v>82</v>
      </c>
      <c r="K228" s="557"/>
    </row>
    <row r="229" spans="3:11">
      <c r="C229" s="575" t="str">
        <f t="shared" si="15"/>
        <v>TFSMNGICR2N</v>
      </c>
      <c r="D229" s="575" t="s">
        <v>1281</v>
      </c>
      <c r="E229" s="567" t="s">
        <v>86</v>
      </c>
      <c r="F229" s="567" t="s">
        <v>82</v>
      </c>
      <c r="K229" s="557"/>
    </row>
    <row r="230" spans="3:11">
      <c r="C230" s="575" t="str">
        <f t="shared" si="15"/>
        <v>TFSLNGICR2N</v>
      </c>
      <c r="D230" s="575" t="s">
        <v>1280</v>
      </c>
      <c r="E230" s="567" t="s">
        <v>86</v>
      </c>
      <c r="F230" s="567" t="s">
        <v>82</v>
      </c>
      <c r="K230" s="557"/>
    </row>
    <row r="231" spans="3:11">
      <c r="C231" s="575" t="str">
        <f t="shared" si="15"/>
        <v>TFSSNGDUL2N</v>
      </c>
      <c r="D231" s="575" t="s">
        <v>1279</v>
      </c>
      <c r="E231" s="567" t="s">
        <v>86</v>
      </c>
      <c r="F231" s="567" t="s">
        <v>82</v>
      </c>
      <c r="K231" s="557"/>
    </row>
    <row r="232" spans="3:11">
      <c r="C232" s="575" t="str">
        <f>C77</f>
        <v>TFSMNGDUL2N</v>
      </c>
      <c r="D232" s="575" t="s">
        <v>1278</v>
      </c>
      <c r="E232" s="567" t="s">
        <v>86</v>
      </c>
      <c r="F232" s="567" t="s">
        <v>82</v>
      </c>
      <c r="K232" s="557"/>
    </row>
    <row r="233" spans="3:11">
      <c r="C233" s="575" t="str">
        <f>C81</f>
        <v>TFSLNGDUL2N</v>
      </c>
      <c r="D233" s="575" t="s">
        <v>1277</v>
      </c>
      <c r="E233" s="567" t="s">
        <v>86</v>
      </c>
      <c r="F233" s="567" t="s">
        <v>82</v>
      </c>
      <c r="K233" s="557"/>
    </row>
    <row r="234" spans="3:11">
      <c r="C234" s="575" t="str">
        <f>C85</f>
        <v>TFSSNGDUD2N</v>
      </c>
      <c r="D234" s="575" t="s">
        <v>1276</v>
      </c>
      <c r="E234" s="567" t="s">
        <v>86</v>
      </c>
      <c r="F234" s="567" t="s">
        <v>82</v>
      </c>
      <c r="K234" s="557"/>
    </row>
    <row r="235" spans="3:11">
      <c r="C235" s="575" t="str">
        <f>C89</f>
        <v>TFSMNGDUD2N</v>
      </c>
      <c r="D235" s="575" t="s">
        <v>1275</v>
      </c>
      <c r="E235" s="567" t="s">
        <v>86</v>
      </c>
      <c r="F235" s="567" t="s">
        <v>82</v>
      </c>
      <c r="K235" s="557"/>
    </row>
    <row r="236" spans="3:11">
      <c r="C236" s="575" t="str">
        <f>C93</f>
        <v>TFSLNGDUD2N</v>
      </c>
      <c r="D236" s="575" t="s">
        <v>1274</v>
      </c>
      <c r="E236" s="567" t="s">
        <v>86</v>
      </c>
      <c r="F236" s="567" t="s">
        <v>82</v>
      </c>
      <c r="K236" s="557"/>
    </row>
    <row r="237" spans="3:11">
      <c r="C237" s="575" t="str">
        <f>C97</f>
        <v>TFSSNGDUC2N</v>
      </c>
      <c r="D237" s="575" t="s">
        <v>1273</v>
      </c>
      <c r="E237" s="567" t="s">
        <v>86</v>
      </c>
      <c r="F237" s="567" t="s">
        <v>82</v>
      </c>
      <c r="K237" s="557"/>
    </row>
    <row r="238" spans="3:11">
      <c r="C238" s="575" t="str">
        <f>C101</f>
        <v>TFSMNGDUC2N</v>
      </c>
      <c r="D238" s="575" t="s">
        <v>1272</v>
      </c>
      <c r="E238" s="567" t="s">
        <v>86</v>
      </c>
      <c r="F238" s="567" t="s">
        <v>82</v>
      </c>
      <c r="K238" s="557"/>
    </row>
    <row r="239" spans="3:11">
      <c r="C239" s="575" t="str">
        <f>C105</f>
        <v>TFSLNGDUC2N</v>
      </c>
      <c r="D239" s="575" t="s">
        <v>1271</v>
      </c>
      <c r="E239" s="567" t="s">
        <v>86</v>
      </c>
      <c r="F239" s="567" t="s">
        <v>82</v>
      </c>
      <c r="K239" s="557"/>
    </row>
    <row r="240" spans="3:11">
      <c r="C240" s="575" t="str">
        <f>C109</f>
        <v>TFSSNGDUR2N</v>
      </c>
      <c r="D240" s="575" t="s">
        <v>1270</v>
      </c>
      <c r="E240" s="567" t="s">
        <v>86</v>
      </c>
      <c r="F240" s="567" t="s">
        <v>82</v>
      </c>
      <c r="K240" s="557"/>
    </row>
    <row r="241" spans="3:11">
      <c r="C241" s="575" t="str">
        <f>C113</f>
        <v>TFSMNGDUR2N</v>
      </c>
      <c r="D241" s="575" t="s">
        <v>1269</v>
      </c>
      <c r="E241" s="567" t="s">
        <v>86</v>
      </c>
      <c r="F241" s="567" t="s">
        <v>82</v>
      </c>
      <c r="K241" s="557"/>
    </row>
    <row r="242" spans="3:11">
      <c r="C242" s="575" t="str">
        <f t="shared" ref="C242:C251" si="16">C117</f>
        <v>TFSSELCCL2N</v>
      </c>
      <c r="D242" s="575" t="s">
        <v>1268</v>
      </c>
      <c r="E242" s="567" t="s">
        <v>86</v>
      </c>
      <c r="F242" s="567" t="s">
        <v>82</v>
      </c>
      <c r="K242" s="557"/>
    </row>
    <row r="243" spans="3:11">
      <c r="C243" s="575" t="str">
        <f t="shared" si="16"/>
        <v>TFSMELCCL3N</v>
      </c>
      <c r="D243" s="575" t="s">
        <v>1267</v>
      </c>
      <c r="E243" s="567" t="s">
        <v>86</v>
      </c>
      <c r="F243" s="567" t="s">
        <v>82</v>
      </c>
      <c r="K243" s="557"/>
    </row>
    <row r="244" spans="3:11">
      <c r="C244" s="575" t="str">
        <f t="shared" si="16"/>
        <v>TFSSELCCD2N</v>
      </c>
      <c r="D244" s="575" t="s">
        <v>1266</v>
      </c>
      <c r="E244" s="567" t="s">
        <v>86</v>
      </c>
      <c r="F244" s="567" t="s">
        <v>82</v>
      </c>
      <c r="K244" s="557"/>
    </row>
    <row r="245" spans="3:11">
      <c r="C245" s="575" t="str">
        <f t="shared" si="16"/>
        <v>TFSMELCCD3N</v>
      </c>
      <c r="D245" s="575" t="s">
        <v>1265</v>
      </c>
      <c r="E245" s="567" t="s">
        <v>86</v>
      </c>
      <c r="F245" s="567" t="s">
        <v>82</v>
      </c>
      <c r="K245" s="557"/>
    </row>
    <row r="246" spans="3:11">
      <c r="C246" s="575" t="str">
        <f t="shared" si="16"/>
        <v>TFSSELCCC2N</v>
      </c>
      <c r="D246" s="575" t="s">
        <v>1264</v>
      </c>
      <c r="E246" s="567" t="s">
        <v>86</v>
      </c>
      <c r="F246" s="567" t="s">
        <v>82</v>
      </c>
      <c r="K246" s="557"/>
    </row>
    <row r="247" spans="3:11">
      <c r="C247" s="575" t="str">
        <f t="shared" si="16"/>
        <v>TFSMELCCC3N</v>
      </c>
      <c r="D247" s="575" t="s">
        <v>1263</v>
      </c>
      <c r="E247" s="567" t="s">
        <v>86</v>
      </c>
      <c r="F247" s="567" t="s">
        <v>82</v>
      </c>
      <c r="K247" s="557"/>
    </row>
    <row r="248" spans="3:11">
      <c r="C248" s="575" t="str">
        <f t="shared" si="16"/>
        <v>TFSSELCCR2N</v>
      </c>
      <c r="D248" s="575" t="s">
        <v>1262</v>
      </c>
      <c r="E248" s="567" t="s">
        <v>86</v>
      </c>
      <c r="F248" s="567" t="s">
        <v>82</v>
      </c>
      <c r="K248" s="557"/>
    </row>
    <row r="249" spans="3:11">
      <c r="C249" s="575" t="str">
        <f t="shared" si="16"/>
        <v>TFSMELCCR3N</v>
      </c>
      <c r="D249" s="575" t="s">
        <v>1261</v>
      </c>
      <c r="E249" s="567" t="s">
        <v>86</v>
      </c>
      <c r="F249" s="567" t="s">
        <v>82</v>
      </c>
      <c r="K249" s="557"/>
    </row>
    <row r="250" spans="3:11">
      <c r="C250" s="575" t="str">
        <f t="shared" si="16"/>
        <v>TFSSFOFCL2N</v>
      </c>
      <c r="D250" s="575" t="s">
        <v>1236</v>
      </c>
      <c r="E250" s="567" t="s">
        <v>86</v>
      </c>
      <c r="F250" s="567" t="s">
        <v>82</v>
      </c>
      <c r="K250" s="557"/>
    </row>
    <row r="251" spans="3:11">
      <c r="C251" s="575" t="str">
        <f t="shared" si="16"/>
        <v>TFSMFOFCL3N</v>
      </c>
      <c r="D251" s="575" t="s">
        <v>1235</v>
      </c>
      <c r="E251" s="567" t="s">
        <v>86</v>
      </c>
      <c r="F251" s="567" t="s">
        <v>82</v>
      </c>
      <c r="K251" s="557"/>
    </row>
    <row r="252" spans="3:11">
      <c r="C252" s="575" t="str">
        <f>C141</f>
        <v>TFSSMOFCL2N</v>
      </c>
      <c r="D252" s="575" t="s">
        <v>1260</v>
      </c>
      <c r="E252" s="567" t="s">
        <v>86</v>
      </c>
      <c r="F252" s="567" t="s">
        <v>82</v>
      </c>
      <c r="K252" s="557"/>
    </row>
    <row r="253" spans="3:11">
      <c r="C253" s="575" t="str">
        <f>C142</f>
        <v>TFSMMOFCL3N</v>
      </c>
      <c r="D253" s="575" t="s">
        <v>1259</v>
      </c>
      <c r="E253" s="567" t="s">
        <v>86</v>
      </c>
      <c r="F253" s="567" t="s">
        <v>82</v>
      </c>
      <c r="K253" s="557"/>
    </row>
    <row r="254" spans="3:11">
      <c r="C254" s="575" t="str">
        <f>C149</f>
        <v>TFSSH2FCL2N</v>
      </c>
      <c r="D254" s="575" t="s">
        <v>1258</v>
      </c>
      <c r="E254" s="567" t="s">
        <v>86</v>
      </c>
      <c r="F254" s="567" t="s">
        <v>82</v>
      </c>
      <c r="K254" s="557"/>
    </row>
    <row r="255" spans="3:11">
      <c r="C255" s="575" t="str">
        <f>C150</f>
        <v>TFSMH2FCL3N</v>
      </c>
      <c r="D255" s="575" t="s">
        <v>1257</v>
      </c>
      <c r="E255" s="567" t="s">
        <v>86</v>
      </c>
      <c r="F255" s="567" t="s">
        <v>82</v>
      </c>
      <c r="J255" s="1149"/>
      <c r="K255" s="557"/>
    </row>
    <row r="256" spans="3:11">
      <c r="C256" s="575" t="str">
        <f>C157</f>
        <v>TFSSNGFCL2N</v>
      </c>
      <c r="D256" s="575" t="s">
        <v>1256</v>
      </c>
      <c r="E256" s="567" t="s">
        <v>86</v>
      </c>
      <c r="F256" s="567" t="s">
        <v>82</v>
      </c>
      <c r="K256" s="557"/>
    </row>
    <row r="257" spans="3:11">
      <c r="C257" s="575" t="str">
        <f>C158</f>
        <v>TFSMNGFCL3N</v>
      </c>
      <c r="D257" s="575" t="s">
        <v>1255</v>
      </c>
      <c r="E257" s="567" t="s">
        <v>86</v>
      </c>
      <c r="F257" s="567" t="s">
        <v>82</v>
      </c>
      <c r="K257" s="557"/>
    </row>
    <row r="258" spans="3:11">
      <c r="C258" s="575" t="str">
        <f>C127</f>
        <v>TFSSFOFCD2N</v>
      </c>
      <c r="D258" s="575" t="s">
        <v>1234</v>
      </c>
      <c r="E258" s="567" t="s">
        <v>86</v>
      </c>
      <c r="F258" s="567" t="s">
        <v>82</v>
      </c>
      <c r="K258" s="557"/>
    </row>
    <row r="259" spans="3:11">
      <c r="C259" s="575" t="str">
        <f>C128</f>
        <v>TFSMFOFCD3N</v>
      </c>
      <c r="D259" s="575" t="s">
        <v>1233</v>
      </c>
      <c r="E259" s="567" t="s">
        <v>86</v>
      </c>
      <c r="F259" s="567" t="s">
        <v>82</v>
      </c>
      <c r="K259" s="557"/>
    </row>
    <row r="260" spans="3:11">
      <c r="C260" s="575" t="str">
        <f>C143</f>
        <v>TFSSMOFCD2N</v>
      </c>
      <c r="D260" s="575" t="s">
        <v>1254</v>
      </c>
      <c r="E260" s="567" t="s">
        <v>86</v>
      </c>
      <c r="F260" s="567" t="s">
        <v>82</v>
      </c>
      <c r="K260" s="557"/>
    </row>
    <row r="261" spans="3:11">
      <c r="C261" s="575" t="str">
        <f>C144</f>
        <v>TFSMMOFCD3N</v>
      </c>
      <c r="D261" s="575" t="s">
        <v>1253</v>
      </c>
      <c r="E261" s="567" t="s">
        <v>86</v>
      </c>
      <c r="F261" s="567" t="s">
        <v>82</v>
      </c>
      <c r="K261" s="557"/>
    </row>
    <row r="262" spans="3:11">
      <c r="C262" s="575" t="str">
        <f>C151</f>
        <v>TFSSH2FCD2N</v>
      </c>
      <c r="D262" s="575" t="s">
        <v>1252</v>
      </c>
      <c r="E262" s="567" t="s">
        <v>86</v>
      </c>
      <c r="F262" s="567" t="s">
        <v>82</v>
      </c>
      <c r="K262" s="557"/>
    </row>
    <row r="263" spans="3:11">
      <c r="C263" s="575" t="str">
        <f>C152</f>
        <v>TFSMH2FCD3N</v>
      </c>
      <c r="D263" s="575" t="s">
        <v>1251</v>
      </c>
      <c r="E263" s="567" t="s">
        <v>86</v>
      </c>
      <c r="F263" s="567" t="s">
        <v>82</v>
      </c>
      <c r="K263" s="557"/>
    </row>
    <row r="264" spans="3:11">
      <c r="C264" s="575" t="str">
        <f>C159</f>
        <v>TFSSNGFCD2N</v>
      </c>
      <c r="D264" s="575" t="s">
        <v>1250</v>
      </c>
      <c r="E264" s="567" t="s">
        <v>86</v>
      </c>
      <c r="F264" s="567" t="s">
        <v>82</v>
      </c>
      <c r="K264" s="557"/>
    </row>
    <row r="265" spans="3:11">
      <c r="C265" s="575" t="str">
        <f>C160</f>
        <v>TFSMNGFCD3N</v>
      </c>
      <c r="D265" s="575" t="s">
        <v>1249</v>
      </c>
      <c r="E265" s="567" t="s">
        <v>86</v>
      </c>
      <c r="F265" s="567" t="s">
        <v>82</v>
      </c>
      <c r="K265" s="557"/>
    </row>
    <row r="266" spans="3:11">
      <c r="C266" s="575" t="str">
        <f>C129</f>
        <v>TFSSFOFCC2N</v>
      </c>
      <c r="D266" s="575" t="s">
        <v>1232</v>
      </c>
      <c r="E266" s="567" t="s">
        <v>86</v>
      </c>
      <c r="F266" s="567" t="s">
        <v>82</v>
      </c>
      <c r="K266" s="557"/>
    </row>
    <row r="267" spans="3:11">
      <c r="C267" s="575" t="str">
        <f>C130</f>
        <v>TFSMFOFCC3N</v>
      </c>
      <c r="D267" s="575" t="s">
        <v>1231</v>
      </c>
      <c r="E267" s="567" t="s">
        <v>86</v>
      </c>
      <c r="F267" s="567" t="s">
        <v>82</v>
      </c>
      <c r="K267" s="557"/>
    </row>
    <row r="268" spans="3:11">
      <c r="C268" s="575" t="str">
        <f>C145</f>
        <v>TFSSMOFCC2N</v>
      </c>
      <c r="D268" s="575" t="s">
        <v>1248</v>
      </c>
      <c r="E268" s="567" t="s">
        <v>86</v>
      </c>
      <c r="F268" s="567" t="s">
        <v>82</v>
      </c>
      <c r="K268" s="557"/>
    </row>
    <row r="269" spans="3:11">
      <c r="C269" s="575" t="str">
        <f>C146</f>
        <v>TFSMMOFCC3N</v>
      </c>
      <c r="D269" s="575" t="s">
        <v>1247</v>
      </c>
      <c r="E269" s="567" t="s">
        <v>86</v>
      </c>
      <c r="F269" s="567" t="s">
        <v>82</v>
      </c>
      <c r="K269" s="557"/>
    </row>
    <row r="270" spans="3:11">
      <c r="C270" s="575" t="str">
        <f>C153</f>
        <v>TFSSH2FCC2N</v>
      </c>
      <c r="D270" s="575" t="s">
        <v>1246</v>
      </c>
      <c r="E270" s="567" t="s">
        <v>86</v>
      </c>
      <c r="F270" s="567" t="s">
        <v>82</v>
      </c>
      <c r="K270" s="557"/>
    </row>
    <row r="271" spans="3:11">
      <c r="C271" s="575" t="str">
        <f>C154</f>
        <v>TFSMH2FCC3N</v>
      </c>
      <c r="D271" s="575" t="s">
        <v>1245</v>
      </c>
      <c r="E271" s="567" t="s">
        <v>86</v>
      </c>
      <c r="F271" s="567" t="s">
        <v>82</v>
      </c>
      <c r="K271" s="557"/>
    </row>
    <row r="272" spans="3:11">
      <c r="C272" s="575" t="str">
        <f>C161</f>
        <v>TFSSNGFCC2N</v>
      </c>
      <c r="D272" s="575" t="s">
        <v>1244</v>
      </c>
      <c r="E272" s="567" t="s">
        <v>86</v>
      </c>
      <c r="F272" s="567" t="s">
        <v>82</v>
      </c>
      <c r="K272" s="557"/>
    </row>
    <row r="273" spans="3:11">
      <c r="C273" s="575" t="str">
        <f>C162</f>
        <v>TFSMNGFCC3N</v>
      </c>
      <c r="D273" s="575" t="s">
        <v>1243</v>
      </c>
      <c r="E273" s="567" t="s">
        <v>86</v>
      </c>
      <c r="F273" s="567" t="s">
        <v>82</v>
      </c>
      <c r="K273" s="557"/>
    </row>
    <row r="274" spans="3:11">
      <c r="C274" s="575" t="str">
        <f>C131</f>
        <v>TFSSFOFCR2N</v>
      </c>
      <c r="D274" s="575" t="s">
        <v>1230</v>
      </c>
      <c r="E274" s="567" t="s">
        <v>86</v>
      </c>
      <c r="F274" s="567" t="s">
        <v>82</v>
      </c>
      <c r="K274" s="557"/>
    </row>
    <row r="275" spans="3:11">
      <c r="C275" s="575" t="str">
        <f>C132</f>
        <v>TFSMFOFCR3N</v>
      </c>
      <c r="D275" s="575" t="s">
        <v>1229</v>
      </c>
      <c r="E275" s="567" t="s">
        <v>86</v>
      </c>
      <c r="F275" s="567" t="s">
        <v>82</v>
      </c>
      <c r="K275" s="557"/>
    </row>
    <row r="276" spans="3:11">
      <c r="C276" s="575" t="str">
        <f>C147</f>
        <v>TFSSMOFCR2N</v>
      </c>
      <c r="D276" s="575" t="s">
        <v>1242</v>
      </c>
      <c r="E276" s="567" t="s">
        <v>86</v>
      </c>
      <c r="F276" s="567" t="s">
        <v>82</v>
      </c>
      <c r="K276" s="557"/>
    </row>
    <row r="277" spans="3:11">
      <c r="C277" s="575" t="str">
        <f>C148</f>
        <v>TFSMMOFCR3N</v>
      </c>
      <c r="D277" s="575" t="s">
        <v>1241</v>
      </c>
      <c r="E277" s="567" t="s">
        <v>86</v>
      </c>
      <c r="F277" s="567" t="s">
        <v>82</v>
      </c>
      <c r="K277" s="557"/>
    </row>
    <row r="278" spans="3:11">
      <c r="C278" s="575" t="str">
        <f>C155</f>
        <v>TFSSH2FCR2N</v>
      </c>
      <c r="D278" s="575" t="s">
        <v>1240</v>
      </c>
      <c r="E278" s="567" t="s">
        <v>86</v>
      </c>
      <c r="F278" s="567" t="s">
        <v>82</v>
      </c>
      <c r="K278" s="557"/>
    </row>
    <row r="279" spans="3:11">
      <c r="C279" s="575" t="str">
        <f>C156</f>
        <v>TFSMH2FCR3N</v>
      </c>
      <c r="D279" s="575" t="s">
        <v>1239</v>
      </c>
      <c r="E279" s="567" t="s">
        <v>86</v>
      </c>
      <c r="F279" s="567" t="s">
        <v>82</v>
      </c>
      <c r="J279" s="1149"/>
      <c r="K279" s="557"/>
    </row>
    <row r="280" spans="3:11">
      <c r="C280" s="575" t="str">
        <f>C163</f>
        <v>TFSSNGFCR2N</v>
      </c>
      <c r="D280" s="575" t="s">
        <v>1238</v>
      </c>
      <c r="E280" s="567" t="s">
        <v>86</v>
      </c>
      <c r="F280" s="567" t="s">
        <v>82</v>
      </c>
      <c r="K280" s="557"/>
    </row>
    <row r="281" spans="3:11">
      <c r="C281" s="575" t="str">
        <f>C164</f>
        <v>TFSMNGFCR3N</v>
      </c>
      <c r="D281" s="575" t="s">
        <v>1237</v>
      </c>
      <c r="E281" s="567" t="s">
        <v>86</v>
      </c>
      <c r="F281" s="567" t="s">
        <v>82</v>
      </c>
      <c r="K281" s="557"/>
    </row>
    <row r="282" spans="3:11">
      <c r="C282" s="575" t="str">
        <f t="shared" ref="C282:C289" si="17">C133</f>
        <v>TFSSFOFCL3N</v>
      </c>
      <c r="D282" s="575" t="s">
        <v>1236</v>
      </c>
      <c r="E282" s="567" t="s">
        <v>86</v>
      </c>
      <c r="F282" s="567" t="s">
        <v>82</v>
      </c>
      <c r="K282" s="557"/>
    </row>
    <row r="283" spans="3:11">
      <c r="C283" s="575" t="str">
        <f t="shared" si="17"/>
        <v>TFSMFOFCL3N</v>
      </c>
      <c r="D283" s="575" t="s">
        <v>1235</v>
      </c>
      <c r="E283" s="567" t="s">
        <v>86</v>
      </c>
      <c r="F283" s="567" t="s">
        <v>82</v>
      </c>
      <c r="K283" s="557"/>
    </row>
    <row r="284" spans="3:11">
      <c r="C284" s="575" t="str">
        <f t="shared" si="17"/>
        <v>TFSSFOFCD3N</v>
      </c>
      <c r="D284" s="575" t="s">
        <v>1234</v>
      </c>
      <c r="E284" s="567" t="s">
        <v>86</v>
      </c>
      <c r="F284" s="567" t="s">
        <v>82</v>
      </c>
      <c r="K284" s="557"/>
    </row>
    <row r="285" spans="3:11">
      <c r="C285" s="575" t="str">
        <f t="shared" si="17"/>
        <v>TFSMFOFCD3N</v>
      </c>
      <c r="D285" s="575" t="s">
        <v>1233</v>
      </c>
      <c r="E285" s="567" t="s">
        <v>86</v>
      </c>
      <c r="F285" s="567" t="s">
        <v>82</v>
      </c>
      <c r="K285" s="557"/>
    </row>
    <row r="286" spans="3:11">
      <c r="C286" s="575" t="str">
        <f t="shared" si="17"/>
        <v>TFSSFOFCC3N</v>
      </c>
      <c r="D286" s="575" t="s">
        <v>1232</v>
      </c>
      <c r="E286" s="567" t="s">
        <v>86</v>
      </c>
      <c r="F286" s="567" t="s">
        <v>82</v>
      </c>
      <c r="K286" s="557"/>
    </row>
    <row r="287" spans="3:11">
      <c r="C287" s="575" t="str">
        <f t="shared" si="17"/>
        <v>TFSMFOFCC3N</v>
      </c>
      <c r="D287" s="575" t="s">
        <v>1231</v>
      </c>
      <c r="E287" s="567" t="s">
        <v>86</v>
      </c>
      <c r="F287" s="567" t="s">
        <v>82</v>
      </c>
      <c r="K287" s="557"/>
    </row>
    <row r="288" spans="3:11">
      <c r="C288" s="575" t="str">
        <f t="shared" si="17"/>
        <v>TFSSFOFCR3N</v>
      </c>
      <c r="D288" s="575" t="s">
        <v>1230</v>
      </c>
      <c r="E288" s="567" t="s">
        <v>86</v>
      </c>
      <c r="F288" s="567" t="s">
        <v>82</v>
      </c>
      <c r="K288" s="557"/>
    </row>
    <row r="289" spans="3:11">
      <c r="C289" s="575" t="str">
        <f t="shared" si="17"/>
        <v>TFSMFOFCR3N</v>
      </c>
      <c r="D289" s="575" t="s">
        <v>1229</v>
      </c>
      <c r="E289" s="567" t="s">
        <v>86</v>
      </c>
      <c r="F289" s="567" t="s">
        <v>82</v>
      </c>
      <c r="K289" s="557"/>
    </row>
  </sheetData>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0A71D-B078-48C2-AED6-597B8F7389CF}">
  <dimension ref="B1:AW95"/>
  <sheetViews>
    <sheetView zoomScale="80" zoomScaleNormal="80" workbookViewId="0">
      <selection activeCell="AE92" sqref="AE92:AE93"/>
    </sheetView>
  </sheetViews>
  <sheetFormatPr defaultColWidth="9.33203125" defaultRowHeight="13.2"/>
  <cols>
    <col min="1" max="1" width="9.33203125" style="570"/>
    <col min="2" max="2" width="6.33203125" style="570" customWidth="1"/>
    <col min="3" max="3" width="16.44140625" style="570" customWidth="1"/>
    <col min="4" max="4" width="71.33203125" style="570" bestFit="1" customWidth="1"/>
    <col min="5" max="5" width="16.33203125" style="570" customWidth="1"/>
    <col min="6" max="6" width="11.88671875" style="570" bestFit="1" customWidth="1"/>
    <col min="7" max="7" width="23.88671875" style="570" customWidth="1"/>
    <col min="8" max="8" width="10.44140625" style="570" customWidth="1"/>
    <col min="9" max="10" width="17" style="570" customWidth="1"/>
    <col min="11" max="11" width="12.5546875" style="570" customWidth="1"/>
    <col min="12" max="12" width="9" style="570" customWidth="1"/>
    <col min="13" max="13" width="12.6640625" style="570" customWidth="1"/>
    <col min="14" max="14" width="11.33203125" style="570" customWidth="1"/>
    <col min="15" max="15" width="8" style="570" customWidth="1"/>
    <col min="16" max="17" width="10.33203125" style="570" customWidth="1"/>
    <col min="18" max="18" width="17" style="570" customWidth="1"/>
    <col min="19" max="19" width="14.6640625" style="570" customWidth="1"/>
    <col min="20" max="20" width="9.33203125" style="570" customWidth="1"/>
    <col min="21" max="21" width="11.6640625" style="570" customWidth="1"/>
    <col min="22" max="22" width="10" style="570" customWidth="1"/>
    <col min="23" max="23" width="9.33203125" style="570" customWidth="1"/>
    <col min="24" max="24" width="10.33203125" style="570" customWidth="1"/>
    <col min="25" max="25" width="13.33203125" style="570" bestFit="1" customWidth="1"/>
    <col min="26" max="26" width="9.5546875" style="570" bestFit="1" customWidth="1"/>
    <col min="27" max="27" width="14.88671875" style="570" bestFit="1" customWidth="1"/>
    <col min="28" max="28" width="13.5546875" style="570" bestFit="1" customWidth="1"/>
    <col min="29" max="29" width="12" style="570" bestFit="1" customWidth="1"/>
    <col min="30" max="33" width="9.33203125" style="570"/>
    <col min="34" max="34" width="13.33203125" style="570" customWidth="1"/>
    <col min="35" max="41" width="9.33203125" style="570"/>
    <col min="42" max="42" width="10.88671875" style="570" bestFit="1" customWidth="1"/>
    <col min="43" max="43" width="10.109375" style="570" customWidth="1"/>
    <col min="44" max="16384" width="9.33203125" style="570"/>
  </cols>
  <sheetData>
    <row r="1" spans="3:46">
      <c r="I1" s="548" t="s">
        <v>1355</v>
      </c>
      <c r="J1" s="548" t="s">
        <v>1355</v>
      </c>
      <c r="K1" s="548" t="s">
        <v>1365</v>
      </c>
      <c r="L1" s="548" t="s">
        <v>1365</v>
      </c>
      <c r="M1" s="548" t="s">
        <v>1364</v>
      </c>
      <c r="N1" s="548" t="s">
        <v>1364</v>
      </c>
      <c r="R1" s="548"/>
      <c r="AB1" s="548" t="s">
        <v>1356</v>
      </c>
    </row>
    <row r="2" spans="3:46">
      <c r="I2" s="548"/>
      <c r="R2" s="548"/>
    </row>
    <row r="3" spans="3:46">
      <c r="H3" s="2" t="s">
        <v>1482</v>
      </c>
      <c r="I3" s="2"/>
      <c r="J3" s="2"/>
      <c r="K3" s="2"/>
      <c r="P3" s="1149"/>
      <c r="Q3" s="1149"/>
    </row>
    <row r="4" spans="3:46" ht="24" customHeight="1">
      <c r="C4" s="1391" t="s">
        <v>1</v>
      </c>
      <c r="D4" s="1367" t="s">
        <v>1</v>
      </c>
      <c r="E4" s="1391" t="s">
        <v>2</v>
      </c>
      <c r="F4" s="1391" t="s">
        <v>3</v>
      </c>
      <c r="G4" s="1391" t="s">
        <v>1227</v>
      </c>
      <c r="H4" s="1394" t="s">
        <v>218</v>
      </c>
      <c r="I4" s="1394" t="s">
        <v>1226</v>
      </c>
      <c r="J4" s="1394" t="s">
        <v>1363</v>
      </c>
      <c r="K4" s="1394" t="s">
        <v>1225</v>
      </c>
      <c r="L4" s="1394" t="s">
        <v>1224</v>
      </c>
      <c r="M4" s="1394" t="s">
        <v>1223</v>
      </c>
      <c r="N4" s="1394" t="s">
        <v>1222</v>
      </c>
      <c r="O4" s="1394" t="s">
        <v>10</v>
      </c>
      <c r="P4" s="1396" t="s">
        <v>6</v>
      </c>
      <c r="Q4" s="1423" t="s">
        <v>4</v>
      </c>
      <c r="R4" s="1422" t="s">
        <v>7</v>
      </c>
      <c r="S4" s="1422" t="s">
        <v>1221</v>
      </c>
      <c r="T4" s="1394" t="s">
        <v>1219</v>
      </c>
      <c r="U4" s="1394" t="s">
        <v>5</v>
      </c>
      <c r="V4" s="1422" t="s">
        <v>1220</v>
      </c>
      <c r="W4" s="1422" t="s">
        <v>1218</v>
      </c>
      <c r="X4" s="1422" t="s">
        <v>1217</v>
      </c>
      <c r="Y4" s="1391" t="s">
        <v>531</v>
      </c>
      <c r="AB4" s="570" t="s">
        <v>1362</v>
      </c>
      <c r="AC4" s="570" t="s">
        <v>1387</v>
      </c>
      <c r="AD4" s="570" t="s">
        <v>1360</v>
      </c>
      <c r="AE4" s="570" t="s">
        <v>864</v>
      </c>
    </row>
    <row r="5" spans="3:46" ht="31.2" thickBot="1">
      <c r="C5" s="572" t="s">
        <v>1215</v>
      </c>
      <c r="D5" s="20" t="s">
        <v>71</v>
      </c>
      <c r="E5" s="572"/>
      <c r="F5" s="572"/>
      <c r="G5" s="572"/>
      <c r="H5" s="1389" t="s">
        <v>1214</v>
      </c>
      <c r="I5" s="572" t="s">
        <v>1213</v>
      </c>
      <c r="J5" s="572" t="s">
        <v>1213</v>
      </c>
      <c r="K5" s="572" t="s">
        <v>1212</v>
      </c>
      <c r="L5" s="572" t="s">
        <v>1212</v>
      </c>
      <c r="M5" s="572" t="s">
        <v>1002</v>
      </c>
      <c r="N5" s="572" t="s">
        <v>1002</v>
      </c>
      <c r="O5" s="572" t="s">
        <v>14</v>
      </c>
      <c r="P5" s="572" t="s">
        <v>1211</v>
      </c>
      <c r="Q5" s="572" t="s">
        <v>1210</v>
      </c>
      <c r="R5" s="572" t="s">
        <v>1209</v>
      </c>
      <c r="S5" s="572" t="s">
        <v>1207</v>
      </c>
      <c r="T5" s="572" t="s">
        <v>1208</v>
      </c>
      <c r="U5" s="572"/>
      <c r="V5" s="572" t="s">
        <v>1207</v>
      </c>
      <c r="W5" s="572" t="s">
        <v>1207</v>
      </c>
      <c r="X5" s="572" t="s">
        <v>1207</v>
      </c>
      <c r="Y5" s="572" t="s">
        <v>90</v>
      </c>
    </row>
    <row r="6" spans="3:46" ht="24.75" customHeight="1" thickBot="1">
      <c r="C6" s="572" t="s">
        <v>11</v>
      </c>
      <c r="D6" s="572"/>
      <c r="E6" s="1420"/>
      <c r="F6" s="1420"/>
      <c r="G6" s="1420"/>
      <c r="H6" s="1421" t="s">
        <v>1205</v>
      </c>
      <c r="I6" s="1420" t="s">
        <v>1359</v>
      </c>
      <c r="J6" s="1420" t="s">
        <v>1359</v>
      </c>
      <c r="K6" s="1420" t="s">
        <v>1203</v>
      </c>
      <c r="L6" s="1420" t="s">
        <v>1203</v>
      </c>
      <c r="M6" s="1420" t="s">
        <v>1202</v>
      </c>
      <c r="N6" s="1420" t="s">
        <v>1202</v>
      </c>
      <c r="O6" s="1420"/>
      <c r="P6" s="1420" t="s">
        <v>1358</v>
      </c>
      <c r="Q6" s="1420" t="s">
        <v>1200</v>
      </c>
      <c r="R6" s="1420" t="s">
        <v>1200</v>
      </c>
      <c r="S6" s="1420"/>
      <c r="T6" s="1420" t="s">
        <v>1199</v>
      </c>
      <c r="U6" s="1420"/>
      <c r="V6" s="1420"/>
      <c r="W6" s="1420"/>
      <c r="X6" s="1420"/>
      <c r="Y6" s="1429"/>
      <c r="AI6" s="683" t="s">
        <v>1357</v>
      </c>
    </row>
    <row r="7" spans="3:46" ht="13.8" thickBot="1">
      <c r="C7" s="570" t="str">
        <f>"TFS"&amp;LEFT(AD7,1)&amp;AE7&amp;RIGHT(F7,2)&amp;MID(G7,3,1)&amp;"N"</f>
        <v>TFSIFOICLI1N</v>
      </c>
      <c r="E7" s="555" t="s">
        <v>1185</v>
      </c>
      <c r="F7" s="548" t="s">
        <v>1385</v>
      </c>
      <c r="G7" s="548">
        <v>2010</v>
      </c>
      <c r="H7" s="1362" t="s">
        <v>1175</v>
      </c>
      <c r="I7" s="1362">
        <f>INDEX(TRA_Ship_Freight_INT!$AK$10:$AT$13,MATCH($F7,TRA_Ship_Freight_INT!$AJ$10:$AJ$13,0),MATCH(I$1,TRA_Ship_Freight_INT!$AK$8:$AT$8,0))</f>
        <v>24851.199999999997</v>
      </c>
      <c r="J7" s="1362">
        <f t="array" ref="J7">INDEX(TRA_Ship_Freight_INT!$AK$10:$AT$13,MATCH($F7,TRA_Ship_Freight_INT!$AJ$10:$AJ$13,0),MATCH(J$1,TRA_Ship_Freight_INT!$AK$8:$AT$8,0))</f>
        <v>24851.199999999997</v>
      </c>
      <c r="K7" s="1363">
        <f t="array" ref="K7">INDEX(TRA_Ship_Freight_INT!$AK$10:$AT$13,MATCH($F7,TRA_Ship_Freight_INT!$AJ$10:$AJ$13,0),MATCH($G7&amp;K$1,TRA_Ship_Freight_INT!$AK$8:$AT$8,0))*1.852*8760*ShipData!$E$18</f>
        <v>185732.56076912995</v>
      </c>
      <c r="L7" s="1363">
        <f t="array" ref="L7">INDEX(TRA_Ship_Freight_INT!$AK$10:$AT$13,MATCH($F7,TRA_Ship_Freight_INT!$AJ$10:$AJ$13,0),MATCH($G7&amp;L$1,TRA_Ship_Freight_INT!$AK$8:$AT$8,0))*1.852*8760*ShipData!$E$18</f>
        <v>185732.56076912995</v>
      </c>
      <c r="M7" s="1364">
        <f>1/(INDEX(TRA_Ship_Freight_INT!$AK$10:$AT$13,MATCH($F7,TRA_Ship_Freight_INT!$AJ$10:$AJ$13,0),MATCH($G7&amp;M$1,TRA_Ship_Freight_INT!$AK$8:$AT$8,0))/1.852)</f>
        <v>0.49242394053296357</v>
      </c>
      <c r="N7" s="1364">
        <f t="array" ref="N7">1/(INDEX(TRA_Ship_Freight_INT!$AK$10:$AT$13,MATCH($F7,TRA_Ship_Freight_INT!$AJ$10:$AJ$13,0),MATCH($G7&amp;N$1,TRA_Ship_Freight_INT!$AK$8:$AT$8,0))/1.852)</f>
        <v>0.49242394053296357</v>
      </c>
      <c r="O7" s="1362">
        <v>30</v>
      </c>
      <c r="P7" s="1363"/>
      <c r="Q7" s="1363">
        <v>7223.0632100000003</v>
      </c>
      <c r="R7" s="1363">
        <f>(AC7*(ShipData!$Q$19+ShipData!$Q$30)+(K7*0.1*(1/M7)*ShipData!$Q$41))*6.5/1000</f>
        <v>178330.51339815409</v>
      </c>
      <c r="S7" s="1362"/>
      <c r="T7" s="1362">
        <v>1E-3</v>
      </c>
      <c r="U7" s="1368">
        <v>2012</v>
      </c>
      <c r="W7" s="1362"/>
      <c r="Z7" s="1425"/>
      <c r="AB7" s="1366">
        <f t="array" ref="AB7">INDEX(TRA_Ship_Freight_INT!$AK$10:$AT$13,MATCH($F7,TRA_Ship_Freight_INT!$AJ$10:$AJ$13,0),MATCH(AB$1,TRA_Ship_Freight_INT!$AK$8:$AT$8,0))/1000</f>
        <v>45.183999999999997</v>
      </c>
      <c r="AC7" s="570">
        <f>(AB7^ShipData!$X$39)*0.756*ShipData!$W$39</f>
        <v>10515.06704772692</v>
      </c>
      <c r="AD7" s="548" t="s">
        <v>518</v>
      </c>
      <c r="AE7" s="548" t="s">
        <v>1167</v>
      </c>
      <c r="AF7" s="570" t="s">
        <v>1383</v>
      </c>
    </row>
    <row r="8" spans="3:46">
      <c r="C8" s="1248"/>
      <c r="E8" s="1387" t="s">
        <v>1197</v>
      </c>
      <c r="F8" s="1386" t="str">
        <f>F7</f>
        <v>TFSLI</v>
      </c>
      <c r="G8" s="1386">
        <v>2030</v>
      </c>
      <c r="H8" s="1374" t="s">
        <v>1175</v>
      </c>
      <c r="I8" s="1374">
        <f t="array" ref="I8">INDEX(TRA_Ship_Freight_INT!$AK$10:$AT$13,MATCH($F8,TRA_Ship_Freight_INT!$AJ$10:$AJ$13,0),MATCH(I$1,TRA_Ship_Freight_INT!$AK$8:$AT$8,0))</f>
        <v>24851.199999999997</v>
      </c>
      <c r="J8" s="1374">
        <f t="array" ref="J8">INDEX(TRA_Ship_Freight_INT!$AK$10:$AT$13,MATCH($F8,TRA_Ship_Freight_INT!$AJ$10:$AJ$13,0),MATCH(J$1,TRA_Ship_Freight_INT!$AK$8:$AT$8,0))</f>
        <v>24851.199999999997</v>
      </c>
      <c r="K8" s="1375">
        <f t="array" ref="K8">INDEX(TRA_Ship_Freight_INT!$AK$10:$AT$13,MATCH($F8,TRA_Ship_Freight_INT!$AJ$10:$AJ$13,0),MATCH($G8&amp;K$1,TRA_Ship_Freight_INT!$AK$8:$AT$8,0))*1.852*8760*ShipData!$E$18</f>
        <v>167159.30469221697</v>
      </c>
      <c r="L8" s="1375">
        <f t="array" ref="L8">INDEX(TRA_Ship_Freight_INT!$AK$10:$AT$13,MATCH($F8,TRA_Ship_Freight_INT!$AJ$10:$AJ$13,0),MATCH($G8&amp;L$1,TRA_Ship_Freight_INT!$AK$8:$AT$8,0))*1.852*8760*ShipData!$E$18</f>
        <v>167159.30469221697</v>
      </c>
      <c r="M8" s="1376">
        <f t="array" ref="M8">1/(INDEX(TRA_Ship_Freight_INT!$AK$10:$AT$13,MATCH($F8,TRA_Ship_Freight_INT!$AJ$10:$AJ$13,0),MATCH($G8&amp;M$1,TRA_Ship_Freight_INT!$AK$8:$AT$8,0))/1.852)</f>
        <v>0.67616238190178735</v>
      </c>
      <c r="N8" s="1376">
        <f t="array" ref="N8">1/(INDEX(TRA_Ship_Freight_INT!$AK$10:$AT$13,MATCH($F8,TRA_Ship_Freight_INT!$AJ$10:$AJ$13,0),MATCH($G8&amp;N$1,TRA_Ship_Freight_INT!$AK$8:$AT$8,0))/1.852)</f>
        <v>0.67616238190178735</v>
      </c>
      <c r="O8" s="1374">
        <v>30</v>
      </c>
      <c r="P8" s="1375"/>
      <c r="Q8" s="1375">
        <v>7224.0632100000021</v>
      </c>
      <c r="R8" s="1375">
        <f>(AC8*(ShipData!$Q$19+ShipData!$Q$30)+(K8*0.1*(1/M8)*ShipData!$Q$41))*6.5/1000</f>
        <v>176218.62265949772</v>
      </c>
      <c r="S8" s="1374"/>
      <c r="T8" s="1374">
        <v>1E-3</v>
      </c>
      <c r="U8" s="1385"/>
      <c r="V8" s="1149"/>
      <c r="W8" s="1374"/>
      <c r="X8" s="1149"/>
      <c r="Y8" s="1149"/>
      <c r="Z8" s="1425"/>
      <c r="AB8" s="1366">
        <f>INDEX(TRA_Ship_Freight_INT!$AK$10:$AT$13,MATCH($F8,TRA_Ship_Freight_INT!$AJ$10:$AJ$13,0),MATCH(AB$1,TRA_Ship_Freight_INT!$AK$8:$AT$8,0))/1000</f>
        <v>45.183999999999997</v>
      </c>
      <c r="AC8" s="570">
        <f t="array" ref="AC8">(AB8^ShipData!$X$39)*0.756*ShipData!$W$39</f>
        <v>10515.06704772692</v>
      </c>
      <c r="AD8" s="548" t="s">
        <v>518</v>
      </c>
      <c r="AE8" s="548" t="s">
        <v>1167</v>
      </c>
      <c r="AF8" s="570" t="s">
        <v>1383</v>
      </c>
      <c r="AI8" s="1419"/>
      <c r="AJ8" s="1418"/>
      <c r="AK8" s="1383" t="s">
        <v>1356</v>
      </c>
      <c r="AL8" s="1383" t="s">
        <v>1355</v>
      </c>
      <c r="AM8" s="1383" t="s">
        <v>1354</v>
      </c>
      <c r="AN8" s="1383" t="s">
        <v>78</v>
      </c>
      <c r="AO8" s="1383" t="s">
        <v>1353</v>
      </c>
      <c r="AP8" s="1383" t="s">
        <v>1352</v>
      </c>
      <c r="AQ8" s="1383" t="s">
        <v>1351</v>
      </c>
      <c r="AR8" s="1383" t="s">
        <v>1350</v>
      </c>
      <c r="AS8" s="1383" t="s">
        <v>1349</v>
      </c>
      <c r="AT8" s="1417" t="s">
        <v>1348</v>
      </c>
    </row>
    <row r="9" spans="3:46">
      <c r="C9" s="570" t="str">
        <f>"TFS"&amp;LEFT(AD9,1)&amp;AE9&amp;RIGHT(F9,2)&amp;MID(G9,3,1)&amp;"N"</f>
        <v>TFSIFOICDI1N</v>
      </c>
      <c r="E9" s="555" t="s">
        <v>1185</v>
      </c>
      <c r="F9" s="548" t="s">
        <v>1384</v>
      </c>
      <c r="G9" s="548">
        <v>2010</v>
      </c>
      <c r="H9" s="1362" t="s">
        <v>1175</v>
      </c>
      <c r="I9" s="1362">
        <f t="array" ref="I9">INDEX(TRA_Ship_Freight_INT!$AK$10:$AT$13,MATCH($F9,TRA_Ship_Freight_INT!$AJ$10:$AJ$13,0),MATCH(I$1,TRA_Ship_Freight_INT!$AK$8:$AT$8,0))</f>
        <v>31739.303030303032</v>
      </c>
      <c r="J9" s="1362">
        <f t="array" ref="J9">INDEX(TRA_Ship_Freight_INT!$AK$10:$AT$13,MATCH($F9,TRA_Ship_Freight_INT!$AJ$10:$AJ$13,0),MATCH(J$1,TRA_Ship_Freight_INT!$AK$8:$AT$8,0))</f>
        <v>31739.303030303032</v>
      </c>
      <c r="K9" s="1363">
        <f t="array" ref="K9">INDEX(TRA_Ship_Freight_INT!$AK$10:$AT$13,MATCH($F9,TRA_Ship_Freight_INT!$AJ$10:$AJ$13,0),MATCH($G9&amp;K$1,TRA_Ship_Freight_INT!$AK$8:$AT$8,0))*1.852*8760*ShipData!$E$18</f>
        <v>194682.24000000002</v>
      </c>
      <c r="L9" s="1363">
        <f t="array" ref="L9">INDEX(TRA_Ship_Freight_INT!$AK$10:$AT$13,MATCH($F9,TRA_Ship_Freight_INT!$AJ$10:$AJ$13,0),MATCH($G9&amp;L$1,TRA_Ship_Freight_INT!$AK$8:$AT$8,0))*1.852*8760*ShipData!$E$18</f>
        <v>194682.24000000002</v>
      </c>
      <c r="M9" s="1364">
        <f t="array" ref="M9">1/(INDEX(TRA_Ship_Freight_INT!$AK$10:$AT$13,MATCH($F9,TRA_Ship_Freight_INT!$AJ$10:$AJ$13,0),MATCH($G9&amp;M$1,TRA_Ship_Freight_INT!$AK$8:$AT$8,0))/1.852)</f>
        <v>0.40440986117839922</v>
      </c>
      <c r="N9" s="1364">
        <f t="array" ref="N9">1/(INDEX(TRA_Ship_Freight_INT!$AK$10:$AT$13,MATCH($F9,TRA_Ship_Freight_INT!$AJ$10:$AJ$13,0),MATCH($G9&amp;N$1,TRA_Ship_Freight_INT!$AK$8:$AT$8,0))/1.852)</f>
        <v>0.40440986117839922</v>
      </c>
      <c r="O9" s="1362">
        <v>30</v>
      </c>
      <c r="P9" s="1366"/>
      <c r="Q9" s="1363">
        <f>0.035*R9</f>
        <v>7140.827687216065</v>
      </c>
      <c r="R9" s="1363">
        <f>(AC9*(ShipData!$Q$19+ShipData!$Q$30)+(K9*0.1*(1/M9)*ShipData!$Q$41))*6.5/1000</f>
        <v>204023.64820617327</v>
      </c>
      <c r="S9" s="1362"/>
      <c r="T9" s="1362">
        <v>1E-3</v>
      </c>
      <c r="U9" s="1368">
        <v>2012</v>
      </c>
      <c r="W9" s="1362"/>
      <c r="Z9" s="1425"/>
      <c r="AB9" s="1366">
        <f>INDEX(TRA_Ship_Freight_INT!$AK$10:$AT$13,MATCH($F9,TRA_Ship_Freight_INT!$AJ$10:$AJ$13,0),MATCH(AB$1,TRA_Ship_Freight_INT!$AK$8:$AT$8,0))/1000</f>
        <v>61.43090909090909</v>
      </c>
      <c r="AC9" s="570">
        <f t="array" ref="AC9">(AB9^ShipData!$X$38)*ShipData!$W$38*0.746</f>
        <v>11980.545213159254</v>
      </c>
      <c r="AD9" s="548" t="s">
        <v>518</v>
      </c>
      <c r="AE9" s="548" t="s">
        <v>1167</v>
      </c>
      <c r="AF9" s="570" t="s">
        <v>1383</v>
      </c>
      <c r="AI9" s="1415"/>
      <c r="AJ9" s="1414"/>
      <c r="AK9" s="1386" t="s">
        <v>1347</v>
      </c>
      <c r="AL9" s="1386" t="s">
        <v>1347</v>
      </c>
      <c r="AM9" s="1386" t="s">
        <v>26</v>
      </c>
      <c r="AN9" s="1386" t="s">
        <v>1346</v>
      </c>
      <c r="AO9" s="1386" t="s">
        <v>316</v>
      </c>
      <c r="AP9" s="1386" t="s">
        <v>316</v>
      </c>
      <c r="AQ9" s="1386" t="s">
        <v>316</v>
      </c>
      <c r="AR9" s="1386" t="s">
        <v>325</v>
      </c>
      <c r="AS9" s="1386" t="s">
        <v>325</v>
      </c>
      <c r="AT9" s="1413" t="s">
        <v>325</v>
      </c>
    </row>
    <row r="10" spans="3:46">
      <c r="E10" s="1387" t="s">
        <v>1197</v>
      </c>
      <c r="F10" s="1386" t="str">
        <f>F9</f>
        <v>TFSDI</v>
      </c>
      <c r="G10" s="1386">
        <v>2030</v>
      </c>
      <c r="H10" s="1374" t="s">
        <v>1175</v>
      </c>
      <c r="I10" s="1374">
        <f t="array" ref="I10">INDEX(TRA_Ship_Freight_INT!$AK$10:$AT$13,MATCH($F10,TRA_Ship_Freight_INT!$AJ$10:$AJ$13,0),MATCH(I$1,TRA_Ship_Freight_INT!$AK$8:$AT$8,0))</f>
        <v>31739.303030303032</v>
      </c>
      <c r="J10" s="1374">
        <f t="array" ref="J10">INDEX(TRA_Ship_Freight_INT!$AK$10:$AT$13,MATCH($F10,TRA_Ship_Freight_INT!$AJ$10:$AJ$13,0),MATCH(J$1,TRA_Ship_Freight_INT!$AK$8:$AT$8,0))</f>
        <v>31739.303030303032</v>
      </c>
      <c r="K10" s="1375">
        <f t="array" ref="K10">INDEX(TRA_Ship_Freight_INT!$AK$10:$AT$13,MATCH($F10,TRA_Ship_Freight_INT!$AJ$10:$AJ$13,0),MATCH($G10&amp;K$1,TRA_Ship_Freight_INT!$AK$8:$AT$8,0))*1.852*8760*ShipData!$E$18</f>
        <v>166453.31520000004</v>
      </c>
      <c r="L10" s="1375">
        <f t="array" ref="L10">INDEX(TRA_Ship_Freight_INT!$AK$10:$AT$13,MATCH($F10,TRA_Ship_Freight_INT!$AJ$10:$AJ$13,0),MATCH($G10&amp;L$1,TRA_Ship_Freight_INT!$AK$8:$AT$8,0))*1.852*8760*ShipData!$E$18</f>
        <v>166453.31520000004</v>
      </c>
      <c r="M10" s="1376">
        <f t="array" ref="M10">1/(INDEX(TRA_Ship_Freight_INT!$AK$10:$AT$13,MATCH($F10,TRA_Ship_Freight_INT!$AJ$10:$AJ$13,0),MATCH($G10&amp;M$1,TRA_Ship_Freight_INT!$AK$8:$AT$8,0))/1.852)</f>
        <v>0.67094968292886403</v>
      </c>
      <c r="N10" s="1376">
        <f t="array" ref="N10">1/(INDEX(TRA_Ship_Freight_INT!$AK$10:$AT$13,MATCH($F10,TRA_Ship_Freight_INT!$AJ$10:$AJ$13,0),MATCH($G10&amp;N$1,TRA_Ship_Freight_INT!$AK$8:$AT$8,0))/1.852)</f>
        <v>0.67094968292886403</v>
      </c>
      <c r="O10" s="1374">
        <v>30</v>
      </c>
      <c r="P10" s="1398"/>
      <c r="Q10" s="1375">
        <v>6844.1214240000018</v>
      </c>
      <c r="R10" s="1375">
        <f>(AC10*(ShipData!$Q$19+ShipData!$Q$30)+(K10*0.1*(1/M10)*ShipData!$Q$41))*6.5/1000</f>
        <v>200232.32474653667</v>
      </c>
      <c r="S10" s="1374"/>
      <c r="T10" s="1374">
        <v>1E-3</v>
      </c>
      <c r="U10" s="1385"/>
      <c r="V10" s="1149"/>
      <c r="W10" s="1374"/>
      <c r="X10" s="1149"/>
      <c r="Y10" s="1149"/>
      <c r="Z10" s="1425"/>
      <c r="AB10" s="1366">
        <f>INDEX(TRA_Ship_Freight_INT!$AK$10:$AT$13,MATCH($F10,TRA_Ship_Freight_INT!$AJ$10:$AJ$13,0),MATCH(AB$1,TRA_Ship_Freight_INT!$AK$8:$AT$8,0))/1000</f>
        <v>61.43090909090909</v>
      </c>
      <c r="AC10" s="570">
        <f t="array" ref="AC10">(AB10^ShipData!$X$38)*ShipData!$W$38*0.746</f>
        <v>11980.545213159254</v>
      </c>
      <c r="AD10" s="548" t="s">
        <v>518</v>
      </c>
      <c r="AE10" s="548" t="s">
        <v>1167</v>
      </c>
      <c r="AF10" s="570" t="s">
        <v>1383</v>
      </c>
      <c r="AI10" s="1411" t="s">
        <v>1345</v>
      </c>
      <c r="AJ10" s="1412" t="s">
        <v>1385</v>
      </c>
      <c r="AK10" s="549">
        <f>ShipData!F41</f>
        <v>45184</v>
      </c>
      <c r="AL10" s="549">
        <f>AK10*AM10</f>
        <v>24851.199999999997</v>
      </c>
      <c r="AM10" s="570">
        <f>AVERAGE(ShipData!E60:E62)</f>
        <v>0.54999999999999993</v>
      </c>
      <c r="AN10" s="549">
        <f>ShipData!G41/1000</f>
        <v>50131.758829999999</v>
      </c>
      <c r="AO10" s="541">
        <f>ShipData!P54</f>
        <v>3.7609869211385849</v>
      </c>
      <c r="AP10" s="541">
        <f>ShipData!Q54</f>
        <v>3.035893517863149</v>
      </c>
      <c r="AQ10" s="541">
        <f>ShipData!R54</f>
        <v>2.7389870385735291</v>
      </c>
      <c r="AR10" s="541">
        <f>ShipData!P62</f>
        <v>14.310439470682837</v>
      </c>
      <c r="AS10" s="541">
        <f>ShipData!Q62</f>
        <v>13.594917497148694</v>
      </c>
      <c r="AT10" s="1409">
        <f>ShipData!R62</f>
        <v>12.879395523614553</v>
      </c>
    </row>
    <row r="11" spans="3:46">
      <c r="C11" s="570" t="str">
        <f>"TFS"&amp;LEFT(AD11,1)&amp;AE11&amp;RIGHT(F11,2)&amp;MID(G11,3,1)&amp;"N"</f>
        <v>TFSIFOICCI1N</v>
      </c>
      <c r="E11" s="555" t="s">
        <v>1185</v>
      </c>
      <c r="F11" s="548" t="s">
        <v>1382</v>
      </c>
      <c r="G11" s="548">
        <v>2010</v>
      </c>
      <c r="H11" s="1362" t="s">
        <v>1175</v>
      </c>
      <c r="I11" s="1362">
        <f t="array" ref="I11">INDEX(TRA_Ship_Freight_INT!$AK$10:$AT$13,MATCH($F11,TRA_Ship_Freight_INT!$AJ$10:$AJ$13,0),MATCH(I$1,TRA_Ship_Freight_INT!$AK$8:$AT$8,0))</f>
        <v>18571.699999999997</v>
      </c>
      <c r="J11" s="1362">
        <f t="array" ref="J11">INDEX(TRA_Ship_Freight_INT!$AK$10:$AT$13,MATCH($F11,TRA_Ship_Freight_INT!$AJ$10:$AJ$13,0),MATCH(J$1,TRA_Ship_Freight_INT!$AK$8:$AT$8,0))</f>
        <v>18571.699999999997</v>
      </c>
      <c r="K11" s="1363">
        <f t="array" ref="K11">INDEX(TRA_Ship_Freight_INT!$AK$10:$AT$13,MATCH($F11,TRA_Ship_Freight_INT!$AJ$10:$AJ$13,0),MATCH($G11&amp;K$1,TRA_Ship_Freight_INT!$AK$8:$AT$8,0))*1.852*8760*ShipData!$E$18</f>
        <v>282191.26273831638</v>
      </c>
      <c r="L11" s="1363">
        <f t="array" ref="L11">INDEX(TRA_Ship_Freight_INT!$AK$10:$AT$13,MATCH($F11,TRA_Ship_Freight_INT!$AJ$10:$AJ$13,0),MATCH($G11&amp;L$1,TRA_Ship_Freight_INT!$AK$8:$AT$8,0))*1.852*8760*ShipData!$E$18</f>
        <v>282191.26273831638</v>
      </c>
      <c r="M11" s="1364">
        <f t="array" ref="M11">1/(INDEX(TRA_Ship_Freight_INT!$AK$10:$AT$13,MATCH($F11,TRA_Ship_Freight_INT!$AJ$10:$AJ$13,0),MATCH($G11&amp;M$1,TRA_Ship_Freight_INT!$AK$8:$AT$8,0))/1.852)</f>
        <v>0.26216904939249813</v>
      </c>
      <c r="N11" s="1364">
        <f t="array" ref="N11">1/(INDEX(TRA_Ship_Freight_INT!$AK$10:$AT$13,MATCH($F11,TRA_Ship_Freight_INT!$AJ$10:$AJ$13,0),MATCH($G11&amp;N$1,TRA_Ship_Freight_INT!$AK$8:$AT$8,0))/1.852)</f>
        <v>0.26216904939249813</v>
      </c>
      <c r="O11" s="1362">
        <v>30</v>
      </c>
      <c r="P11" s="1366"/>
      <c r="Q11" s="1363">
        <f>0.035*R11</f>
        <v>12208.376337023847</v>
      </c>
      <c r="R11" s="1363">
        <f>(AC11*(ShipData!$R$19+ShipData!$R$30)+(K11*0.1*(1/M11)*ShipData!$R$41))*6.5/1000</f>
        <v>348810.75248639559</v>
      </c>
      <c r="S11" s="1362"/>
      <c r="T11" s="1362">
        <v>1E-3</v>
      </c>
      <c r="U11" s="1368">
        <v>2012</v>
      </c>
      <c r="W11" s="1362"/>
      <c r="Z11" s="1425"/>
      <c r="AB11" s="1366">
        <f>INDEX(TRA_Ship_Freight_INT!$AK$10:$AT$13,MATCH($F11,TRA_Ship_Freight_INT!$AJ$10:$AJ$13,0),MATCH(AB$1,TRA_Ship_Freight_INT!$AK$8:$AT$8,0))/1000</f>
        <v>26.530999999999999</v>
      </c>
      <c r="AC11" s="570">
        <f>(AB11^ShipData!$X$36)*ShipData!$W$36*0.746</f>
        <v>25382.523802637832</v>
      </c>
      <c r="AD11" s="548" t="s">
        <v>518</v>
      </c>
      <c r="AE11" s="548" t="s">
        <v>1167</v>
      </c>
      <c r="AF11" s="570" t="s">
        <v>1335</v>
      </c>
      <c r="AI11" s="1411" t="s">
        <v>1344</v>
      </c>
      <c r="AJ11" s="1410" t="s">
        <v>1384</v>
      </c>
      <c r="AK11" s="549">
        <f>ShipData!F42</f>
        <v>61430.909090909088</v>
      </c>
      <c r="AL11" s="549">
        <f>AK11*AM11</f>
        <v>31739.303030303032</v>
      </c>
      <c r="AM11" s="570">
        <f>AVERAGE(ShipData!E54:E59)</f>
        <v>0.51666666666666672</v>
      </c>
      <c r="AN11" s="549">
        <f>ShipData!G42/1000</f>
        <v>68611.997780000005</v>
      </c>
      <c r="AO11" s="541">
        <f>ShipData!P55</f>
        <v>4.5795124644179204</v>
      </c>
      <c r="AP11" s="541">
        <f>ShipData!Q55</f>
        <v>3.521487151522388</v>
      </c>
      <c r="AQ11" s="541">
        <f>ShipData!R55</f>
        <v>2.760266599896962</v>
      </c>
      <c r="AR11" s="541">
        <f>ShipData!P63</f>
        <v>15</v>
      </c>
      <c r="AS11" s="541">
        <f>ShipData!Q63</f>
        <v>14.25</v>
      </c>
      <c r="AT11" s="1409">
        <f>ShipData!R63</f>
        <v>12.825000000000001</v>
      </c>
    </row>
    <row r="12" spans="3:46">
      <c r="E12" s="1387" t="s">
        <v>1197</v>
      </c>
      <c r="F12" s="1386" t="str">
        <f>F11</f>
        <v>TFSCI</v>
      </c>
      <c r="G12" s="1386">
        <v>2030</v>
      </c>
      <c r="H12" s="1374" t="s">
        <v>1175</v>
      </c>
      <c r="I12" s="1374">
        <f t="array" ref="I12">INDEX(TRA_Ship_Freight_INT!$AK$10:$AT$13,MATCH($F12,TRA_Ship_Freight_INT!$AJ$10:$AJ$13,0),MATCH(I$1,TRA_Ship_Freight_INT!$AK$8:$AT$8,0))</f>
        <v>18571.699999999997</v>
      </c>
      <c r="J12" s="1374">
        <f t="array" ref="J12">INDEX(TRA_Ship_Freight_INT!$AK$10:$AT$13,MATCH($F12,TRA_Ship_Freight_INT!$AJ$10:$AJ$13,0),MATCH(J$1,TRA_Ship_Freight_INT!$AK$8:$AT$8,0))</f>
        <v>18571.699999999997</v>
      </c>
      <c r="K12" s="1375">
        <f t="array" ref="K12">INDEX(TRA_Ship_Freight_INT!$AK$10:$AT$13,MATCH($F12,TRA_Ship_Freight_INT!$AJ$10:$AJ$13,0),MATCH($G12&amp;K$1,TRA_Ship_Freight_INT!$AK$8:$AT$8,0))*1.852*8760*ShipData!$E$18</f>
        <v>240108.09600000002</v>
      </c>
      <c r="L12" s="1375">
        <f t="array" ref="L12">INDEX(TRA_Ship_Freight_INT!$AK$10:$AT$13,MATCH($F12,TRA_Ship_Freight_INT!$AJ$10:$AJ$13,0),MATCH($G12&amp;L$1,TRA_Ship_Freight_INT!$AK$8:$AT$8,0))*1.852*8760*ShipData!$E$18</f>
        <v>240108.09600000002</v>
      </c>
      <c r="M12" s="1376">
        <f t="array" ref="M12">1/(INDEX(TRA_Ship_Freight_INT!$AK$10:$AT$13,MATCH($F12,TRA_Ship_Freight_INT!$AJ$10:$AJ$13,0),MATCH($G12&amp;M$1,TRA_Ship_Freight_INT!$AK$8:$AT$8,0))/1.852)</f>
        <v>0.35855970078637039</v>
      </c>
      <c r="N12" s="1376">
        <f t="array" ref="N12">1/(INDEX(TRA_Ship_Freight_INT!$AK$10:$AT$13,MATCH($F12,TRA_Ship_Freight_INT!$AJ$10:$AJ$13,0),MATCH($G12&amp;N$1,TRA_Ship_Freight_INT!$AK$8:$AT$8,0))/1.852)</f>
        <v>0.35855970078637039</v>
      </c>
      <c r="O12" s="1374">
        <v>30</v>
      </c>
      <c r="P12" s="1398"/>
      <c r="Q12" s="1375">
        <v>14546.555100000003</v>
      </c>
      <c r="R12" s="1375">
        <f>(AC12*(ShipData!$R$19+ShipData!$R$30)+(K12*0.1*(1/M12)*ShipData!$R$41))*6.5/1000</f>
        <v>342201.46618973487</v>
      </c>
      <c r="S12" s="1374"/>
      <c r="T12" s="1374">
        <v>1E-3</v>
      </c>
      <c r="U12" s="1385"/>
      <c r="V12" s="1149"/>
      <c r="W12" s="1374"/>
      <c r="X12" s="1149"/>
      <c r="Y12" s="1149"/>
      <c r="Z12" s="1425"/>
      <c r="AB12" s="1366">
        <f>INDEX(TRA_Ship_Freight_INT!$AK$10:$AT$13,MATCH($F12,TRA_Ship_Freight_INT!$AJ$10:$AJ$13,0),MATCH(AB$1,TRA_Ship_Freight_INT!$AK$8:$AT$8,0))/1000</f>
        <v>26.530999999999999</v>
      </c>
      <c r="AC12" s="570">
        <f>(AB12^ShipData!$X$36)*ShipData!$W$36*0.746</f>
        <v>25382.523802637832</v>
      </c>
      <c r="AD12" s="548" t="s">
        <v>518</v>
      </c>
      <c r="AE12" s="548" t="s">
        <v>1167</v>
      </c>
      <c r="AF12" s="570" t="s">
        <v>1335</v>
      </c>
      <c r="AI12" s="1411" t="s">
        <v>1343</v>
      </c>
      <c r="AJ12" s="1410" t="s">
        <v>1382</v>
      </c>
      <c r="AK12" s="549">
        <f>ShipData!F43</f>
        <v>26531</v>
      </c>
      <c r="AL12" s="549">
        <f>AK12*AM12</f>
        <v>18571.699999999997</v>
      </c>
      <c r="AM12" s="570">
        <f>ShipData!E65</f>
        <v>0.7</v>
      </c>
      <c r="AN12" s="549">
        <f>ShipData!G43/1000</f>
        <v>20996.695339999998</v>
      </c>
      <c r="AO12" s="541">
        <f>ShipData!P56</f>
        <v>7.0641443156294805</v>
      </c>
      <c r="AP12" s="541">
        <f>ShipData!Q56</f>
        <v>5.1651091741160853</v>
      </c>
      <c r="AQ12" s="541">
        <f>ShipData!R56</f>
        <v>5.1651091741160853</v>
      </c>
      <c r="AR12" s="541">
        <f>ShipData!P64</f>
        <v>21.74245036976534</v>
      </c>
      <c r="AS12" s="541">
        <f>ShipData!Q64</f>
        <v>18.5</v>
      </c>
      <c r="AT12" s="1409">
        <f>ShipData!R64</f>
        <v>18.5</v>
      </c>
    </row>
    <row r="13" spans="3:46" ht="13.8" thickBot="1">
      <c r="C13" s="570" t="str">
        <f>"TFS"&amp;LEFT(AD13,1)&amp;AE13&amp;RIGHT(F13,2)&amp;MID(G13,3,1)&amp;"N"</f>
        <v>TFSIFOICRI1N</v>
      </c>
      <c r="E13" s="555" t="s">
        <v>1185</v>
      </c>
      <c r="F13" s="548" t="s">
        <v>1168</v>
      </c>
      <c r="G13" s="548">
        <v>2010</v>
      </c>
      <c r="H13" s="1362" t="s">
        <v>1175</v>
      </c>
      <c r="I13" s="1362">
        <f t="array" ref="I13">INDEX(TRA_Ship_Freight_INT!$AK$10:$AT$13,MATCH($F13,TRA_Ship_Freight_INT!$AJ$10:$AJ$13,0),MATCH(I$1,TRA_Ship_Freight_INT!$AK$8:$AT$8,0))</f>
        <v>8457.6944444444453</v>
      </c>
      <c r="J13" s="1362">
        <f t="array" ref="J13">INDEX(TRA_Ship_Freight_INT!$AK$10:$AT$13,MATCH($F13,TRA_Ship_Freight_INT!$AJ$10:$AJ$13,0),MATCH(J$1,TRA_Ship_Freight_INT!$AK$8:$AT$8,0))</f>
        <v>8457.6944444444453</v>
      </c>
      <c r="K13" s="1363">
        <f t="array" ref="K13">INDEX(TRA_Ship_Freight_INT!$AK$10:$AT$13,MATCH($F13,TRA_Ship_Freight_INT!$AJ$10:$AJ$13,0),MATCH($G13&amp;K$1,TRA_Ship_Freight_INT!$AK$8:$AT$8,0))*1.852*8760*ShipData!$E$18</f>
        <v>282191.26273831638</v>
      </c>
      <c r="L13" s="1363">
        <f t="array" ref="L13">INDEX(TRA_Ship_Freight_INT!$AK$10:$AT$13,MATCH($F13,TRA_Ship_Freight_INT!$AJ$10:$AJ$13,0),MATCH($G13&amp;L$1,TRA_Ship_Freight_INT!$AK$8:$AT$8,0))*1.852*8760*ShipData!$E$18</f>
        <v>282191.26273831638</v>
      </c>
      <c r="M13" s="1364">
        <f t="array" ref="M13">1/(INDEX(TRA_Ship_Freight_INT!$AK$10:$AT$13,MATCH($F13,TRA_Ship_Freight_INT!$AJ$10:$AJ$13,0),MATCH($G13&amp;M$1,TRA_Ship_Freight_INT!$AK$8:$AT$8,0))/1.852)</f>
        <v>0.26216904939249813</v>
      </c>
      <c r="N13" s="1364">
        <f t="array" ref="N13">1/(INDEX(TRA_Ship_Freight_INT!$AK$10:$AT$13,MATCH($F13,TRA_Ship_Freight_INT!$AJ$10:$AJ$13,0),MATCH($G13&amp;N$1,TRA_Ship_Freight_INT!$AK$8:$AT$8,0))/1.852)</f>
        <v>0.26216904939249813</v>
      </c>
      <c r="O13" s="1362">
        <v>30</v>
      </c>
      <c r="P13" s="1366"/>
      <c r="Q13" s="1363">
        <f>0.035*R13</f>
        <v>7299.0813778863157</v>
      </c>
      <c r="R13" s="1363">
        <f>(AC13*(ShipData!$Q$19+ShipData!$Q$30)+(K13*0.1*(1/M13)*ShipData!$Q$41))*6.5/1000</f>
        <v>208545.18222532328</v>
      </c>
      <c r="S13" s="1362"/>
      <c r="T13" s="1362">
        <v>1E-3</v>
      </c>
      <c r="U13" s="1368">
        <v>2012</v>
      </c>
      <c r="W13" s="1362"/>
      <c r="Z13" s="1425"/>
      <c r="AB13" s="1366">
        <f>INDEX(TRA_Ship_Freight_INT!$AK$10:$AT$13,MATCH($F13,TRA_Ship_Freight_INT!$AJ$10:$AJ$13,0),MATCH(AB$1,TRA_Ship_Freight_INT!$AK$8:$AT$8,0))/1000</f>
        <v>12.082420634920636</v>
      </c>
      <c r="AC13" s="570">
        <f t="array" ref="AC13">(AB13^ShipData!$X$37)*ShipData!$W$37*0.746</f>
        <v>11666.269406201467</v>
      </c>
      <c r="AD13" s="548" t="s">
        <v>518</v>
      </c>
      <c r="AE13" s="548" t="s">
        <v>1167</v>
      </c>
      <c r="AF13" s="570" t="s">
        <v>1335</v>
      </c>
      <c r="AG13" s="548"/>
      <c r="AI13" s="1408" t="s">
        <v>1342</v>
      </c>
      <c r="AJ13" s="984" t="s">
        <v>1168</v>
      </c>
      <c r="AK13" s="1405">
        <f>AVERAGE(ShipData!F44:F46)</f>
        <v>12082.420634920636</v>
      </c>
      <c r="AL13" s="1405">
        <f>AK13*AM13</f>
        <v>8457.6944444444453</v>
      </c>
      <c r="AM13" s="1261">
        <f>ShipData!E67</f>
        <v>0.7</v>
      </c>
      <c r="AN13" s="1405">
        <f>SUM(ShipData!G44:G46)/1000</f>
        <v>12766.51197</v>
      </c>
      <c r="AO13" s="1263">
        <f>ShipData!P57</f>
        <v>7.0641443156294805</v>
      </c>
      <c r="AP13" s="1263">
        <f>ShipData!Q57</f>
        <v>5.1651091741160853</v>
      </c>
      <c r="AQ13" s="1263">
        <f>ShipData!R57</f>
        <v>5.1651091741160853</v>
      </c>
      <c r="AR13" s="1263">
        <f>ShipData!P65</f>
        <v>21.74245036976534</v>
      </c>
      <c r="AS13" s="1263">
        <f>ShipData!Q65</f>
        <v>18.5</v>
      </c>
      <c r="AT13" s="1404">
        <f>ShipData!R65</f>
        <v>18.5</v>
      </c>
    </row>
    <row r="14" spans="3:46">
      <c r="E14" s="1387" t="s">
        <v>1197</v>
      </c>
      <c r="F14" s="1386" t="str">
        <f>F13</f>
        <v>TFSRI</v>
      </c>
      <c r="G14" s="1386">
        <v>2030</v>
      </c>
      <c r="H14" s="1374" t="s">
        <v>1175</v>
      </c>
      <c r="I14" s="1374">
        <f t="array" ref="I14">INDEX(TRA_Ship_Freight_INT!$AK$10:$AT$13,MATCH($F14,TRA_Ship_Freight_INT!$AJ$10:$AJ$13,0),MATCH(I$1,TRA_Ship_Freight_INT!$AK$8:$AT$8,0))</f>
        <v>8457.6944444444453</v>
      </c>
      <c r="J14" s="1374">
        <f t="array" ref="J14">INDEX(TRA_Ship_Freight_INT!$AK$10:$AT$13,MATCH($F14,TRA_Ship_Freight_INT!$AJ$10:$AJ$13,0),MATCH(J$1,TRA_Ship_Freight_INT!$AK$8:$AT$8,0))</f>
        <v>8457.6944444444453</v>
      </c>
      <c r="K14" s="1375">
        <f t="array" ref="K14">INDEX(TRA_Ship_Freight_INT!$AK$10:$AT$13,MATCH($F14,TRA_Ship_Freight_INT!$AJ$10:$AJ$13,0),MATCH($G14&amp;K$1,TRA_Ship_Freight_INT!$AK$8:$AT$8,0))*1.852*8760*ShipData!$E$18</f>
        <v>240108.09600000002</v>
      </c>
      <c r="L14" s="1375">
        <f t="array" ref="L14">INDEX(TRA_Ship_Freight_INT!$AK$10:$AT$13,MATCH($F14,TRA_Ship_Freight_INT!$AJ$10:$AJ$13,0),MATCH($G14&amp;L$1,TRA_Ship_Freight_INT!$AK$8:$AT$8,0))*1.852*8760*ShipData!$E$18</f>
        <v>240108.09600000002</v>
      </c>
      <c r="M14" s="1376">
        <f t="array" ref="M14">1/(INDEX(TRA_Ship_Freight_INT!$AK$10:$AT$13,MATCH($F14,TRA_Ship_Freight_INT!$AJ$10:$AJ$13,0),MATCH($G14&amp;M$1,TRA_Ship_Freight_INT!$AK$8:$AT$8,0))/1.852)</f>
        <v>0.35855970078637039</v>
      </c>
      <c r="N14" s="1376">
        <f t="array" ref="N14">1/(INDEX(TRA_Ship_Freight_INT!$AK$10:$AT$13,MATCH($F14,TRA_Ship_Freight_INT!$AJ$10:$AJ$13,0),MATCH($G14&amp;N$1,TRA_Ship_Freight_INT!$AK$8:$AT$8,0))/1.852)</f>
        <v>0.35855970078637039</v>
      </c>
      <c r="O14" s="1374">
        <v>30</v>
      </c>
      <c r="P14" s="1398"/>
      <c r="Q14" s="1375">
        <v>6973.3533240000024</v>
      </c>
      <c r="R14" s="1375">
        <f>(AC14*(ShipData!$Q$19+ShipData!$Q$30)+(K14*0.1*(1/M14)*ShipData!$Q$41))*6.5/1000</f>
        <v>201935.89592866259</v>
      </c>
      <c r="S14" s="1374"/>
      <c r="T14" s="1374">
        <v>1E-3</v>
      </c>
      <c r="U14" s="1385"/>
      <c r="V14" s="1149"/>
      <c r="W14" s="1374"/>
      <c r="X14" s="1149"/>
      <c r="Y14" s="1149"/>
      <c r="Z14" s="1425"/>
      <c r="AB14" s="1366">
        <f>INDEX(TRA_Ship_Freight_INT!$AK$10:$AT$13,MATCH($F14,TRA_Ship_Freight_INT!$AJ$10:$AJ$13,0),MATCH(AB$1,TRA_Ship_Freight_INT!$AK$8:$AT$8,0))/1000</f>
        <v>12.082420634920636</v>
      </c>
      <c r="AC14" s="570">
        <f>(AB14^ShipData!$X$37)*ShipData!$W$37*0.746</f>
        <v>11666.269406201467</v>
      </c>
      <c r="AD14" s="548" t="s">
        <v>518</v>
      </c>
      <c r="AE14" s="548" t="s">
        <v>1167</v>
      </c>
      <c r="AF14" s="570" t="s">
        <v>1335</v>
      </c>
      <c r="AG14" s="548"/>
    </row>
    <row r="15" spans="3:46">
      <c r="C15" s="570" t="str">
        <f t="shared" ref="C15:C30" si="0">"TFS"&amp;LEFT(AD15,1)&amp;AE15&amp;RIGHT(F15,2)&amp;MID(G15,3,1)&amp;"N"</f>
        <v>TFSIFOICLI1N</v>
      </c>
      <c r="E15" s="555" t="s">
        <v>486</v>
      </c>
      <c r="F15" s="548" t="s">
        <v>1385</v>
      </c>
      <c r="G15" s="548">
        <v>2010</v>
      </c>
      <c r="H15" s="1362" t="s">
        <v>1175</v>
      </c>
      <c r="I15" s="1362">
        <f t="array" ref="I15">INDEX(TRA_Ship_Freight_INT!$AK$10:$AT$13,MATCH($F15,TRA_Ship_Freight_INT!$AJ$10:$AJ$13,0),MATCH(I$1,TRA_Ship_Freight_INT!$AK$8:$AT$8,0))</f>
        <v>24851.199999999997</v>
      </c>
      <c r="J15" s="1362">
        <f t="array" ref="J15">INDEX(TRA_Ship_Freight_INT!$AK$10:$AT$13,MATCH($F15,TRA_Ship_Freight_INT!$AJ$10:$AJ$13,0),MATCH(J$1,TRA_Ship_Freight_INT!$AK$8:$AT$8,0))</f>
        <v>24851.199999999997</v>
      </c>
      <c r="K15" s="1363">
        <f t="array" ref="K15">INDEX(TRA_Ship_Freight_INT!$AK$10:$AT$13,MATCH($F15,TRA_Ship_Freight_INT!$AJ$10:$AJ$13,0),MATCH($G15&amp;K$1,TRA_Ship_Freight_INT!$AK$8:$AT$8,0))*1.852*8760*ShipData!$E$18</f>
        <v>185732.56076912995</v>
      </c>
      <c r="L15" s="1363">
        <f t="array" ref="L15">INDEX(TRA_Ship_Freight_INT!$AK$10:$AT$13,MATCH($F15,TRA_Ship_Freight_INT!$AJ$10:$AJ$13,0),MATCH($G15&amp;L$1,TRA_Ship_Freight_INT!$AK$8:$AT$8,0))*1.852*8760*ShipData!$E$18</f>
        <v>185732.56076912995</v>
      </c>
      <c r="M15" s="1364">
        <f t="array" ref="M15">1/(INDEX(TRA_Ship_Freight_INT!$AK$10:$AT$13,MATCH($F15,TRA_Ship_Freight_INT!$AJ$10:$AJ$13,0),MATCH($G15&amp;M$1,TRA_Ship_Freight_INT!$AK$8:$AT$8,0))/1.852)</f>
        <v>0.49242394053296357</v>
      </c>
      <c r="N15" s="1364">
        <f t="array" ref="N15">1/(INDEX(TRA_Ship_Freight_INT!$AK$10:$AT$13,MATCH($F15,TRA_Ship_Freight_INT!$AJ$10:$AJ$13,0),MATCH($G15&amp;N$1,TRA_Ship_Freight_INT!$AK$8:$AT$8,0))/1.852)</f>
        <v>0.49242394053296357</v>
      </c>
      <c r="O15" s="1362">
        <v>30</v>
      </c>
      <c r="P15" s="1366"/>
      <c r="Q15" s="1363">
        <f t="shared" ref="Q15:Q30" si="1">0.035*R15</f>
        <v>6241.5679689353938</v>
      </c>
      <c r="R15" s="1363">
        <f>(AC15*(ShipData!$Q$19+ShipData!$Q$30)+(K15*0.1*(1/M15)*ShipData!$Q$41))*6.5/1000</f>
        <v>178330.51339815409</v>
      </c>
      <c r="S15" s="1362"/>
      <c r="T15" s="1362">
        <v>1E-3</v>
      </c>
      <c r="U15" s="1368">
        <v>2012</v>
      </c>
      <c r="W15" s="1362"/>
      <c r="Z15" s="1425"/>
      <c r="AB15" s="1366">
        <f>INDEX(TRA_Ship_Freight_INT!$AK$10:$AT$13,MATCH($F15,TRA_Ship_Freight_INT!$AJ$10:$AJ$13,0),MATCH(AB$1,TRA_Ship_Freight_INT!$AK$8:$AT$8,0))/1000</f>
        <v>45.183999999999997</v>
      </c>
      <c r="AC15" s="570">
        <f>(AB15^ShipData!$X$39)*0.756*ShipData!$W$39</f>
        <v>10515.06704772692</v>
      </c>
      <c r="AD15" s="548" t="s">
        <v>518</v>
      </c>
      <c r="AE15" s="548" t="s">
        <v>1167</v>
      </c>
      <c r="AF15" s="570" t="s">
        <v>1383</v>
      </c>
      <c r="AG15" s="548"/>
    </row>
    <row r="16" spans="3:46">
      <c r="C16" s="570" t="str">
        <f t="shared" si="0"/>
        <v>TFSIFOICDI1N</v>
      </c>
      <c r="D16" s="1149"/>
      <c r="E16" s="555" t="s">
        <v>486</v>
      </c>
      <c r="F16" s="548" t="s">
        <v>1384</v>
      </c>
      <c r="G16" s="548">
        <v>2010</v>
      </c>
      <c r="H16" s="1362" t="s">
        <v>1175</v>
      </c>
      <c r="I16" s="1362">
        <f t="array" ref="I16">INDEX(TRA_Ship_Freight_INT!$AK$10:$AT$13,MATCH($F16,TRA_Ship_Freight_INT!$AJ$10:$AJ$13,0),MATCH(I$1,TRA_Ship_Freight_INT!$AK$8:$AT$8,0))</f>
        <v>31739.303030303032</v>
      </c>
      <c r="J16" s="1362">
        <f t="array" ref="J16">INDEX(TRA_Ship_Freight_INT!$AK$10:$AT$13,MATCH($F16,TRA_Ship_Freight_INT!$AJ$10:$AJ$13,0),MATCH(J$1,TRA_Ship_Freight_INT!$AK$8:$AT$8,0))</f>
        <v>31739.303030303032</v>
      </c>
      <c r="K16" s="1363">
        <f>INDEX(TRA_Ship_Freight_INT!$AK$10:$AT$13,MATCH($F16,TRA_Ship_Freight_INT!$AJ$10:$AJ$13,0),MATCH($G16&amp;K$1,TRA_Ship_Freight_INT!$AK$8:$AT$8,0))*1.852*8760*ShipData!$E$18</f>
        <v>194682.24000000002</v>
      </c>
      <c r="L16" s="1363">
        <f t="array" ref="L16">INDEX(TRA_Ship_Freight_INT!$AK$10:$AT$13,MATCH($F16,TRA_Ship_Freight_INT!$AJ$10:$AJ$13,0),MATCH($G16&amp;L$1,TRA_Ship_Freight_INT!$AK$8:$AT$8,0))*1.852*8760*ShipData!$E$18</f>
        <v>194682.24000000002</v>
      </c>
      <c r="M16" s="1364">
        <f t="array" ref="M16">1/(INDEX(TRA_Ship_Freight_INT!$AK$10:$AT$13,MATCH($F16,TRA_Ship_Freight_INT!$AJ$10:$AJ$13,0),MATCH($G16&amp;M$1,TRA_Ship_Freight_INT!$AK$8:$AT$8,0))/1.852)</f>
        <v>0.40440986117839922</v>
      </c>
      <c r="N16" s="1364">
        <f t="array" ref="N16">1/(INDEX(TRA_Ship_Freight_INT!$AK$10:$AT$13,MATCH($F16,TRA_Ship_Freight_INT!$AJ$10:$AJ$13,0),MATCH($G16&amp;N$1,TRA_Ship_Freight_INT!$AK$8:$AT$8,0))/1.852)</f>
        <v>0.40440986117839922</v>
      </c>
      <c r="O16" s="1362">
        <v>30</v>
      </c>
      <c r="P16" s="1366"/>
      <c r="Q16" s="1363">
        <f t="shared" si="1"/>
        <v>7140.827687216065</v>
      </c>
      <c r="R16" s="1363">
        <f>(AC16*(ShipData!$Q$19+ShipData!$Q$30)+(K16*0.1*(1/M16)*ShipData!$Q$41))*6.5/1000</f>
        <v>204023.64820617327</v>
      </c>
      <c r="S16" s="1362"/>
      <c r="T16" s="1362">
        <v>1E-3</v>
      </c>
      <c r="U16" s="1368">
        <v>2012</v>
      </c>
      <c r="W16" s="1362"/>
      <c r="Z16" s="1425"/>
      <c r="AB16" s="1366">
        <f>INDEX(TRA_Ship_Freight_INT!$AK$10:$AT$13,MATCH($F16,TRA_Ship_Freight_INT!$AJ$10:$AJ$13,0),MATCH(AB$1,TRA_Ship_Freight_INT!$AK$8:$AT$8,0))/1000</f>
        <v>61.43090909090909</v>
      </c>
      <c r="AC16" s="570">
        <f t="array" ref="AC16">(AB16^ShipData!$X$38)*ShipData!$W$38*0.746</f>
        <v>11980.545213159254</v>
      </c>
      <c r="AD16" s="548" t="s">
        <v>518</v>
      </c>
      <c r="AE16" s="548" t="s">
        <v>1167</v>
      </c>
      <c r="AF16" s="570" t="s">
        <v>1383</v>
      </c>
      <c r="AI16" s="570" t="s">
        <v>1386</v>
      </c>
    </row>
    <row r="17" spans="3:49">
      <c r="C17" s="570" t="str">
        <f t="shared" si="0"/>
        <v>TFSIFOICCI1N</v>
      </c>
      <c r="D17" s="1149"/>
      <c r="E17" s="1387" t="s">
        <v>486</v>
      </c>
      <c r="F17" s="1386" t="s">
        <v>1382</v>
      </c>
      <c r="G17" s="1386">
        <v>2010</v>
      </c>
      <c r="H17" s="1374" t="s">
        <v>1175</v>
      </c>
      <c r="I17" s="1374">
        <f t="array" ref="I17">INDEX(TRA_Ship_Freight_INT!$AK$10:$AT$13,MATCH($F17,TRA_Ship_Freight_INT!$AJ$10:$AJ$13,0),MATCH(I$1,TRA_Ship_Freight_INT!$AK$8:$AT$8,0))</f>
        <v>18571.699999999997</v>
      </c>
      <c r="J17" s="1374">
        <f t="array" ref="J17">INDEX(TRA_Ship_Freight_INT!$AK$10:$AT$13,MATCH($F17,TRA_Ship_Freight_INT!$AJ$10:$AJ$13,0),MATCH(J$1,TRA_Ship_Freight_INT!$AK$8:$AT$8,0))</f>
        <v>18571.699999999997</v>
      </c>
      <c r="K17" s="1375">
        <f t="array" ref="K17">INDEX(TRA_Ship_Freight_INT!$AK$10:$AT$13,MATCH($F17,TRA_Ship_Freight_INT!$AJ$10:$AJ$13,0),MATCH($G17&amp;K$1,TRA_Ship_Freight_INT!$AK$8:$AT$8,0))*1.852*8760*ShipData!$E$18</f>
        <v>282191.26273831638</v>
      </c>
      <c r="L17" s="1375">
        <f t="array" ref="L17">INDEX(TRA_Ship_Freight_INT!$AK$10:$AT$13,MATCH($F17,TRA_Ship_Freight_INT!$AJ$10:$AJ$13,0),MATCH($G17&amp;L$1,TRA_Ship_Freight_INT!$AK$8:$AT$8,0))*1.852*8760*ShipData!$E$18</f>
        <v>282191.26273831638</v>
      </c>
      <c r="M17" s="1376">
        <f t="array" ref="M17">1/(INDEX(TRA_Ship_Freight_INT!$AK$10:$AT$13,MATCH($F17,TRA_Ship_Freight_INT!$AJ$10:$AJ$13,0),MATCH($G17&amp;M$1,TRA_Ship_Freight_INT!$AK$8:$AT$8,0))/1.852)</f>
        <v>0.26216904939249813</v>
      </c>
      <c r="N17" s="1376">
        <f t="array" ref="N17">1/(INDEX(TRA_Ship_Freight_INT!$AK$10:$AT$13,MATCH($F17,TRA_Ship_Freight_INT!$AJ$10:$AJ$13,0),MATCH($G17&amp;N$1,TRA_Ship_Freight_INT!$AK$8:$AT$8,0))/1.852)</f>
        <v>0.26216904939249813</v>
      </c>
      <c r="O17" s="1374">
        <v>30</v>
      </c>
      <c r="P17" s="1398"/>
      <c r="Q17" s="1375">
        <f t="shared" si="1"/>
        <v>12208.376337023847</v>
      </c>
      <c r="R17" s="1375">
        <f>(AC17*(ShipData!$R$19+ShipData!$R$30)+(K17*0.1*(1/M17)*ShipData!$R$41))*6.5/1000</f>
        <v>348810.75248639559</v>
      </c>
      <c r="S17" s="1374"/>
      <c r="T17" s="1374">
        <v>1E-3</v>
      </c>
      <c r="U17" s="1385">
        <v>2012</v>
      </c>
      <c r="V17" s="1149"/>
      <c r="W17" s="1374"/>
      <c r="X17" s="1149"/>
      <c r="Y17" s="1149"/>
      <c r="Z17" s="1425"/>
      <c r="AB17" s="1366">
        <f>INDEX(TRA_Ship_Freight_INT!$AK$10:$AT$13,MATCH($F17,TRA_Ship_Freight_INT!$AJ$10:$AJ$13,0),MATCH(AB$1,TRA_Ship_Freight_INT!$AK$8:$AT$8,0))/1000</f>
        <v>26.530999999999999</v>
      </c>
      <c r="AC17" s="570">
        <f>(AB17^ShipData!$X$36)*ShipData!$W$36*0.746</f>
        <v>25382.523802637832</v>
      </c>
      <c r="AD17" s="548" t="s">
        <v>518</v>
      </c>
      <c r="AE17" s="548" t="s">
        <v>1167</v>
      </c>
      <c r="AF17" s="570" t="s">
        <v>1335</v>
      </c>
      <c r="AI17" s="570">
        <v>0.9</v>
      </c>
    </row>
    <row r="18" spans="3:49">
      <c r="C18" s="570" t="str">
        <f t="shared" si="0"/>
        <v>TFSIMOICLI2N</v>
      </c>
      <c r="E18" s="555" t="s">
        <v>1183</v>
      </c>
      <c r="F18" s="548" t="s">
        <v>1385</v>
      </c>
      <c r="G18" s="548">
        <v>2020</v>
      </c>
      <c r="H18" s="1362" t="s">
        <v>1175</v>
      </c>
      <c r="I18" s="1362">
        <f t="array" ref="I18">INDEX(TRA_Ship_Freight_INT!$AK$10:$AT$13,MATCH($F18,TRA_Ship_Freight_INT!$AJ$10:$AJ$13,0),MATCH(I$1,TRA_Ship_Freight_INT!$AK$8:$AT$8,0))</f>
        <v>24851.199999999997</v>
      </c>
      <c r="J18" s="1362">
        <f t="array" ref="J18">INDEX(TRA_Ship_Freight_INT!$AK$10:$AT$13,MATCH($F18,TRA_Ship_Freight_INT!$AJ$10:$AJ$13,0),MATCH(J$1,TRA_Ship_Freight_INT!$AK$8:$AT$8,0))</f>
        <v>24851.199999999997</v>
      </c>
      <c r="K18" s="1363">
        <f t="array" ref="K18">INDEX(TRA_Ship_Freight_INT!$AK$10:$AT$13,MATCH($F18,TRA_Ship_Freight_INT!$AJ$10:$AJ$13,0),MATCH($G18&amp;K$1,TRA_Ship_Freight_INT!$AK$8:$AT$8,0))*1.852*8760*ShipData!$E$18</f>
        <v>176445.93273067346</v>
      </c>
      <c r="L18" s="1363">
        <f t="array" ref="L18">INDEX(TRA_Ship_Freight_INT!$AK$10:$AT$13,MATCH($F18,TRA_Ship_Freight_INT!$AJ$10:$AJ$13,0),MATCH($G18&amp;L$1,TRA_Ship_Freight_INT!$AK$8:$AT$8,0))*1.852*8760*ShipData!$E$18</f>
        <v>176445.93273067346</v>
      </c>
      <c r="M18" s="1364">
        <f t="array" ref="M18">1/(INDEX(TRA_Ship_Freight_INT!$AK$10:$AT$13,MATCH($F18,TRA_Ship_Freight_INT!$AJ$10:$AJ$13,0),MATCH($G18&amp;M$1,TRA_Ship_Freight_INT!$AK$8:$AT$8,0))/1.852)</f>
        <v>0.61003457107532311</v>
      </c>
      <c r="N18" s="1364">
        <f t="array" ref="N18">1/(INDEX(TRA_Ship_Freight_INT!$AK$10:$AT$13,MATCH($F18,TRA_Ship_Freight_INT!$AJ$10:$AJ$13,0),MATCH($G18&amp;N$1,TRA_Ship_Freight_INT!$AK$8:$AT$8,0))/1.852)</f>
        <v>0.61003457107532311</v>
      </c>
      <c r="O18" s="1362">
        <v>30</v>
      </c>
      <c r="P18" s="1366"/>
      <c r="Q18" s="1363">
        <f t="shared" si="1"/>
        <v>6436.4924189874691</v>
      </c>
      <c r="R18" s="1363">
        <f>(AC18*(ShipData!$Q$20+ShipData!$Q$31)+(K18*0.1*(1/M18)*ShipData!$Q$42))*6.5/1000</f>
        <v>183899.78339964195</v>
      </c>
      <c r="S18" s="1362"/>
      <c r="T18" s="1362">
        <v>1E-3</v>
      </c>
      <c r="U18" s="1368"/>
      <c r="W18" s="1362"/>
      <c r="Z18" s="1425"/>
      <c r="AB18" s="1366">
        <f>INDEX(TRA_Ship_Freight_INT!$AK$10:$AT$13,MATCH($F18,TRA_Ship_Freight_INT!$AJ$10:$AJ$13,0),MATCH(AB$1,TRA_Ship_Freight_INT!$AK$8:$AT$8,0))/1000</f>
        <v>45.183999999999997</v>
      </c>
      <c r="AC18" s="570">
        <f>(AB18^ShipData!$X$39)*0.756*ShipData!$W$39</f>
        <v>10515.06704772692</v>
      </c>
      <c r="AD18" s="548" t="s">
        <v>518</v>
      </c>
      <c r="AE18" s="548" t="s">
        <v>1187</v>
      </c>
      <c r="AF18" s="570" t="s">
        <v>1383</v>
      </c>
    </row>
    <row r="19" spans="3:49">
      <c r="C19" s="570" t="str">
        <f t="shared" si="0"/>
        <v>TFSIMOICDI2N</v>
      </c>
      <c r="E19" s="555" t="s">
        <v>1183</v>
      </c>
      <c r="F19" s="548" t="s">
        <v>1384</v>
      </c>
      <c r="G19" s="548">
        <v>2020</v>
      </c>
      <c r="H19" s="1362" t="s">
        <v>1175</v>
      </c>
      <c r="I19" s="1362">
        <f t="array" ref="I19">INDEX(TRA_Ship_Freight_INT!$AK$10:$AT$13,MATCH($F19,TRA_Ship_Freight_INT!$AJ$10:$AJ$13,0),MATCH(I$1,TRA_Ship_Freight_INT!$AK$8:$AT$8,0))</f>
        <v>31739.303030303032</v>
      </c>
      <c r="J19" s="1362">
        <f t="array" ref="J19">INDEX(TRA_Ship_Freight_INT!$AK$10:$AT$13,MATCH($F19,TRA_Ship_Freight_INT!$AJ$10:$AJ$13,0),MATCH(J$1,TRA_Ship_Freight_INT!$AK$8:$AT$8,0))</f>
        <v>31739.303030303032</v>
      </c>
      <c r="K19" s="1363">
        <f t="array" ref="K19">INDEX(TRA_Ship_Freight_INT!$AK$10:$AT$13,MATCH($F19,TRA_Ship_Freight_INT!$AJ$10:$AJ$13,0),MATCH($G19&amp;K$1,TRA_Ship_Freight_INT!$AK$8:$AT$8,0))*1.852*8760*ShipData!$E$18</f>
        <v>184948.12800000003</v>
      </c>
      <c r="L19" s="1363">
        <f t="array" ref="L19">INDEX(TRA_Ship_Freight_INT!$AK$10:$AT$13,MATCH($F19,TRA_Ship_Freight_INT!$AJ$10:$AJ$13,0),MATCH($G19&amp;L$1,TRA_Ship_Freight_INT!$AK$8:$AT$8,0))*1.852*8760*ShipData!$E$18</f>
        <v>184948.12800000003</v>
      </c>
      <c r="M19" s="1364">
        <f t="array" ref="M19">1/(INDEX(TRA_Ship_Freight_INT!$AK$10:$AT$13,MATCH($F19,TRA_Ship_Freight_INT!$AJ$10:$AJ$13,0),MATCH($G19&amp;M$1,TRA_Ship_Freight_INT!$AK$8:$AT$8,0))/1.852)</f>
        <v>0.52591417214154956</v>
      </c>
      <c r="N19" s="1364">
        <f t="array" ref="N19">1/(INDEX(TRA_Ship_Freight_INT!$AK$10:$AT$13,MATCH($F19,TRA_Ship_Freight_INT!$AJ$10:$AJ$13,0),MATCH($G19&amp;N$1,TRA_Ship_Freight_INT!$AK$8:$AT$8,0))/1.852)</f>
        <v>0.52591417214154956</v>
      </c>
      <c r="O19" s="1362">
        <v>30</v>
      </c>
      <c r="P19" s="1366"/>
      <c r="Q19" s="1363">
        <f t="shared" si="1"/>
        <v>7353.6709667767991</v>
      </c>
      <c r="R19" s="1363">
        <f>(AC19*(ShipData!$Q$20+ShipData!$Q$31)+(K19*0.1*(1/M19)*ShipData!$Q$42))*6.5/1000</f>
        <v>210104.88476505139</v>
      </c>
      <c r="S19" s="1362"/>
      <c r="T19" s="1362">
        <v>1E-3</v>
      </c>
      <c r="U19" s="1368"/>
      <c r="W19" s="1362"/>
      <c r="Z19" s="1425"/>
      <c r="AB19" s="1366">
        <f>INDEX(TRA_Ship_Freight_INT!$AK$10:$AT$13,MATCH($F19,TRA_Ship_Freight_INT!$AJ$10:$AJ$13,0),MATCH(AB$1,TRA_Ship_Freight_INT!$AK$8:$AT$8,0))/1000</f>
        <v>61.43090909090909</v>
      </c>
      <c r="AC19" s="570">
        <f>(AB19^ShipData!$X$38)*ShipData!$W$38*0.746</f>
        <v>11980.545213159254</v>
      </c>
      <c r="AD19" s="548" t="s">
        <v>518</v>
      </c>
      <c r="AE19" s="548" t="s">
        <v>1187</v>
      </c>
      <c r="AF19" s="570" t="s">
        <v>1383</v>
      </c>
    </row>
    <row r="20" spans="3:49">
      <c r="C20" s="570" t="str">
        <f t="shared" si="0"/>
        <v>TFSIMOICCI2N</v>
      </c>
      <c r="D20" s="1149"/>
      <c r="E20" s="555" t="s">
        <v>1183</v>
      </c>
      <c r="F20" s="548" t="s">
        <v>1382</v>
      </c>
      <c r="G20" s="548">
        <v>2020</v>
      </c>
      <c r="H20" s="1362" t="s">
        <v>1175</v>
      </c>
      <c r="I20" s="1362">
        <f t="array" ref="I20">INDEX(TRA_Ship_Freight_INT!$AK$10:$AT$13,MATCH($F20,TRA_Ship_Freight_INT!$AJ$10:$AJ$13,0),MATCH(I$1,TRA_Ship_Freight_INT!$AK$8:$AT$8,0))</f>
        <v>18571.699999999997</v>
      </c>
      <c r="J20" s="1362">
        <f t="array" ref="J20">INDEX(TRA_Ship_Freight_INT!$AK$10:$AT$13,MATCH($F20,TRA_Ship_Freight_INT!$AJ$10:$AJ$13,0),MATCH(J$1,TRA_Ship_Freight_INT!$AK$8:$AT$8,0))</f>
        <v>18571.699999999997</v>
      </c>
      <c r="K20" s="1363">
        <f t="array" ref="K20">INDEX(TRA_Ship_Freight_INT!$AK$10:$AT$13,MATCH($F20,TRA_Ship_Freight_INT!$AJ$10:$AJ$13,0),MATCH($G20&amp;K$1,TRA_Ship_Freight_INT!$AK$8:$AT$8,0))*1.852*8760*ShipData!$E$18</f>
        <v>240108.09600000002</v>
      </c>
      <c r="L20" s="1363">
        <f t="array" ref="L20">INDEX(TRA_Ship_Freight_INT!$AK$10:$AT$13,MATCH($F20,TRA_Ship_Freight_INT!$AJ$10:$AJ$13,0),MATCH($G20&amp;L$1,TRA_Ship_Freight_INT!$AK$8:$AT$8,0))*1.852*8760*ShipData!$E$18</f>
        <v>240108.09600000002</v>
      </c>
      <c r="M20" s="1364">
        <f t="array" ref="M20">1/(INDEX(TRA_Ship_Freight_INT!$AK$10:$AT$13,MATCH($F20,TRA_Ship_Freight_INT!$AJ$10:$AJ$13,0),MATCH($G20&amp;M$1,TRA_Ship_Freight_INT!$AK$8:$AT$8,0))/1.852)</f>
        <v>0.35855970078637039</v>
      </c>
      <c r="N20" s="1364">
        <f t="array" ref="N20">1/(INDEX(TRA_Ship_Freight_INT!$AK$10:$AT$13,MATCH($F20,TRA_Ship_Freight_INT!$AJ$10:$AJ$13,0),MATCH($G20&amp;N$1,TRA_Ship_Freight_INT!$AK$8:$AT$8,0))/1.852)</f>
        <v>0.35855970078637039</v>
      </c>
      <c r="O20" s="1362">
        <v>30</v>
      </c>
      <c r="P20" s="1366"/>
      <c r="Q20" s="1363">
        <f t="shared" si="1"/>
        <v>12479.402668754296</v>
      </c>
      <c r="R20" s="1363">
        <f>(AC20*(ShipData!$R$20+ShipData!$R$31)+(K20*0.1*(1/M20)*ShipData!$R$42))*6.5/1000</f>
        <v>356554.36196440842</v>
      </c>
      <c r="S20" s="1362"/>
      <c r="T20" s="1362">
        <v>1E-3</v>
      </c>
      <c r="U20" s="1368"/>
      <c r="W20" s="1362"/>
      <c r="Z20" s="1425"/>
      <c r="AB20" s="1366">
        <f>INDEX(TRA_Ship_Freight_INT!$AK$10:$AT$13,MATCH($F20,TRA_Ship_Freight_INT!$AJ$10:$AJ$13,0),MATCH(AB$1,TRA_Ship_Freight_INT!$AK$8:$AT$8,0))/1000</f>
        <v>26.530999999999999</v>
      </c>
      <c r="AC20" s="570">
        <f>(AB20^ShipData!$X$36)*ShipData!$W$36*0.746</f>
        <v>25382.523802637832</v>
      </c>
      <c r="AD20" s="548" t="s">
        <v>518</v>
      </c>
      <c r="AE20" s="548" t="s">
        <v>1187</v>
      </c>
      <c r="AF20" s="570" t="s">
        <v>1335</v>
      </c>
    </row>
    <row r="21" spans="3:49">
      <c r="C21" s="570" t="str">
        <f t="shared" si="0"/>
        <v>TFSIMOICRI2N</v>
      </c>
      <c r="D21" s="1149"/>
      <c r="E21" s="1387" t="s">
        <v>1183</v>
      </c>
      <c r="F21" s="1386" t="s">
        <v>1168</v>
      </c>
      <c r="G21" s="1386">
        <v>2020</v>
      </c>
      <c r="H21" s="1374" t="s">
        <v>1175</v>
      </c>
      <c r="I21" s="1374">
        <f t="array" ref="I21">INDEX(TRA_Ship_Freight_INT!$AK$10:$AT$13,MATCH($F21,TRA_Ship_Freight_INT!$AJ$10:$AJ$13,0),MATCH(I$1,TRA_Ship_Freight_INT!$AK$8:$AT$8,0))</f>
        <v>8457.6944444444453</v>
      </c>
      <c r="J21" s="1374">
        <f t="array" ref="J21">INDEX(TRA_Ship_Freight_INT!$AK$10:$AT$13,MATCH($F21,TRA_Ship_Freight_INT!$AJ$10:$AJ$13,0),MATCH(J$1,TRA_Ship_Freight_INT!$AK$8:$AT$8,0))</f>
        <v>8457.6944444444453</v>
      </c>
      <c r="K21" s="1375">
        <f t="array" ref="K21">INDEX(TRA_Ship_Freight_INT!$AK$10:$AT$13,MATCH($F21,TRA_Ship_Freight_INT!$AJ$10:$AJ$13,0),MATCH($G21&amp;K$1,TRA_Ship_Freight_INT!$AK$8:$AT$8,0))*1.852*8760*ShipData!$E$18</f>
        <v>240108.09600000002</v>
      </c>
      <c r="L21" s="1375">
        <f t="array" ref="L21">INDEX(TRA_Ship_Freight_INT!$AK$10:$AT$13,MATCH($F21,TRA_Ship_Freight_INT!$AJ$10:$AJ$13,0),MATCH($G21&amp;L$1,TRA_Ship_Freight_INT!$AK$8:$AT$8,0))*1.852*8760*ShipData!$E$18</f>
        <v>240108.09600000002</v>
      </c>
      <c r="M21" s="1376">
        <f t="array" ref="M21">1/(INDEX(TRA_Ship_Freight_INT!$AK$10:$AT$13,MATCH($F21,TRA_Ship_Freight_INT!$AJ$10:$AJ$13,0),MATCH($G21&amp;M$1,TRA_Ship_Freight_INT!$AK$8:$AT$8,0))/1.852)</f>
        <v>0.35855970078637039</v>
      </c>
      <c r="N21" s="1376">
        <f t="array" ref="N21">1/(INDEX(TRA_Ship_Freight_INT!$AK$10:$AT$13,MATCH($F21,TRA_Ship_Freight_INT!$AJ$10:$AJ$13,0),MATCH($G21&amp;N$1,TRA_Ship_Freight_INT!$AK$8:$AT$8,0))/1.852)</f>
        <v>0.35855970078637039</v>
      </c>
      <c r="O21" s="1374">
        <v>30</v>
      </c>
      <c r="P21" s="1398"/>
      <c r="Q21" s="1375">
        <f t="shared" si="1"/>
        <v>7458.521378528113</v>
      </c>
      <c r="R21" s="1375">
        <f>(AC21*(ShipData!$Q$20+ShipData!$Q$31)+(K21*0.1*(1/M21)*ShipData!$Q$42))*6.5/1000</f>
        <v>213100.61081508893</v>
      </c>
      <c r="S21" s="1374"/>
      <c r="T21" s="1374">
        <v>1E-3</v>
      </c>
      <c r="U21" s="1385"/>
      <c r="V21" s="1149"/>
      <c r="W21" s="1374"/>
      <c r="X21" s="1149"/>
      <c r="Y21" s="1149"/>
      <c r="Z21" s="1425"/>
      <c r="AB21" s="1366">
        <f>INDEX(TRA_Ship_Freight_INT!$AK$10:$AT$13,MATCH($F21,TRA_Ship_Freight_INT!$AJ$10:$AJ$13,0),MATCH(AB$1,TRA_Ship_Freight_INT!$AK$8:$AT$8,0))/1000</f>
        <v>12.082420634920636</v>
      </c>
      <c r="AC21" s="570">
        <f>(AB21^ShipData!$X$37)*ShipData!$W$37*0.746</f>
        <v>11666.269406201467</v>
      </c>
      <c r="AD21" s="548" t="s">
        <v>518</v>
      </c>
      <c r="AE21" s="548" t="s">
        <v>1187</v>
      </c>
      <c r="AF21" s="570" t="s">
        <v>1335</v>
      </c>
    </row>
    <row r="22" spans="3:49">
      <c r="C22" s="570" t="str">
        <f t="shared" si="0"/>
        <v>TFSIH2ICLI2N</v>
      </c>
      <c r="E22" s="555" t="s">
        <v>1181</v>
      </c>
      <c r="F22" s="548" t="s">
        <v>1385</v>
      </c>
      <c r="G22" s="548">
        <v>2020</v>
      </c>
      <c r="H22" s="1362" t="s">
        <v>1175</v>
      </c>
      <c r="I22" s="1362">
        <f>I7*AI17</f>
        <v>22366.079999999998</v>
      </c>
      <c r="J22" s="1362">
        <f t="shared" ref="J22:J30" si="2">I22</f>
        <v>22366.079999999998</v>
      </c>
      <c r="K22" s="1363">
        <f t="array" ref="K22">INDEX(TRA_Ship_Freight_INT!$AK$10:$AT$13,MATCH($F22,TRA_Ship_Freight_INT!$AJ$10:$AJ$13,0),MATCH($G22&amp;K$1,TRA_Ship_Freight_INT!$AK$8:$AT$8,0))*1.852*8760*ShipData!$E$18</f>
        <v>176445.93273067346</v>
      </c>
      <c r="L22" s="1363">
        <f t="array" ref="L22">INDEX(TRA_Ship_Freight_INT!$AK$10:$AT$13,MATCH($F22,TRA_Ship_Freight_INT!$AJ$10:$AJ$13,0),MATCH($G22&amp;L$1,TRA_Ship_Freight_INT!$AK$8:$AT$8,0))*1.852*8760*ShipData!$E$18</f>
        <v>176445.93273067346</v>
      </c>
      <c r="M22" s="1364">
        <f t="array" ref="M22">1/(INDEX(TRA_Ship_Freight_INT!$AK$10:$AT$13,MATCH($F22,TRA_Ship_Freight_INT!$AJ$10:$AJ$13,0),MATCH($G22&amp;M$1,TRA_Ship_Freight_INT!$AK$8:$AT$8,0))/1.852)</f>
        <v>0.61003457107532311</v>
      </c>
      <c r="N22" s="1364">
        <f t="array" ref="N22">1/(INDEX(TRA_Ship_Freight_INT!$AK$10:$AT$13,MATCH($F22,TRA_Ship_Freight_INT!$AJ$10:$AJ$13,0),MATCH($G22&amp;N$1,TRA_Ship_Freight_INT!$AK$8:$AT$8,0))/1.852)</f>
        <v>0.61003457107532311</v>
      </c>
      <c r="O22" s="1362">
        <v>30</v>
      </c>
      <c r="P22" s="1366"/>
      <c r="Q22" s="1363">
        <f t="shared" si="1"/>
        <v>9399.8075075401266</v>
      </c>
      <c r="R22" s="1363">
        <f>(AC22*(ShipData!$Q$22+ShipData!$Q$33)+(K22*0.1*(1/M22)*ShipData!$Q$44))*6.5/1000</f>
        <v>268565.92878686072</v>
      </c>
      <c r="S22" s="1362"/>
      <c r="T22" s="1362">
        <v>1E-3</v>
      </c>
      <c r="U22" s="1368"/>
      <c r="W22" s="1362"/>
      <c r="Z22" s="1425"/>
      <c r="AB22" s="1366">
        <f>INDEX(TRA_Ship_Freight_INT!$AK$10:$AT$13,MATCH($F22,TRA_Ship_Freight_INT!$AJ$10:$AJ$13,0),MATCH(AB$1,TRA_Ship_Freight_INT!$AK$8:$AT$8,0))/1000</f>
        <v>45.183999999999997</v>
      </c>
      <c r="AC22" s="570">
        <f>(AB22^ShipData!$X$39)*0.756*ShipData!$W$39</f>
        <v>10515.06704772692</v>
      </c>
      <c r="AD22" s="548" t="s">
        <v>518</v>
      </c>
      <c r="AE22" s="548" t="s">
        <v>1186</v>
      </c>
      <c r="AF22" s="570" t="s">
        <v>1383</v>
      </c>
    </row>
    <row r="23" spans="3:49">
      <c r="C23" s="570" t="str">
        <f t="shared" si="0"/>
        <v>TFSIH2ICDI2N</v>
      </c>
      <c r="D23" s="1149"/>
      <c r="E23" s="555" t="s">
        <v>1181</v>
      </c>
      <c r="F23" s="548" t="s">
        <v>1384</v>
      </c>
      <c r="G23" s="548">
        <v>2020</v>
      </c>
      <c r="H23" s="1362" t="s">
        <v>1175</v>
      </c>
      <c r="I23" s="1362">
        <f>I9*AI17</f>
        <v>28565.37272727273</v>
      </c>
      <c r="J23" s="1362">
        <f t="shared" si="2"/>
        <v>28565.37272727273</v>
      </c>
      <c r="K23" s="1363">
        <f t="array" ref="K23">INDEX(TRA_Ship_Freight_INT!$AK$10:$AT$13,MATCH($F23,TRA_Ship_Freight_INT!$AJ$10:$AJ$13,0),MATCH($G23&amp;K$1,TRA_Ship_Freight_INT!$AK$8:$AT$8,0))*1.852*8760*ShipData!$E$18</f>
        <v>184948.12800000003</v>
      </c>
      <c r="L23" s="1363">
        <f t="array" ref="L23">INDEX(TRA_Ship_Freight_INT!$AK$10:$AT$13,MATCH($F23,TRA_Ship_Freight_INT!$AJ$10:$AJ$13,0),MATCH($G23&amp;L$1,TRA_Ship_Freight_INT!$AK$8:$AT$8,0))*1.852*8760*ShipData!$E$18</f>
        <v>184948.12800000003</v>
      </c>
      <c r="M23" s="1364">
        <f t="array" ref="M23">1/(INDEX(TRA_Ship_Freight_INT!$AK$10:$AT$13,MATCH($F23,TRA_Ship_Freight_INT!$AJ$10:$AJ$13,0),MATCH($G23&amp;M$1,TRA_Ship_Freight_INT!$AK$8:$AT$8,0))/1.852)</f>
        <v>0.52591417214154956</v>
      </c>
      <c r="N23" s="1364">
        <f t="array" ref="N23">1/(INDEX(TRA_Ship_Freight_INT!$AK$10:$AT$13,MATCH($F23,TRA_Ship_Freight_INT!$AJ$10:$AJ$13,0),MATCH($G23&amp;N$1,TRA_Ship_Freight_INT!$AK$8:$AT$8,0))/1.852)</f>
        <v>0.52591417214154956</v>
      </c>
      <c r="O23" s="1362">
        <v>30</v>
      </c>
      <c r="P23" s="1366"/>
      <c r="Q23" s="1363">
        <f t="shared" si="1"/>
        <v>10823.076705118976</v>
      </c>
      <c r="R23" s="1363">
        <f>(AC23*(ShipData!$Q$22+ShipData!$Q$33)+(K23*0.1*(1/M23)*ShipData!$Q$44))*6.5/1000</f>
        <v>309230.7630033993</v>
      </c>
      <c r="S23" s="1362"/>
      <c r="T23" s="1362">
        <v>1E-3</v>
      </c>
      <c r="U23" s="1368"/>
      <c r="W23" s="1362"/>
      <c r="Z23" s="1425"/>
      <c r="AB23" s="1366">
        <f>INDEX(TRA_Ship_Freight_INT!$AK$10:$AT$13,MATCH($F23,TRA_Ship_Freight_INT!$AJ$10:$AJ$13,0),MATCH(AB$1,TRA_Ship_Freight_INT!$AK$8:$AT$8,0))/1000</f>
        <v>61.43090909090909</v>
      </c>
      <c r="AC23" s="570">
        <f>(AB23^ShipData!$X$38)*ShipData!$W$38*0.746</f>
        <v>11980.545213159254</v>
      </c>
      <c r="AD23" s="548" t="s">
        <v>518</v>
      </c>
      <c r="AE23" s="548" t="s">
        <v>1186</v>
      </c>
      <c r="AF23" s="570" t="s">
        <v>1383</v>
      </c>
    </row>
    <row r="24" spans="3:49">
      <c r="C24" s="570" t="str">
        <f t="shared" si="0"/>
        <v>TFSIH2ICCI2N</v>
      </c>
      <c r="D24" s="1149"/>
      <c r="E24" s="555" t="s">
        <v>1181</v>
      </c>
      <c r="F24" s="548" t="s">
        <v>1382</v>
      </c>
      <c r="G24" s="548">
        <v>2020</v>
      </c>
      <c r="H24" s="1362" t="s">
        <v>1175</v>
      </c>
      <c r="I24" s="1362">
        <f>I11*AI17</f>
        <v>16714.53</v>
      </c>
      <c r="J24" s="1362">
        <f t="shared" si="2"/>
        <v>16714.53</v>
      </c>
      <c r="K24" s="1363">
        <f t="array" ref="K24">INDEX(TRA_Ship_Freight_INT!$AK$10:$AT$13,MATCH($F24,TRA_Ship_Freight_INT!$AJ$10:$AJ$13,0),MATCH($G24&amp;K$1,TRA_Ship_Freight_INT!$AK$8:$AT$8,0))*1.852*8760*ShipData!$E$18</f>
        <v>240108.09600000002</v>
      </c>
      <c r="L24" s="1363">
        <f t="array" ref="L24">INDEX(TRA_Ship_Freight_INT!$AK$10:$AT$13,MATCH($F24,TRA_Ship_Freight_INT!$AJ$10:$AJ$13,0),MATCH($G24&amp;L$1,TRA_Ship_Freight_INT!$AK$8:$AT$8,0))*1.852*8760*ShipData!$E$18</f>
        <v>240108.09600000002</v>
      </c>
      <c r="M24" s="1364">
        <f t="array" ref="M24">1/(INDEX(TRA_Ship_Freight_INT!$AK$10:$AT$13,MATCH($F24,TRA_Ship_Freight_INT!$AJ$10:$AJ$13,0),MATCH($G24&amp;M$1,TRA_Ship_Freight_INT!$AK$8:$AT$8,0))/1.852)</f>
        <v>0.35855970078637039</v>
      </c>
      <c r="N24" s="1364">
        <f t="array" ref="N24">1/(INDEX(TRA_Ship_Freight_INT!$AK$10:$AT$13,MATCH($F24,TRA_Ship_Freight_INT!$AJ$10:$AJ$13,0),MATCH($G24&amp;N$1,TRA_Ship_Freight_INT!$AK$8:$AT$8,0))/1.852)</f>
        <v>0.35855970078637039</v>
      </c>
      <c r="O24" s="1362">
        <v>30</v>
      </c>
      <c r="P24" s="1366"/>
      <c r="Q24" s="1363">
        <f t="shared" si="1"/>
        <v>17906.65035131303</v>
      </c>
      <c r="R24" s="1363">
        <f>(AC24*(ShipData!$R$22+ShipData!$R$33)+(K24*0.1*(1/M24)*ShipData!$R$44))*6.5/1000</f>
        <v>511618.58146608656</v>
      </c>
      <c r="S24" s="1362"/>
      <c r="T24" s="1362">
        <v>1E-3</v>
      </c>
      <c r="U24" s="1368"/>
      <c r="W24" s="1362"/>
      <c r="Z24" s="1425"/>
      <c r="AB24" s="1366">
        <f>INDEX(TRA_Ship_Freight_INT!$AK$10:$AT$13,MATCH($F24,TRA_Ship_Freight_INT!$AJ$10:$AJ$13,0),MATCH(AB$1,TRA_Ship_Freight_INT!$AK$8:$AT$8,0))/1000</f>
        <v>26.530999999999999</v>
      </c>
      <c r="AC24" s="570">
        <f>(AB24^ShipData!$X$36)*ShipData!$W$36*0.746</f>
        <v>25382.523802637832</v>
      </c>
      <c r="AD24" s="548" t="s">
        <v>518</v>
      </c>
      <c r="AE24" s="548" t="s">
        <v>1186</v>
      </c>
      <c r="AF24" s="570" t="s">
        <v>1335</v>
      </c>
      <c r="AT24" s="549"/>
      <c r="AU24" s="549"/>
      <c r="AV24" s="549"/>
      <c r="AW24" s="549"/>
    </row>
    <row r="25" spans="3:49">
      <c r="C25" s="570" t="str">
        <f t="shared" si="0"/>
        <v>TFSIH2ICRI2N</v>
      </c>
      <c r="E25" s="1387" t="s">
        <v>1181</v>
      </c>
      <c r="F25" s="1386" t="s">
        <v>1168</v>
      </c>
      <c r="G25" s="1386">
        <v>2020</v>
      </c>
      <c r="H25" s="1374" t="s">
        <v>1175</v>
      </c>
      <c r="I25" s="1374">
        <f>I13*AI17</f>
        <v>7611.9250000000011</v>
      </c>
      <c r="J25" s="1374">
        <f t="shared" si="2"/>
        <v>7611.9250000000011</v>
      </c>
      <c r="K25" s="1375">
        <f t="array" ref="K25">INDEX(TRA_Ship_Freight_INT!$AK$10:$AT$13,MATCH($F25,TRA_Ship_Freight_INT!$AJ$10:$AJ$13,0),MATCH($G25&amp;K$1,TRA_Ship_Freight_INT!$AK$8:$AT$8,0))*1.852*8760*ShipData!$E$18</f>
        <v>240108.09600000002</v>
      </c>
      <c r="L25" s="1375">
        <f t="array" ref="L25">INDEX(TRA_Ship_Freight_INT!$AK$10:$AT$13,MATCH($F25,TRA_Ship_Freight_INT!$AJ$10:$AJ$13,0),MATCH($G25&amp;L$1,TRA_Ship_Freight_INT!$AK$8:$AT$8,0))*1.852*8760*ShipData!$E$18</f>
        <v>240108.09600000002</v>
      </c>
      <c r="M25" s="1376">
        <f t="array" ref="M25">1/(INDEX(TRA_Ship_Freight_INT!$AK$10:$AT$13,MATCH($F25,TRA_Ship_Freight_INT!$AJ$10:$AJ$13,0),MATCH($G25&amp;M$1,TRA_Ship_Freight_INT!$AK$8:$AT$8,0))/1.852)</f>
        <v>0.35855970078637039</v>
      </c>
      <c r="N25" s="1376">
        <f t="array" ref="N25">1/(INDEX(TRA_Ship_Freight_INT!$AK$10:$AT$13,MATCH($F25,TRA_Ship_Freight_INT!$AJ$10:$AJ$13,0),MATCH($G25&amp;N$1,TRA_Ship_Freight_INT!$AK$8:$AT$8,0))/1.852)</f>
        <v>0.35855970078637039</v>
      </c>
      <c r="O25" s="1374">
        <v>30</v>
      </c>
      <c r="P25" s="1398"/>
      <c r="Q25" s="1375">
        <f t="shared" si="1"/>
        <v>12214.025710532527</v>
      </c>
      <c r="R25" s="1375">
        <f>(AC25*(ShipData!$Q$22+ShipData!$Q$33)+((K25*0.1*(1/M25)*ShipData!$Q$44)))*6.5/1000</f>
        <v>348972.16315807216</v>
      </c>
      <c r="S25" s="1374"/>
      <c r="T25" s="1374">
        <v>1E-3</v>
      </c>
      <c r="U25" s="1385"/>
      <c r="V25" s="1149"/>
      <c r="W25" s="1374"/>
      <c r="X25" s="1149"/>
      <c r="Y25" s="1149"/>
      <c r="Z25" s="1425"/>
      <c r="AB25" s="1366">
        <f>INDEX(TRA_Ship_Freight_INT!$AK$10:$AT$13,MATCH($F25,TRA_Ship_Freight_INT!$AJ$10:$AJ$13,0),MATCH(AB$1,TRA_Ship_Freight_INT!$AK$8:$AT$8,0))/1000</f>
        <v>12.082420634920636</v>
      </c>
      <c r="AC25" s="570">
        <f>(AB25^ShipData!$X$37)*ShipData!$W$37*0.746</f>
        <v>11666.269406201467</v>
      </c>
      <c r="AD25" s="548" t="s">
        <v>518</v>
      </c>
      <c r="AE25" s="548" t="s">
        <v>1186</v>
      </c>
      <c r="AF25" s="570" t="s">
        <v>1335</v>
      </c>
      <c r="AT25" s="549"/>
      <c r="AU25" s="549"/>
      <c r="AV25" s="549"/>
      <c r="AW25" s="549"/>
    </row>
    <row r="26" spans="3:49">
      <c r="C26" s="570" t="str">
        <f t="shared" si="0"/>
        <v>TFSINGICLI2N</v>
      </c>
      <c r="D26" s="1149"/>
      <c r="E26" s="555" t="s">
        <v>1177</v>
      </c>
      <c r="F26" s="548" t="s">
        <v>1385</v>
      </c>
      <c r="G26" s="548">
        <v>2020</v>
      </c>
      <c r="H26" s="1362" t="s">
        <v>1175</v>
      </c>
      <c r="I26" s="1362">
        <f>I23</f>
        <v>28565.37272727273</v>
      </c>
      <c r="J26" s="1362">
        <f t="shared" si="2"/>
        <v>28565.37272727273</v>
      </c>
      <c r="K26" s="1363">
        <f t="array" ref="K26">INDEX(TRA_Ship_Freight_INT!$AK$10:$AT$13,MATCH($F26,TRA_Ship_Freight_INT!$AJ$10:$AJ$13,0),MATCH($G26&amp;K$1,TRA_Ship_Freight_INT!$AK$8:$AT$8,0))*1.852*8760*ShipData!$E$18</f>
        <v>176445.93273067346</v>
      </c>
      <c r="L26" s="1363">
        <f t="array" ref="L26">INDEX(TRA_Ship_Freight_INT!$AK$10:$AT$13,MATCH($F26,TRA_Ship_Freight_INT!$AJ$10:$AJ$13,0),MATCH($G26&amp;L$1,TRA_Ship_Freight_INT!$AK$8:$AT$8,0))*1.852*8760*ShipData!$E$18</f>
        <v>176445.93273067346</v>
      </c>
      <c r="M26" s="1364">
        <f t="array" ref="M26">1/(INDEX(TRA_Ship_Freight_INT!$AK$10:$AT$13,MATCH($F26,TRA_Ship_Freight_INT!$AJ$10:$AJ$13,0),MATCH($G26&amp;M$1,TRA_Ship_Freight_INT!$AK$8:$AT$8,0))/1.852)</f>
        <v>0.61003457107532311</v>
      </c>
      <c r="N26" s="1364">
        <f t="array" ref="N26">1/(INDEX(TRA_Ship_Freight_INT!$AK$10:$AT$13,MATCH($F26,TRA_Ship_Freight_INT!$AJ$10:$AJ$13,0),MATCH($G26&amp;N$1,TRA_Ship_Freight_INT!$AK$8:$AT$8,0))/1.852)</f>
        <v>0.61003457107532311</v>
      </c>
      <c r="O26" s="1362">
        <v>30</v>
      </c>
      <c r="P26" s="1366"/>
      <c r="Q26" s="1363">
        <f t="shared" si="1"/>
        <v>7691.3222822273447</v>
      </c>
      <c r="R26" s="1363">
        <f>(AC26*(ShipData!$Q$21+ShipData!$Q$32)+((K26*0.1*(1/M26)*ShipData!$Q$43)))*6.5/1000</f>
        <v>219752.06520649555</v>
      </c>
      <c r="S26" s="1362"/>
      <c r="T26" s="1362">
        <v>1E-3</v>
      </c>
      <c r="U26" s="1368"/>
      <c r="W26" s="1362"/>
      <c r="Z26" s="1425"/>
      <c r="AB26" s="1366">
        <f>INDEX(TRA_Ship_Freight_INT!$AK$10:$AT$13,MATCH($F26,TRA_Ship_Freight_INT!$AJ$10:$AJ$13,0),MATCH(AB$1,TRA_Ship_Freight_INT!$AK$8:$AT$8,0))/1000</f>
        <v>45.183999999999997</v>
      </c>
      <c r="AC26" s="570">
        <f>(AB26^ShipData!$X$39)*0.756*ShipData!$W$39</f>
        <v>10515.06704772692</v>
      </c>
      <c r="AD26" s="548" t="s">
        <v>518</v>
      </c>
      <c r="AE26" s="548" t="s">
        <v>1198</v>
      </c>
      <c r="AF26" s="570" t="s">
        <v>1338</v>
      </c>
      <c r="AT26" s="549"/>
      <c r="AU26" s="549"/>
      <c r="AV26" s="549"/>
      <c r="AW26" s="549"/>
    </row>
    <row r="27" spans="3:49">
      <c r="C27" s="570" t="str">
        <f t="shared" si="0"/>
        <v>TFSINGICDI2N</v>
      </c>
      <c r="E27" s="555" t="s">
        <v>1177</v>
      </c>
      <c r="F27" s="548" t="s">
        <v>1384</v>
      </c>
      <c r="G27" s="548">
        <v>2020</v>
      </c>
      <c r="H27" s="1362" t="s">
        <v>1175</v>
      </c>
      <c r="I27" s="1362">
        <f>I24</f>
        <v>16714.53</v>
      </c>
      <c r="J27" s="1362">
        <f t="shared" si="2"/>
        <v>16714.53</v>
      </c>
      <c r="K27" s="1363">
        <f t="array" ref="K27">INDEX(TRA_Ship_Freight_INT!$AK$10:$AT$13,MATCH($F27,TRA_Ship_Freight_INT!$AJ$10:$AJ$13,0),MATCH($G27&amp;K$1,TRA_Ship_Freight_INT!$AK$8:$AT$8,0))*1.852*8760*ShipData!$E$18</f>
        <v>184948.12800000003</v>
      </c>
      <c r="L27" s="1363">
        <f t="array" ref="L27">INDEX(TRA_Ship_Freight_INT!$AK$10:$AT$13,MATCH($F27,TRA_Ship_Freight_INT!$AJ$10:$AJ$13,0),MATCH($G27&amp;L$1,TRA_Ship_Freight_INT!$AK$8:$AT$8,0))*1.852*8760*ShipData!$E$18</f>
        <v>184948.12800000003</v>
      </c>
      <c r="M27" s="1364">
        <f t="array" ref="M27">1/(INDEX(TRA_Ship_Freight_INT!$AK$10:$AT$13,MATCH($F27,TRA_Ship_Freight_INT!$AJ$10:$AJ$13,0),MATCH($G27&amp;M$1,TRA_Ship_Freight_INT!$AK$8:$AT$8,0))/1.852)</f>
        <v>0.52591417214154956</v>
      </c>
      <c r="N27" s="1364">
        <f t="array" ref="N27">1/(INDEX(TRA_Ship_Freight_INT!$AK$10:$AT$13,MATCH($F27,TRA_Ship_Freight_INT!$AJ$10:$AJ$13,0),MATCH($G27&amp;N$1,TRA_Ship_Freight_INT!$AK$8:$AT$8,0))/1.852)</f>
        <v>0.52591417214154956</v>
      </c>
      <c r="O27" s="1362">
        <v>30</v>
      </c>
      <c r="P27" s="1366"/>
      <c r="Q27" s="1363">
        <f t="shared" si="1"/>
        <v>8803.5143833632974</v>
      </c>
      <c r="R27" s="1363">
        <f>(AC27*(ShipData!$Q$21+ShipData!$Q$32)+((K27*0.1*(1/M27)*ShipData!$Q$43)))*6.5/1000</f>
        <v>251528.98238180848</v>
      </c>
      <c r="S27" s="1362"/>
      <c r="T27" s="1362">
        <v>1E-3</v>
      </c>
      <c r="U27" s="1368"/>
      <c r="W27" s="1362"/>
      <c r="Z27" s="1425"/>
      <c r="AB27" s="1366">
        <f>INDEX(TRA_Ship_Freight_INT!$AK$10:$AT$13,MATCH($F27,TRA_Ship_Freight_INT!$AJ$10:$AJ$13,0),MATCH(AB$1,TRA_Ship_Freight_INT!$AK$8:$AT$8,0))/1000</f>
        <v>61.43090909090909</v>
      </c>
      <c r="AC27" s="570">
        <f>(AB27^ShipData!$X$38)*ShipData!$W$38*0.746</f>
        <v>11980.545213159254</v>
      </c>
      <c r="AD27" s="548" t="s">
        <v>518</v>
      </c>
      <c r="AE27" s="548" t="s">
        <v>1198</v>
      </c>
      <c r="AF27" s="570" t="s">
        <v>1338</v>
      </c>
      <c r="AT27" s="549"/>
      <c r="AU27" s="549"/>
      <c r="AV27" s="549"/>
      <c r="AW27" s="549"/>
    </row>
    <row r="28" spans="3:49">
      <c r="C28" s="570" t="str">
        <f t="shared" si="0"/>
        <v>TFSINGICCI2N</v>
      </c>
      <c r="D28" s="1149"/>
      <c r="E28" s="555" t="s">
        <v>1177</v>
      </c>
      <c r="F28" s="548" t="s">
        <v>1382</v>
      </c>
      <c r="G28" s="548">
        <v>2020</v>
      </c>
      <c r="H28" s="1362" t="s">
        <v>1175</v>
      </c>
      <c r="I28" s="1362">
        <f>I22</f>
        <v>22366.079999999998</v>
      </c>
      <c r="J28" s="1362">
        <f t="shared" si="2"/>
        <v>22366.079999999998</v>
      </c>
      <c r="K28" s="1363">
        <f t="array" ref="K28">INDEX(TRA_Ship_Freight_INT!$AK$10:$AT$13,MATCH($F28,TRA_Ship_Freight_INT!$AJ$10:$AJ$13,0),MATCH($G28&amp;K$1,TRA_Ship_Freight_INT!$AK$8:$AT$8,0))*1.852*8760*ShipData!$E$18</f>
        <v>240108.09600000002</v>
      </c>
      <c r="L28" s="1363">
        <f t="array" ref="L28">INDEX(TRA_Ship_Freight_INT!$AK$10:$AT$13,MATCH($F28,TRA_Ship_Freight_INT!$AJ$10:$AJ$13,0),MATCH($G28&amp;L$1,TRA_Ship_Freight_INT!$AK$8:$AT$8,0))*1.852*8760*ShipData!$E$18</f>
        <v>240108.09600000002</v>
      </c>
      <c r="M28" s="1364">
        <f t="array" ref="M28">1/(INDEX(TRA_Ship_Freight_INT!$AK$10:$AT$13,MATCH($F28,TRA_Ship_Freight_INT!$AJ$10:$AJ$13,0),MATCH($G28&amp;M$1,TRA_Ship_Freight_INT!$AK$8:$AT$8,0))/1.852)</f>
        <v>0.35855970078637039</v>
      </c>
      <c r="N28" s="1364">
        <f t="array" ref="N28">1/(INDEX(TRA_Ship_Freight_INT!$AK$10:$AT$13,MATCH($F28,TRA_Ship_Freight_INT!$AJ$10:$AJ$13,0),MATCH($G28&amp;N$1,TRA_Ship_Freight_INT!$AK$8:$AT$8,0))/1.852)</f>
        <v>0.35855970078637039</v>
      </c>
      <c r="O28" s="1362">
        <v>30</v>
      </c>
      <c r="P28" s="1366"/>
      <c r="Q28" s="1363">
        <f t="shared" si="1"/>
        <v>14826.762561088031</v>
      </c>
      <c r="R28" s="1363">
        <f>(AC28*(ShipData!$R$21+ShipData!$R$32)+(K28*0.1*(1/M28)*ShipData!$R$43))*6.5/1000</f>
        <v>423621.78745965799</v>
      </c>
      <c r="S28" s="1362"/>
      <c r="T28" s="1362">
        <v>1E-3</v>
      </c>
      <c r="U28" s="1368"/>
      <c r="W28" s="1362"/>
      <c r="Z28" s="1425"/>
      <c r="AB28" s="1366">
        <f>INDEX(TRA_Ship_Freight_INT!$AK$10:$AT$13,MATCH($F28,TRA_Ship_Freight_INT!$AJ$10:$AJ$13,0),MATCH(AB$1,TRA_Ship_Freight_INT!$AK$8:$AT$8,0))/1000</f>
        <v>26.530999999999999</v>
      </c>
      <c r="AC28" s="570">
        <f>(AB28^ShipData!$X$36)*ShipData!$W$36*0.746</f>
        <v>25382.523802637832</v>
      </c>
      <c r="AD28" s="548" t="s">
        <v>518</v>
      </c>
      <c r="AE28" s="548" t="s">
        <v>1198</v>
      </c>
      <c r="AF28" s="570" t="s">
        <v>1335</v>
      </c>
      <c r="AT28" s="549"/>
      <c r="AU28" s="549"/>
      <c r="AV28" s="549"/>
      <c r="AW28" s="549"/>
    </row>
    <row r="29" spans="3:49">
      <c r="C29" s="570" t="str">
        <f t="shared" si="0"/>
        <v>TFSINGICRI2N</v>
      </c>
      <c r="E29" s="555" t="s">
        <v>1177</v>
      </c>
      <c r="F29" s="1386" t="s">
        <v>1168</v>
      </c>
      <c r="G29" s="1386">
        <v>2020</v>
      </c>
      <c r="H29" s="1374" t="s">
        <v>1175</v>
      </c>
      <c r="I29" s="1374">
        <f>I25</f>
        <v>7611.9250000000011</v>
      </c>
      <c r="J29" s="1374">
        <f t="shared" si="2"/>
        <v>7611.9250000000011</v>
      </c>
      <c r="K29" s="1375">
        <f t="array" ref="K29">INDEX(TRA_Ship_Freight_INT!$AK$10:$AT$13,MATCH($F29,TRA_Ship_Freight_INT!$AJ$10:$AJ$13,0),MATCH($G29&amp;K$1,TRA_Ship_Freight_INT!$AK$8:$AT$8,0))*1.852*8760*ShipData!$E$18</f>
        <v>240108.09600000002</v>
      </c>
      <c r="L29" s="1375">
        <f t="array" ref="L29">INDEX(TRA_Ship_Freight_INT!$AK$10:$AT$13,MATCH($F29,TRA_Ship_Freight_INT!$AJ$10:$AJ$13,0),MATCH($G29&amp;L$1,TRA_Ship_Freight_INT!$AK$8:$AT$8,0))*1.852*8760*ShipData!$E$18</f>
        <v>240108.09600000002</v>
      </c>
      <c r="M29" s="1376">
        <f t="array" ref="M29">1/(INDEX(TRA_Ship_Freight_INT!$AK$10:$AT$13,MATCH($F29,TRA_Ship_Freight_INT!$AJ$10:$AJ$13,0),MATCH($G29&amp;M$1,TRA_Ship_Freight_INT!$AK$8:$AT$8,0))/1.852)</f>
        <v>0.35855970078637039</v>
      </c>
      <c r="N29" s="1376">
        <f t="array" ref="N29">1/(INDEX(TRA_Ship_Freight_INT!$AK$10:$AT$13,MATCH($F29,TRA_Ship_Freight_INT!$AJ$10:$AJ$13,0),MATCH($G29&amp;N$1,TRA_Ship_Freight_INT!$AK$8:$AT$8,0))/1.852)</f>
        <v>0.35855970078637039</v>
      </c>
      <c r="O29" s="1374">
        <v>30</v>
      </c>
      <c r="P29" s="1398"/>
      <c r="Q29" s="1375">
        <f t="shared" si="1"/>
        <v>9168.0854681490018</v>
      </c>
      <c r="R29" s="1375">
        <f>(AC29*(ShipData!$Q$21+ShipData!$Q$32)+((K29*0.1*(1/M29)*ShipData!$Q$43)))*6.5/1000</f>
        <v>261945.29908997146</v>
      </c>
      <c r="S29" s="1374"/>
      <c r="T29" s="1374">
        <v>1E-3</v>
      </c>
      <c r="U29" s="1385"/>
      <c r="V29" s="1149"/>
      <c r="W29" s="1374"/>
      <c r="X29" s="1149"/>
      <c r="Y29" s="1149"/>
      <c r="Z29" s="1425"/>
      <c r="AB29" s="1366">
        <f>INDEX(TRA_Ship_Freight_INT!$AK$10:$AT$13,MATCH($F29,TRA_Ship_Freight_INT!$AJ$10:$AJ$13,0),MATCH(AB$1,TRA_Ship_Freight_INT!$AK$8:$AT$8,0))/1000</f>
        <v>12.082420634920636</v>
      </c>
      <c r="AC29" s="570">
        <f>(AB29^ShipData!$X$37)*ShipData!$W$37*0.746</f>
        <v>11666.269406201467</v>
      </c>
      <c r="AD29" s="548" t="s">
        <v>518</v>
      </c>
      <c r="AE29" s="548" t="s">
        <v>1198</v>
      </c>
      <c r="AF29" s="570" t="s">
        <v>1335</v>
      </c>
      <c r="AT29" s="549"/>
      <c r="AU29" s="549"/>
      <c r="AV29" s="549"/>
      <c r="AW29" s="549"/>
    </row>
    <row r="30" spans="3:49">
      <c r="C30" s="570" t="str">
        <f t="shared" si="0"/>
        <v>TFSINGDULI2N</v>
      </c>
      <c r="E30" s="555" t="s">
        <v>1177</v>
      </c>
      <c r="F30" s="548" t="s">
        <v>1385</v>
      </c>
      <c r="G30" s="548">
        <v>2020</v>
      </c>
      <c r="H30" s="1362" t="s">
        <v>1175</v>
      </c>
      <c r="I30" s="1362">
        <f>(I22+I7)/2</f>
        <v>23608.639999999999</v>
      </c>
      <c r="J30" s="1362">
        <f t="shared" si="2"/>
        <v>23608.639999999999</v>
      </c>
      <c r="K30" s="1363">
        <f t="array" ref="K30">INDEX(TRA_Ship_Freight_INT!$AK$10:$AT$13,MATCH($F30,TRA_Ship_Freight_INT!$AJ$10:$AJ$13,0),MATCH($G30&amp;K$1,TRA_Ship_Freight_INT!$AK$8:$AT$8,0))*1.852*8760*ShipData!$E$18</f>
        <v>176445.93273067346</v>
      </c>
      <c r="L30" s="1363">
        <f t="array" ref="L30">INDEX(TRA_Ship_Freight_INT!$AK$10:$AT$13,MATCH($F30,TRA_Ship_Freight_INT!$AJ$10:$AJ$13,0),MATCH($G30&amp;L$1,TRA_Ship_Freight_INT!$AK$8:$AT$8,0))*1.852*8760*ShipData!$E$18</f>
        <v>176445.93273067346</v>
      </c>
      <c r="M30" s="1364">
        <f t="array" ref="M30">1/(INDEX(TRA_Ship_Freight_INT!$AK$10:$AT$13,MATCH($F30,TRA_Ship_Freight_INT!$AJ$10:$AJ$13,0),MATCH($G30&amp;M$1,TRA_Ship_Freight_INT!$AK$8:$AT$8,0))/1.852)</f>
        <v>0.61003457107532311</v>
      </c>
      <c r="N30" s="1364">
        <f t="array" ref="N30">1/(INDEX(TRA_Ship_Freight_INT!$AK$10:$AT$13,MATCH($F30,TRA_Ship_Freight_INT!$AJ$10:$AJ$13,0),MATCH($G30&amp;N$1,TRA_Ship_Freight_INT!$AK$8:$AT$8,0))/1.852)</f>
        <v>0.61003457107532311</v>
      </c>
      <c r="O30" s="1362">
        <v>30</v>
      </c>
      <c r="P30" s="1366"/>
      <c r="Q30" s="1363">
        <f t="shared" si="1"/>
        <v>7691.3222822273447</v>
      </c>
      <c r="R30" s="1363">
        <f>(AC30*(ShipData!$Q$21+ShipData!$Q$32)+(K30*0.1*(1/M30)*ShipData!$Q$43))*6.5/1000</f>
        <v>219752.06520649555</v>
      </c>
      <c r="S30" s="1362">
        <v>0.95</v>
      </c>
      <c r="T30" s="1362">
        <v>1E-3</v>
      </c>
      <c r="U30" s="1368"/>
      <c r="W30" s="1362">
        <v>5</v>
      </c>
      <c r="Z30" s="1425"/>
      <c r="AB30" s="1366">
        <f>INDEX(TRA_Ship_Freight_INT!$AK$10:$AT$13,MATCH($F30,TRA_Ship_Freight_INT!$AJ$10:$AJ$13,0),MATCH(AB$1,TRA_Ship_Freight_INT!$AK$8:$AT$8,0))/1000</f>
        <v>45.183999999999997</v>
      </c>
      <c r="AC30" s="570">
        <f>(AB30^ShipData!$X$39)*0.756*ShipData!$W$39</f>
        <v>10515.06704772692</v>
      </c>
      <c r="AD30" s="548" t="s">
        <v>518</v>
      </c>
      <c r="AE30" s="548" t="s">
        <v>1196</v>
      </c>
      <c r="AF30" s="570" t="s">
        <v>1383</v>
      </c>
      <c r="AT30" s="549"/>
      <c r="AU30" s="549"/>
      <c r="AV30" s="549"/>
      <c r="AW30" s="549"/>
    </row>
    <row r="31" spans="3:49">
      <c r="E31" s="555" t="s">
        <v>1185</v>
      </c>
      <c r="F31" s="548"/>
      <c r="G31" s="548"/>
      <c r="H31" s="1362"/>
      <c r="I31" s="1362"/>
      <c r="J31" s="1362"/>
      <c r="K31" s="1363"/>
      <c r="L31" s="1363"/>
      <c r="M31" s="1366"/>
      <c r="N31" s="1366"/>
      <c r="O31" s="1362"/>
      <c r="P31" s="1366"/>
      <c r="Q31" s="1363"/>
      <c r="R31" s="1363"/>
      <c r="S31" s="1362"/>
      <c r="T31" s="1362"/>
      <c r="W31" s="1362"/>
      <c r="Z31" s="1425"/>
      <c r="AB31" s="1366"/>
      <c r="AD31" s="548" t="s">
        <v>518</v>
      </c>
      <c r="AE31" s="548" t="s">
        <v>1196</v>
      </c>
      <c r="AF31" s="570" t="s">
        <v>1383</v>
      </c>
      <c r="AT31" s="549"/>
      <c r="AU31" s="549"/>
      <c r="AV31" s="549"/>
      <c r="AW31" s="549"/>
    </row>
    <row r="32" spans="3:49">
      <c r="E32" s="555" t="s">
        <v>1177</v>
      </c>
      <c r="F32" s="548" t="s">
        <v>1385</v>
      </c>
      <c r="G32" s="548">
        <v>2030</v>
      </c>
      <c r="H32" s="1362" t="s">
        <v>1175</v>
      </c>
      <c r="I32" s="1362">
        <f>(I28+I8)/2</f>
        <v>23608.639999999999</v>
      </c>
      <c r="J32" s="1362">
        <f>I32</f>
        <v>23608.639999999999</v>
      </c>
      <c r="K32" s="1363">
        <f t="array" ref="K32">INDEX(TRA_Ship_Freight_INT!$AK$10:$AT$13,MATCH($F32,TRA_Ship_Freight_INT!$AJ$10:$AJ$13,0),MATCH($G32&amp;K$1,TRA_Ship_Freight_INT!$AK$8:$AT$8,0))*1.852*8760*ShipData!$E$18</f>
        <v>167159.30469221697</v>
      </c>
      <c r="L32" s="1363">
        <f t="array" ref="L32">INDEX(TRA_Ship_Freight_INT!$AK$10:$AT$13,MATCH($F32,TRA_Ship_Freight_INT!$AJ$10:$AJ$13,0),MATCH($G32&amp;L$1,TRA_Ship_Freight_INT!$AK$8:$AT$8,0))*1.852*8760*ShipData!$E$18</f>
        <v>167159.30469221697</v>
      </c>
      <c r="M32" s="1364">
        <f t="array" ref="M32">1/(INDEX(TRA_Ship_Freight_INT!$AK$10:$AT$13,MATCH($F32,TRA_Ship_Freight_INT!$AJ$10:$AJ$13,0),MATCH($G32&amp;M$1,TRA_Ship_Freight_INT!$AK$8:$AT$8,0))/1.852)</f>
        <v>0.67616238190178735</v>
      </c>
      <c r="N32" s="1364">
        <f t="array" ref="N32">1/(INDEX(TRA_Ship_Freight_INT!$AK$10:$AT$13,MATCH($F32,TRA_Ship_Freight_INT!$AJ$10:$AJ$13,0),MATCH($G32&amp;N$1,TRA_Ship_Freight_INT!$AK$8:$AT$8,0))/1.852)</f>
        <v>0.67616238190178735</v>
      </c>
      <c r="O32" s="1362">
        <v>30</v>
      </c>
      <c r="P32" s="1366"/>
      <c r="Q32" s="1363">
        <v>7669.3821750000016</v>
      </c>
      <c r="R32" s="1363">
        <f>(AC32*(ShipData!$Q$21+ShipData!$Q$32)+(K32*0.1*(1/M32)*ShipData!$Q$43))*6.5/1000</f>
        <v>217566.94505850744</v>
      </c>
      <c r="S32" s="1362">
        <v>0.95</v>
      </c>
      <c r="T32" s="1362">
        <v>1E-3</v>
      </c>
      <c r="U32" s="1368"/>
      <c r="W32" s="1362"/>
      <c r="Z32" s="1425"/>
      <c r="AB32" s="1366">
        <f>INDEX(TRA_Ship_Freight_INT!$AK$10:$AT$13,MATCH($F32,TRA_Ship_Freight_INT!$AJ$10:$AJ$13,0),MATCH(AB$1,TRA_Ship_Freight_INT!$AK$8:$AT$8,0))/1000</f>
        <v>45.183999999999997</v>
      </c>
      <c r="AC32" s="570">
        <f>(AB32^ShipData!$X$39)*0.756*ShipData!$W$39</f>
        <v>10515.06704772692</v>
      </c>
      <c r="AD32" s="548" t="s">
        <v>518</v>
      </c>
      <c r="AE32" s="548" t="s">
        <v>1196</v>
      </c>
      <c r="AF32" s="570" t="s">
        <v>1383</v>
      </c>
    </row>
    <row r="33" spans="3:49">
      <c r="C33" s="1149"/>
      <c r="D33" s="1149"/>
      <c r="E33" s="1387" t="s">
        <v>1197</v>
      </c>
      <c r="F33" s="1386"/>
      <c r="G33" s="1386"/>
      <c r="H33" s="1374"/>
      <c r="I33" s="1374"/>
      <c r="J33" s="1374"/>
      <c r="K33" s="1375"/>
      <c r="L33" s="1375"/>
      <c r="M33" s="1398"/>
      <c r="N33" s="1398"/>
      <c r="O33" s="1374"/>
      <c r="P33" s="1398"/>
      <c r="Q33" s="1375"/>
      <c r="R33" s="1375"/>
      <c r="S33" s="1374"/>
      <c r="T33" s="1374"/>
      <c r="U33" s="1149"/>
      <c r="V33" s="1149"/>
      <c r="W33" s="1374"/>
      <c r="X33" s="1149"/>
      <c r="Y33" s="1149"/>
      <c r="Z33" s="1425"/>
      <c r="AB33" s="1366"/>
      <c r="AD33" s="548" t="s">
        <v>518</v>
      </c>
      <c r="AE33" s="548" t="s">
        <v>1196</v>
      </c>
      <c r="AF33" s="570" t="s">
        <v>1383</v>
      </c>
      <c r="AT33" s="549"/>
      <c r="AU33" s="549"/>
      <c r="AV33" s="549"/>
      <c r="AW33" s="549"/>
    </row>
    <row r="34" spans="3:49">
      <c r="C34" s="570" t="str">
        <f>"TFS"&amp;LEFT(AD34,1)&amp;AE34&amp;RIGHT(F34,2)&amp;MID(G34,3,1)&amp;"N"</f>
        <v>TFSINGDUDI2N</v>
      </c>
      <c r="E34" s="555" t="s">
        <v>1177</v>
      </c>
      <c r="F34" s="548" t="s">
        <v>1384</v>
      </c>
      <c r="G34" s="548">
        <v>2020</v>
      </c>
      <c r="H34" s="1362" t="s">
        <v>1175</v>
      </c>
      <c r="I34" s="1362">
        <f>(I26+I10)/2</f>
        <v>30152.337878787883</v>
      </c>
      <c r="J34" s="1362">
        <f>I34</f>
        <v>30152.337878787883</v>
      </c>
      <c r="K34" s="1363">
        <f t="array" ref="K34">INDEX(TRA_Ship_Freight_INT!$AK$10:$AT$13,MATCH($F34,TRA_Ship_Freight_INT!$AJ$10:$AJ$13,0),MATCH($G34&amp;K$1,TRA_Ship_Freight_INT!$AK$8:$AT$8,0))*1.852*8760*ShipData!$E$18</f>
        <v>184948.12800000003</v>
      </c>
      <c r="L34" s="1363">
        <f t="array" ref="L34">INDEX(TRA_Ship_Freight_INT!$AK$10:$AT$13,MATCH($F34,TRA_Ship_Freight_INT!$AJ$10:$AJ$13,0),MATCH($G34&amp;L$1,TRA_Ship_Freight_INT!$AK$8:$AT$8,0))*1.852*8760*ShipData!$E$18</f>
        <v>184948.12800000003</v>
      </c>
      <c r="M34" s="1364">
        <f t="array" ref="M34">1/(INDEX(TRA_Ship_Freight_INT!$AK$10:$AT$13,MATCH($F34,TRA_Ship_Freight_INT!$AJ$10:$AJ$13,0),MATCH($G34&amp;M$1,TRA_Ship_Freight_INT!$AK$8:$AT$8,0))/1.852)</f>
        <v>0.52591417214154956</v>
      </c>
      <c r="N34" s="1364">
        <f t="array" ref="N34">1/(INDEX(TRA_Ship_Freight_INT!$AK$10:$AT$13,MATCH($F34,TRA_Ship_Freight_INT!$AJ$10:$AJ$13,0),MATCH($G34&amp;N$1,TRA_Ship_Freight_INT!$AK$8:$AT$8,0))/1.852)</f>
        <v>0.52591417214154956</v>
      </c>
      <c r="O34" s="1362">
        <v>30</v>
      </c>
      <c r="P34" s="1366"/>
      <c r="Q34" s="1363">
        <f>0.035*R34</f>
        <v>8803.5143833632974</v>
      </c>
      <c r="R34" s="1363">
        <f>(AC34*(ShipData!$Q$21+ShipData!$Q$32)+(K34*0.1*(1/M34)*ShipData!$Q$43))*6.5/1000</f>
        <v>251528.98238180848</v>
      </c>
      <c r="S34" s="1362">
        <v>0.95</v>
      </c>
      <c r="T34" s="1362">
        <v>1E-3</v>
      </c>
      <c r="U34" s="1368"/>
      <c r="W34" s="1362">
        <v>5</v>
      </c>
      <c r="Z34" s="1425"/>
      <c r="AB34" s="1366">
        <f>INDEX(TRA_Ship_Freight_INT!$AK$10:$AT$13,MATCH($F34,TRA_Ship_Freight_INT!$AJ$10:$AJ$13,0),MATCH(AB$1,TRA_Ship_Freight_INT!$AK$8:$AT$8,0))/1000</f>
        <v>61.43090909090909</v>
      </c>
      <c r="AC34" s="570">
        <f>(AB34^ShipData!$X$38)*ShipData!$W$38*0.746</f>
        <v>11980.545213159254</v>
      </c>
      <c r="AD34" s="548" t="s">
        <v>518</v>
      </c>
      <c r="AE34" s="548" t="s">
        <v>1196</v>
      </c>
      <c r="AF34" s="570" t="s">
        <v>1383</v>
      </c>
    </row>
    <row r="35" spans="3:49">
      <c r="E35" s="555" t="s">
        <v>1185</v>
      </c>
      <c r="F35" s="548"/>
      <c r="G35" s="548"/>
      <c r="H35" s="1362"/>
      <c r="I35" s="1362"/>
      <c r="J35" s="1362"/>
      <c r="K35" s="1363"/>
      <c r="L35" s="1363"/>
      <c r="M35" s="1362"/>
      <c r="N35" s="1362"/>
      <c r="O35" s="1363"/>
      <c r="P35" s="1366"/>
      <c r="Q35" s="1363"/>
      <c r="R35" s="1363"/>
      <c r="S35" s="1362"/>
      <c r="W35" s="1362"/>
      <c r="Z35" s="1425"/>
      <c r="AB35" s="1366"/>
      <c r="AD35" s="548" t="s">
        <v>518</v>
      </c>
      <c r="AE35" s="548" t="s">
        <v>1196</v>
      </c>
      <c r="AF35" s="570" t="s">
        <v>1383</v>
      </c>
    </row>
    <row r="36" spans="3:49">
      <c r="E36" s="555" t="s">
        <v>1177</v>
      </c>
      <c r="F36" s="548" t="s">
        <v>1384</v>
      </c>
      <c r="G36" s="548">
        <v>2030</v>
      </c>
      <c r="H36" s="1362" t="s">
        <v>1175</v>
      </c>
      <c r="I36" s="1362">
        <f>I34</f>
        <v>30152.337878787883</v>
      </c>
      <c r="J36" s="1362">
        <f>I36</f>
        <v>30152.337878787883</v>
      </c>
      <c r="K36" s="1363">
        <f t="array" ref="K36">INDEX(TRA_Ship_Freight_INT!$AK$10:$AT$13,MATCH($F36,TRA_Ship_Freight_INT!$AJ$10:$AJ$13,0),MATCH($G36&amp;K$1,TRA_Ship_Freight_INT!$AK$8:$AT$8,0))*1.852*8760*ShipData!$E$18</f>
        <v>166453.31520000004</v>
      </c>
      <c r="L36" s="1363">
        <f t="array" ref="L36">INDEX(TRA_Ship_Freight_INT!$AK$10:$AT$13,MATCH($F36,TRA_Ship_Freight_INT!$AJ$10:$AJ$13,0),MATCH($G36&amp;L$1,TRA_Ship_Freight_INT!$AK$8:$AT$8,0))*1.852*8760*ShipData!$E$18</f>
        <v>166453.31520000004</v>
      </c>
      <c r="M36" s="1364">
        <f t="array" ref="M36">1/(INDEX(TRA_Ship_Freight_INT!$AK$10:$AT$13,MATCH($F36,TRA_Ship_Freight_INT!$AJ$10:$AJ$13,0),MATCH($G36&amp;M$1,TRA_Ship_Freight_INT!$AK$8:$AT$8,0))/1.852)</f>
        <v>0.67094968292886403</v>
      </c>
      <c r="N36" s="1364">
        <f t="array" ref="N36">1/(INDEX(TRA_Ship_Freight_INT!$AK$10:$AT$13,MATCH($F36,TRA_Ship_Freight_INT!$AJ$10:$AJ$13,0),MATCH($G36&amp;N$1,TRA_Ship_Freight_INT!$AK$8:$AT$8,0))/1.852)</f>
        <v>0.67094968292886403</v>
      </c>
      <c r="O36" s="1362">
        <v>30</v>
      </c>
      <c r="P36" s="1366"/>
      <c r="Q36" s="1363">
        <v>7266.0193200000003</v>
      </c>
      <c r="R36" s="1363">
        <f>(AC36*(ShipData!$Q$21+ShipData!$Q$32)+(K36*0.1*(1/M36)*ShipData!$Q$43))*6.5/1000</f>
        <v>246142.63229369037</v>
      </c>
      <c r="S36" s="1362">
        <v>0.95</v>
      </c>
      <c r="T36" s="1362">
        <v>1E-3</v>
      </c>
      <c r="U36" s="1368"/>
      <c r="W36" s="1362">
        <v>5</v>
      </c>
      <c r="Z36" s="1425"/>
      <c r="AB36" s="1366">
        <f>INDEX(TRA_Ship_Freight_INT!$AK$10:$AT$13,MATCH($F36,TRA_Ship_Freight_INT!$AJ$10:$AJ$13,0),MATCH(AB$1,TRA_Ship_Freight_INT!$AK$8:$AT$8,0))/1000</f>
        <v>61.43090909090909</v>
      </c>
      <c r="AC36" s="570">
        <f>(AB36^ShipData!$X$38)*ShipData!$W$38*0.746</f>
        <v>11980.545213159254</v>
      </c>
      <c r="AD36" s="548" t="s">
        <v>518</v>
      </c>
      <c r="AE36" s="548" t="s">
        <v>1196</v>
      </c>
      <c r="AF36" s="570" t="s">
        <v>1383</v>
      </c>
    </row>
    <row r="37" spans="3:49">
      <c r="E37" s="1387" t="s">
        <v>1197</v>
      </c>
      <c r="F37" s="1386"/>
      <c r="G37" s="1386"/>
      <c r="H37" s="1374"/>
      <c r="I37" s="1374"/>
      <c r="J37" s="1374"/>
      <c r="K37" s="1375"/>
      <c r="L37" s="1375"/>
      <c r="M37" s="1374"/>
      <c r="N37" s="1374"/>
      <c r="O37" s="1375"/>
      <c r="P37" s="1398"/>
      <c r="Q37" s="1375"/>
      <c r="R37" s="1375"/>
      <c r="S37" s="1374"/>
      <c r="T37" s="1149"/>
      <c r="U37" s="1149"/>
      <c r="V37" s="1149"/>
      <c r="W37" s="1374"/>
      <c r="X37" s="1149"/>
      <c r="Y37" s="1149"/>
      <c r="Z37" s="1425"/>
      <c r="AB37" s="1366"/>
      <c r="AD37" s="548" t="s">
        <v>518</v>
      </c>
      <c r="AE37" s="548" t="s">
        <v>1196</v>
      </c>
      <c r="AF37" s="570" t="s">
        <v>1383</v>
      </c>
    </row>
    <row r="38" spans="3:49">
      <c r="C38" s="570" t="str">
        <f>"TFS"&amp;LEFT(AD38,1)&amp;AE38&amp;RIGHT(F38,2)&amp;MID(G38,3,1)&amp;"N"</f>
        <v>TFSINGDUCI2N</v>
      </c>
      <c r="E38" s="555" t="s">
        <v>1177</v>
      </c>
      <c r="F38" s="548" t="s">
        <v>1382</v>
      </c>
      <c r="G38" s="548">
        <v>2020</v>
      </c>
      <c r="H38" s="1362" t="s">
        <v>1175</v>
      </c>
      <c r="I38" s="1362">
        <f>(I27+I11)/2</f>
        <v>17643.114999999998</v>
      </c>
      <c r="J38" s="1362">
        <f>I38</f>
        <v>17643.114999999998</v>
      </c>
      <c r="K38" s="1363">
        <f t="array" ref="K38">INDEX(TRA_Ship_Freight_INT!$AK$10:$AT$13,MATCH($F38,TRA_Ship_Freight_INT!$AJ$10:$AJ$13,0),MATCH($G38&amp;K$1,TRA_Ship_Freight_INT!$AK$8:$AT$8,0))*1.852*8760*ShipData!$E$18</f>
        <v>240108.09600000002</v>
      </c>
      <c r="L38" s="1363">
        <f t="array" ref="L38">INDEX(TRA_Ship_Freight_INT!$AK$10:$AT$13,MATCH($F38,TRA_Ship_Freight_INT!$AJ$10:$AJ$13,0),MATCH($G38&amp;L$1,TRA_Ship_Freight_INT!$AK$8:$AT$8,0))*1.852*8760*ShipData!$E$18</f>
        <v>240108.09600000002</v>
      </c>
      <c r="M38" s="1364">
        <f t="array" ref="M38">1/(INDEX(TRA_Ship_Freight_INT!$AK$10:$AT$13,MATCH($F38,TRA_Ship_Freight_INT!$AJ$10:$AJ$13,0),MATCH($G38&amp;M$1,TRA_Ship_Freight_INT!$AK$8:$AT$8,0))/1.852)</f>
        <v>0.35855970078637039</v>
      </c>
      <c r="N38" s="1364">
        <f t="array" ref="N38">1/(INDEX(TRA_Ship_Freight_INT!$AK$10:$AT$13,MATCH($F38,TRA_Ship_Freight_INT!$AJ$10:$AJ$13,0),MATCH($G38&amp;N$1,TRA_Ship_Freight_INT!$AK$8:$AT$8,0))/1.852)</f>
        <v>0.35855970078637039</v>
      </c>
      <c r="O38" s="1362">
        <v>30</v>
      </c>
      <c r="P38" s="1366"/>
      <c r="Q38" s="1363">
        <f>0.035*R38</f>
        <v>14826.762561088031</v>
      </c>
      <c r="R38" s="1363">
        <f>(AC38*(ShipData!$R$21+ShipData!$R$32)+(K38*0.1*(1/M38)*ShipData!$R$43))*6.5/1000</f>
        <v>423621.78745965799</v>
      </c>
      <c r="S38" s="1362">
        <v>0.95</v>
      </c>
      <c r="T38" s="1362">
        <v>1E-3</v>
      </c>
      <c r="U38" s="1368"/>
      <c r="W38" s="1362">
        <v>5</v>
      </c>
      <c r="Z38" s="1425"/>
      <c r="AB38" s="1366">
        <f>INDEX(TRA_Ship_Freight_INT!$AK$10:$AT$13,MATCH($F38,TRA_Ship_Freight_INT!$AJ$10:$AJ$13,0),MATCH(AB$1,TRA_Ship_Freight_INT!$AK$8:$AT$8,0))/1000</f>
        <v>26.530999999999999</v>
      </c>
      <c r="AC38" s="570">
        <f>(AB38^ShipData!$X$36)*ShipData!$W$36*0.746</f>
        <v>25382.523802637832</v>
      </c>
      <c r="AD38" s="548" t="s">
        <v>518</v>
      </c>
      <c r="AE38" s="548" t="s">
        <v>1196</v>
      </c>
      <c r="AF38" s="570" t="s">
        <v>1335</v>
      </c>
    </row>
    <row r="39" spans="3:49">
      <c r="E39" s="555" t="s">
        <v>1185</v>
      </c>
      <c r="F39" s="548"/>
      <c r="G39" s="548"/>
      <c r="H39" s="1362"/>
      <c r="I39" s="1362"/>
      <c r="J39" s="1362"/>
      <c r="K39" s="1363"/>
      <c r="L39" s="1363"/>
      <c r="M39" s="1362"/>
      <c r="N39" s="1362"/>
      <c r="O39" s="1363"/>
      <c r="P39" s="1366"/>
      <c r="Q39" s="1363"/>
      <c r="R39" s="1363"/>
      <c r="S39" s="1362"/>
      <c r="W39" s="1362"/>
      <c r="Z39" s="1425"/>
      <c r="AB39" s="1366"/>
      <c r="AD39" s="548" t="s">
        <v>518</v>
      </c>
      <c r="AE39" s="548" t="s">
        <v>1196</v>
      </c>
      <c r="AF39" s="570" t="s">
        <v>1335</v>
      </c>
    </row>
    <row r="40" spans="3:49">
      <c r="E40" s="555" t="s">
        <v>1177</v>
      </c>
      <c r="F40" s="548" t="s">
        <v>1382</v>
      </c>
      <c r="G40" s="548">
        <v>2030</v>
      </c>
      <c r="H40" s="1362" t="s">
        <v>1175</v>
      </c>
      <c r="I40" s="1362">
        <f>I38</f>
        <v>17643.114999999998</v>
      </c>
      <c r="J40" s="1362">
        <f>I40</f>
        <v>17643.114999999998</v>
      </c>
      <c r="K40" s="1363">
        <f t="array" ref="K40">INDEX(TRA_Ship_Freight_INT!$AK$10:$AT$13,MATCH($F40,TRA_Ship_Freight_INT!$AJ$10:$AJ$13,0),MATCH($G40&amp;K$1,TRA_Ship_Freight_INT!$AK$8:$AT$8,0))*1.852*8760*ShipData!$E$18</f>
        <v>240108.09600000002</v>
      </c>
      <c r="L40" s="1363">
        <f t="array" ref="L40">INDEX(TRA_Ship_Freight_INT!$AK$10:$AT$13,MATCH($F40,TRA_Ship_Freight_INT!$AJ$10:$AJ$13,0),MATCH($G40&amp;L$1,TRA_Ship_Freight_INT!$AK$8:$AT$8,0))*1.852*8760*ShipData!$E$18</f>
        <v>240108.09600000002</v>
      </c>
      <c r="M40" s="1364">
        <f t="array" ref="M40">1/(INDEX(TRA_Ship_Freight_INT!$AK$10:$AT$13,MATCH($F40,TRA_Ship_Freight_INT!$AJ$10:$AJ$13,0),MATCH($G40&amp;M$1,TRA_Ship_Freight_INT!$AK$8:$AT$8,0))/1.852)</f>
        <v>0.35855970078637039</v>
      </c>
      <c r="N40" s="1364">
        <f t="array" ref="N40">1/(INDEX(TRA_Ship_Freight_INT!$AK$10:$AT$13,MATCH($F40,TRA_Ship_Freight_INT!$AJ$10:$AJ$13,0),MATCH($G40&amp;N$1,TRA_Ship_Freight_INT!$AK$8:$AT$8,0))/1.852)</f>
        <v>0.35855970078637039</v>
      </c>
      <c r="O40" s="1362">
        <v>30</v>
      </c>
      <c r="P40" s="1366"/>
      <c r="Q40" s="1363">
        <v>15736.727790000001</v>
      </c>
      <c r="R40" s="1363">
        <f>(AC40*(ShipData!$R$21+ShipData!$R$32)+(K40*0.1*(1/M40)*ShipData!$R$43))*6.5/1000</f>
        <v>423621.78745965799</v>
      </c>
      <c r="S40" s="1362">
        <v>0.95</v>
      </c>
      <c r="T40" s="1362">
        <v>1E-3</v>
      </c>
      <c r="U40" s="1368"/>
      <c r="W40" s="1362">
        <v>5</v>
      </c>
      <c r="Z40" s="1425"/>
      <c r="AB40" s="1366">
        <f>INDEX(TRA_Ship_Freight_INT!$AK$10:$AT$13,MATCH($F40,TRA_Ship_Freight_INT!$AJ$10:$AJ$13,0),MATCH(AB$1,TRA_Ship_Freight_INT!$AK$8:$AT$8,0))/1000</f>
        <v>26.530999999999999</v>
      </c>
      <c r="AC40" s="570">
        <f>(AB40^ShipData!$X$36)*ShipData!$W$36*0.746</f>
        <v>25382.523802637832</v>
      </c>
      <c r="AD40" s="548" t="s">
        <v>518</v>
      </c>
      <c r="AE40" s="548" t="s">
        <v>1196</v>
      </c>
      <c r="AF40" s="570" t="s">
        <v>1335</v>
      </c>
    </row>
    <row r="41" spans="3:49">
      <c r="C41" s="1149"/>
      <c r="D41" s="1149"/>
      <c r="E41" s="1387" t="s">
        <v>1197</v>
      </c>
      <c r="F41" s="1386"/>
      <c r="G41" s="1386"/>
      <c r="H41" s="1374"/>
      <c r="I41" s="1374"/>
      <c r="J41" s="1374"/>
      <c r="K41" s="1375"/>
      <c r="L41" s="1375"/>
      <c r="M41" s="1374"/>
      <c r="N41" s="1374"/>
      <c r="O41" s="1375"/>
      <c r="P41" s="1398"/>
      <c r="Q41" s="1375"/>
      <c r="R41" s="1375"/>
      <c r="S41" s="1374"/>
      <c r="T41" s="1149"/>
      <c r="U41" s="1149"/>
      <c r="V41" s="1149"/>
      <c r="W41" s="1374"/>
      <c r="X41" s="1149"/>
      <c r="Y41" s="1149"/>
      <c r="Z41" s="1425"/>
      <c r="AB41" s="1366"/>
      <c r="AD41" s="548" t="s">
        <v>518</v>
      </c>
      <c r="AE41" s="548" t="s">
        <v>1196</v>
      </c>
      <c r="AF41" s="570" t="s">
        <v>1335</v>
      </c>
    </row>
    <row r="42" spans="3:49">
      <c r="C42" s="570" t="str">
        <f>"TFS"&amp;LEFT(AD42,1)&amp;AE42&amp;RIGHT(F42,2)&amp;MID(G42,3,1)&amp;"N"</f>
        <v>TFSINGDURI2N</v>
      </c>
      <c r="E42" s="555" t="s">
        <v>1177</v>
      </c>
      <c r="F42" s="548" t="s">
        <v>1168</v>
      </c>
      <c r="G42" s="548">
        <v>2020</v>
      </c>
      <c r="H42" s="1362" t="s">
        <v>1175</v>
      </c>
      <c r="I42" s="1362">
        <f>(I29+I13)/2</f>
        <v>8034.8097222222232</v>
      </c>
      <c r="J42" s="1362">
        <f>I42</f>
        <v>8034.8097222222232</v>
      </c>
      <c r="K42" s="1363">
        <f t="array" ref="K42">INDEX(TRA_Ship_Freight_INT!$AK$10:$AT$13,MATCH($F42,TRA_Ship_Freight_INT!$AJ$10:$AJ$13,0),MATCH($G42&amp;K$1,TRA_Ship_Freight_INT!$AK$8:$AT$8,0))*1.852*8760*ShipData!$E$18</f>
        <v>240108.09600000002</v>
      </c>
      <c r="L42" s="1363">
        <f t="array" ref="L42">INDEX(TRA_Ship_Freight_INT!$AK$10:$AT$13,MATCH($F42,TRA_Ship_Freight_INT!$AJ$10:$AJ$13,0),MATCH($G42&amp;L$1,TRA_Ship_Freight_INT!$AK$8:$AT$8,0))*1.852*8760*ShipData!$E$18</f>
        <v>240108.09600000002</v>
      </c>
      <c r="M42" s="1364">
        <f t="array" ref="M42">1/(INDEX(TRA_Ship_Freight_INT!$AK$10:$AT$13,MATCH($F42,TRA_Ship_Freight_INT!$AJ$10:$AJ$13,0),MATCH($G42&amp;M$1,TRA_Ship_Freight_INT!$AK$8:$AT$8,0))/1.852)</f>
        <v>0.35855970078637039</v>
      </c>
      <c r="N42" s="1364">
        <f t="array" ref="N42">1/(INDEX(TRA_Ship_Freight_INT!$AK$10:$AT$13,MATCH($F42,TRA_Ship_Freight_INT!$AJ$10:$AJ$13,0),MATCH($G42&amp;N$1,TRA_Ship_Freight_INT!$AK$8:$AT$8,0))/1.852)</f>
        <v>0.35855970078637039</v>
      </c>
      <c r="O42" s="1362">
        <v>30</v>
      </c>
      <c r="P42" s="1366"/>
      <c r="Q42" s="1363">
        <f>0.035*R42</f>
        <v>9168.0854681490018</v>
      </c>
      <c r="R42" s="1363">
        <f>(AC42*(ShipData!$Q$21+ShipData!$Q$32)+(K42*0.1*(1/M42)*ShipData!$Q$43))*6.5/1000</f>
        <v>261945.29908997146</v>
      </c>
      <c r="S42" s="1362">
        <v>0.95</v>
      </c>
      <c r="T42" s="1362">
        <v>1E-3</v>
      </c>
      <c r="U42" s="1368"/>
      <c r="W42" s="1362">
        <v>5</v>
      </c>
      <c r="Z42" s="1425"/>
      <c r="AB42" s="1366">
        <f>INDEX(TRA_Ship_Freight_INT!$AK$10:$AT$13,MATCH($F42,TRA_Ship_Freight_INT!$AJ$10:$AJ$13,0),MATCH(AB$1,TRA_Ship_Freight_INT!$AK$8:$AT$8,0))/1000</f>
        <v>12.082420634920636</v>
      </c>
      <c r="AC42" s="570">
        <f>(AB42^ShipData!$X$37)*ShipData!$W$37*0.746</f>
        <v>11666.269406201467</v>
      </c>
      <c r="AD42" s="548" t="s">
        <v>518</v>
      </c>
      <c r="AE42" s="548" t="s">
        <v>1196</v>
      </c>
      <c r="AF42" s="570" t="s">
        <v>1335</v>
      </c>
    </row>
    <row r="43" spans="3:49">
      <c r="E43" s="555" t="s">
        <v>1185</v>
      </c>
      <c r="F43" s="548"/>
      <c r="G43" s="548"/>
      <c r="H43" s="1362"/>
      <c r="I43" s="1362"/>
      <c r="J43" s="1362"/>
      <c r="K43" s="1363"/>
      <c r="L43" s="1363"/>
      <c r="M43" s="1362"/>
      <c r="N43" s="1362"/>
      <c r="O43" s="1363"/>
      <c r="P43" s="1366"/>
      <c r="Q43" s="1363"/>
      <c r="R43" s="1363"/>
      <c r="S43" s="1362"/>
      <c r="T43" s="1362"/>
      <c r="U43" s="1368"/>
      <c r="W43" s="1362"/>
      <c r="Z43" s="1425"/>
      <c r="AB43" s="1366"/>
      <c r="AD43" s="548" t="s">
        <v>518</v>
      </c>
      <c r="AE43" s="548" t="s">
        <v>1196</v>
      </c>
      <c r="AF43" s="570" t="s">
        <v>1335</v>
      </c>
    </row>
    <row r="44" spans="3:49">
      <c r="E44" s="555" t="s">
        <v>1177</v>
      </c>
      <c r="F44" s="548" t="s">
        <v>1168</v>
      </c>
      <c r="G44" s="548">
        <v>2030</v>
      </c>
      <c r="H44" s="1362" t="s">
        <v>1175</v>
      </c>
      <c r="I44" s="1362">
        <f>I42</f>
        <v>8034.8097222222232</v>
      </c>
      <c r="J44" s="1362">
        <f>I44</f>
        <v>8034.8097222222232</v>
      </c>
      <c r="K44" s="1363">
        <f t="array" ref="K44">INDEX(TRA_Ship_Freight_INT!$AK$10:$AT$13,MATCH($F44,TRA_Ship_Freight_INT!$AJ$10:$AJ$13,0),MATCH($G44&amp;K$1,TRA_Ship_Freight_INT!$AK$8:$AT$8,0))*1.852*8760*ShipData!$E$18</f>
        <v>240108.09600000002</v>
      </c>
      <c r="L44" s="1363">
        <f t="array" ref="L44">INDEX(TRA_Ship_Freight_INT!$AK$10:$AT$13,MATCH($F44,TRA_Ship_Freight_INT!$AJ$10:$AJ$13,0),MATCH($G44&amp;L$1,TRA_Ship_Freight_INT!$AK$8:$AT$8,0))*1.852*8760*ShipData!$E$18</f>
        <v>240108.09600000002</v>
      </c>
      <c r="M44" s="1364">
        <f t="array" ref="M44">1/(INDEX(TRA_Ship_Freight_INT!$AK$10:$AT$13,MATCH($F44,TRA_Ship_Freight_INT!$AJ$10:$AJ$13,0),MATCH($G44&amp;M$1,TRA_Ship_Freight_INT!$AK$8:$AT$8,0))/1.852)</f>
        <v>0.35855970078637039</v>
      </c>
      <c r="N44" s="1364">
        <f t="array" ref="N44">1/(INDEX(TRA_Ship_Freight_INT!$AK$10:$AT$13,MATCH($F44,TRA_Ship_Freight_INT!$AJ$10:$AJ$13,0),MATCH($G44&amp;N$1,TRA_Ship_Freight_INT!$AK$8:$AT$8,0))/1.852)</f>
        <v>0.35855970078637039</v>
      </c>
      <c r="O44" s="1362">
        <v>30</v>
      </c>
      <c r="P44" s="1366"/>
      <c r="Q44" s="1363">
        <v>7403.2175700000007</v>
      </c>
      <c r="R44" s="1363">
        <f>(AC44*(ShipData!$Q$21+ShipData!$Q$32)+(K44*0.1*(1/M44)*ShipData!$Q$43))*6.5/1000</f>
        <v>261945.29908997146</v>
      </c>
      <c r="S44" s="1362">
        <v>0.95</v>
      </c>
      <c r="T44" s="1362">
        <v>1E-3</v>
      </c>
      <c r="U44" s="1368"/>
      <c r="W44" s="1362">
        <v>5</v>
      </c>
      <c r="Z44" s="1425"/>
      <c r="AB44" s="1366">
        <f>INDEX(TRA_Ship_Freight_INT!$AK$10:$AT$13,MATCH($F44,TRA_Ship_Freight_INT!$AJ$10:$AJ$13,0),MATCH(AB$1,TRA_Ship_Freight_INT!$AK$8:$AT$8,0))/1000</f>
        <v>12.082420634920636</v>
      </c>
      <c r="AC44" s="570">
        <f>(AB44^ShipData!$X$37)*ShipData!$W$37*0.746</f>
        <v>11666.269406201467</v>
      </c>
      <c r="AD44" s="548" t="s">
        <v>518</v>
      </c>
      <c r="AE44" s="548" t="s">
        <v>1196</v>
      </c>
      <c r="AF44" s="570" t="s">
        <v>1335</v>
      </c>
    </row>
    <row r="45" spans="3:49">
      <c r="E45" s="1387" t="s">
        <v>1197</v>
      </c>
      <c r="F45" s="1386"/>
      <c r="G45" s="1386"/>
      <c r="H45" s="1374"/>
      <c r="I45" s="1374"/>
      <c r="J45" s="1374"/>
      <c r="K45" s="1374"/>
      <c r="L45" s="1399"/>
      <c r="M45" s="1427"/>
      <c r="N45" s="1375"/>
      <c r="O45" s="1375"/>
      <c r="P45" s="1398"/>
      <c r="Q45" s="1375"/>
      <c r="R45" s="1375"/>
      <c r="S45" s="1374"/>
      <c r="T45" s="1374"/>
      <c r="U45" s="1385"/>
      <c r="V45" s="1149"/>
      <c r="W45" s="1374"/>
      <c r="X45" s="1149"/>
      <c r="Y45" s="1149"/>
      <c r="Z45" s="1425"/>
      <c r="AB45" s="1362"/>
      <c r="AD45" s="548" t="s">
        <v>518</v>
      </c>
      <c r="AE45" s="548" t="s">
        <v>1196</v>
      </c>
      <c r="AF45" s="570" t="s">
        <v>1335</v>
      </c>
    </row>
    <row r="46" spans="3:49">
      <c r="C46" s="570" t="str">
        <f>"TFS"&amp;LEFT(AD46,1)&amp;AE46&amp;RIGHT(F46,2)&amp;MID(G46,3,1)&amp;"N"</f>
        <v>TFSIAMDULI3N</v>
      </c>
      <c r="E46" s="555" t="s">
        <v>1380</v>
      </c>
      <c r="F46" s="548" t="str">
        <f>F32</f>
        <v>TFSLI</v>
      </c>
      <c r="G46" s="548">
        <v>2030</v>
      </c>
      <c r="H46" s="548" t="str">
        <f t="shared" ref="H46:O46" si="3">H32</f>
        <v>MKr10</v>
      </c>
      <c r="I46" s="548">
        <f t="shared" si="3"/>
        <v>23608.639999999999</v>
      </c>
      <c r="J46" s="548">
        <f t="shared" si="3"/>
        <v>23608.639999999999</v>
      </c>
      <c r="K46" s="548">
        <f t="shared" si="3"/>
        <v>167159.30469221697</v>
      </c>
      <c r="L46" s="548">
        <f t="shared" si="3"/>
        <v>167159.30469221697</v>
      </c>
      <c r="M46" s="548">
        <f t="shared" si="3"/>
        <v>0.67616238190178735</v>
      </c>
      <c r="N46" s="548">
        <f t="shared" si="3"/>
        <v>0.67616238190178735</v>
      </c>
      <c r="O46" s="548">
        <f t="shared" si="3"/>
        <v>30</v>
      </c>
      <c r="P46" s="548"/>
      <c r="Q46" s="1416">
        <f>Q32</f>
        <v>7669.3821750000016</v>
      </c>
      <c r="R46" s="1416">
        <f>R32</f>
        <v>217566.94505850744</v>
      </c>
      <c r="S46" s="548">
        <f>S32</f>
        <v>0.95</v>
      </c>
      <c r="T46" s="548">
        <f>T32</f>
        <v>1E-3</v>
      </c>
      <c r="U46" s="548"/>
      <c r="W46" s="1362">
        <v>5</v>
      </c>
      <c r="Z46" s="1425"/>
      <c r="AB46" s="1362"/>
      <c r="AD46" s="548" t="s">
        <v>518</v>
      </c>
      <c r="AE46" s="548" t="s">
        <v>1381</v>
      </c>
      <c r="AF46" s="570" t="str">
        <f>AF7</f>
        <v>Deep sea ships</v>
      </c>
    </row>
    <row r="47" spans="3:49">
      <c r="E47" s="1387" t="str">
        <f>E37</f>
        <v>TRAMFO3</v>
      </c>
      <c r="F47" s="1387"/>
      <c r="G47" s="1387"/>
      <c r="H47" s="1387"/>
      <c r="I47" s="1387"/>
      <c r="J47" s="1387"/>
      <c r="K47" s="1387"/>
      <c r="L47" s="1387"/>
      <c r="M47" s="1387"/>
      <c r="N47" s="1387"/>
      <c r="O47" s="1387"/>
      <c r="P47" s="1387"/>
      <c r="Q47" s="1428"/>
      <c r="R47" s="1428"/>
      <c r="S47" s="1387"/>
      <c r="T47" s="1387"/>
      <c r="U47" s="1387"/>
      <c r="V47" s="1387"/>
      <c r="W47" s="1387"/>
      <c r="X47" s="1149"/>
      <c r="Y47" s="1149"/>
      <c r="Z47" s="1425"/>
      <c r="AB47" s="1362"/>
      <c r="AD47" s="548" t="s">
        <v>518</v>
      </c>
      <c r="AE47" s="548" t="s">
        <v>1381</v>
      </c>
      <c r="AF47" s="570" t="str">
        <f>AF8</f>
        <v>Deep sea ships</v>
      </c>
    </row>
    <row r="48" spans="3:49">
      <c r="C48" s="570" t="str">
        <f>"TFS"&amp;LEFT(AD48,1)&amp;AE48&amp;RIGHT(F48,2)&amp;MID(G48,3,1)&amp;"N"</f>
        <v>TFSIAMDUDI3N</v>
      </c>
      <c r="E48" s="555" t="s">
        <v>1380</v>
      </c>
      <c r="F48" s="548" t="str">
        <f>F36</f>
        <v>TFSDI</v>
      </c>
      <c r="G48" s="548">
        <v>2030</v>
      </c>
      <c r="H48" s="548" t="str">
        <f t="shared" ref="H48:O48" si="4">H36</f>
        <v>MKr10</v>
      </c>
      <c r="I48" s="548">
        <f t="shared" si="4"/>
        <v>30152.337878787883</v>
      </c>
      <c r="J48" s="548">
        <f t="shared" si="4"/>
        <v>30152.337878787883</v>
      </c>
      <c r="K48" s="548">
        <f t="shared" si="4"/>
        <v>166453.31520000004</v>
      </c>
      <c r="L48" s="548">
        <f t="shared" si="4"/>
        <v>166453.31520000004</v>
      </c>
      <c r="M48" s="548">
        <f t="shared" si="4"/>
        <v>0.67094968292886403</v>
      </c>
      <c r="N48" s="548">
        <f t="shared" si="4"/>
        <v>0.67094968292886403</v>
      </c>
      <c r="O48" s="548">
        <f t="shared" si="4"/>
        <v>30</v>
      </c>
      <c r="P48" s="548"/>
      <c r="Q48" s="1416">
        <f>Q36</f>
        <v>7266.0193200000003</v>
      </c>
      <c r="R48" s="1416">
        <f>R36</f>
        <v>246142.63229369037</v>
      </c>
      <c r="S48" s="548">
        <f>S36</f>
        <v>0.95</v>
      </c>
      <c r="T48" s="548">
        <f>T36</f>
        <v>1E-3</v>
      </c>
      <c r="U48" s="548"/>
      <c r="W48" s="1362">
        <v>5</v>
      </c>
      <c r="Z48" s="1425"/>
      <c r="AB48" s="1362"/>
      <c r="AD48" s="548" t="s">
        <v>518</v>
      </c>
      <c r="AE48" s="548" t="s">
        <v>1381</v>
      </c>
      <c r="AF48" s="570" t="str">
        <f>AF9</f>
        <v>Deep sea ships</v>
      </c>
    </row>
    <row r="49" spans="2:32">
      <c r="E49" s="1387" t="str">
        <f>E41</f>
        <v>TRAMFO3</v>
      </c>
      <c r="F49" s="1386"/>
      <c r="G49" s="1386"/>
      <c r="H49" s="1386"/>
      <c r="I49" s="1386"/>
      <c r="J49" s="1386"/>
      <c r="K49" s="1386"/>
      <c r="L49" s="1386"/>
      <c r="M49" s="1386"/>
      <c r="N49" s="1386"/>
      <c r="O49" s="1386"/>
      <c r="P49" s="1386"/>
      <c r="Q49" s="1426"/>
      <c r="R49" s="1426"/>
      <c r="S49" s="1386"/>
      <c r="T49" s="1386"/>
      <c r="U49" s="1386"/>
      <c r="V49" s="1149"/>
      <c r="W49" s="1374"/>
      <c r="X49" s="1149"/>
      <c r="Y49" s="1149"/>
      <c r="Z49" s="1425"/>
      <c r="AB49" s="1362"/>
      <c r="AD49" s="548" t="s">
        <v>518</v>
      </c>
      <c r="AE49" s="548" t="s">
        <v>1381</v>
      </c>
      <c r="AF49" s="570" t="str">
        <f>AF10</f>
        <v>Deep sea ships</v>
      </c>
    </row>
    <row r="50" spans="2:32">
      <c r="C50" s="570" t="str">
        <f>"TFS"&amp;LEFT(AD50,1)&amp;AE50&amp;RIGHT(F50,2)&amp;MID(G50,3,1)&amp;"N"</f>
        <v>TFSIAMDUCI3N</v>
      </c>
      <c r="E50" s="555" t="s">
        <v>1380</v>
      </c>
      <c r="F50" s="548" t="str">
        <f>F40</f>
        <v>TFSCI</v>
      </c>
      <c r="G50" s="548">
        <v>2030</v>
      </c>
      <c r="H50" s="548" t="str">
        <f t="shared" ref="H50:O50" si="5">H40</f>
        <v>MKr10</v>
      </c>
      <c r="I50" s="548">
        <f t="shared" si="5"/>
        <v>17643.114999999998</v>
      </c>
      <c r="J50" s="548">
        <f t="shared" si="5"/>
        <v>17643.114999999998</v>
      </c>
      <c r="K50" s="548">
        <f t="shared" si="5"/>
        <v>240108.09600000002</v>
      </c>
      <c r="L50" s="548">
        <f t="shared" si="5"/>
        <v>240108.09600000002</v>
      </c>
      <c r="M50" s="548">
        <f t="shared" si="5"/>
        <v>0.35855970078637039</v>
      </c>
      <c r="N50" s="548">
        <f t="shared" si="5"/>
        <v>0.35855970078637039</v>
      </c>
      <c r="O50" s="548">
        <f t="shared" si="5"/>
        <v>30</v>
      </c>
      <c r="P50" s="548"/>
      <c r="Q50" s="1416">
        <f>Q40</f>
        <v>15736.727790000001</v>
      </c>
      <c r="R50" s="1416">
        <f>R40</f>
        <v>423621.78745965799</v>
      </c>
      <c r="S50" s="548">
        <f>S40</f>
        <v>0.95</v>
      </c>
      <c r="T50" s="548">
        <f>T40</f>
        <v>1E-3</v>
      </c>
      <c r="U50" s="548"/>
      <c r="W50" s="1362">
        <v>5</v>
      </c>
      <c r="Z50" s="1425"/>
      <c r="AB50" s="1362"/>
      <c r="AD50" s="548" t="s">
        <v>518</v>
      </c>
      <c r="AE50" s="548" t="s">
        <v>1381</v>
      </c>
      <c r="AF50" s="570" t="s">
        <v>1335</v>
      </c>
    </row>
    <row r="51" spans="2:32">
      <c r="E51" s="1387" t="str">
        <f>E45</f>
        <v>TRAMFO3</v>
      </c>
      <c r="F51" s="1386"/>
      <c r="G51" s="1386"/>
      <c r="H51" s="1386"/>
      <c r="I51" s="1386"/>
      <c r="J51" s="1386"/>
      <c r="K51" s="1386"/>
      <c r="L51" s="1386"/>
      <c r="M51" s="1386"/>
      <c r="N51" s="1386"/>
      <c r="O51" s="1386"/>
      <c r="P51" s="1386"/>
      <c r="Q51" s="1426"/>
      <c r="R51" s="1426"/>
      <c r="S51" s="1386"/>
      <c r="T51" s="1386"/>
      <c r="U51" s="1386"/>
      <c r="V51" s="1149"/>
      <c r="W51" s="1374"/>
      <c r="X51" s="1149"/>
      <c r="Y51" s="1149"/>
      <c r="Z51" s="1425"/>
      <c r="AB51" s="1362"/>
      <c r="AD51" s="548" t="s">
        <v>518</v>
      </c>
      <c r="AE51" s="548" t="s">
        <v>1381</v>
      </c>
      <c r="AF51" s="570" t="s">
        <v>1335</v>
      </c>
    </row>
    <row r="52" spans="2:32">
      <c r="C52" s="570" t="str">
        <f>"TFS"&amp;LEFT(AD52,1)&amp;AE52&amp;RIGHT(F52,2)&amp;MID(G52,3,1)&amp;"N"</f>
        <v>TFSIAMDURI3N</v>
      </c>
      <c r="E52" s="555" t="s">
        <v>1380</v>
      </c>
      <c r="F52" s="548" t="str">
        <f>F44</f>
        <v>TFSRI</v>
      </c>
      <c r="G52" s="548">
        <v>2030</v>
      </c>
      <c r="H52" s="548" t="str">
        <f t="shared" ref="H52:O52" si="6">H44</f>
        <v>MKr10</v>
      </c>
      <c r="I52" s="548">
        <f t="shared" si="6"/>
        <v>8034.8097222222232</v>
      </c>
      <c r="J52" s="548">
        <f t="shared" si="6"/>
        <v>8034.8097222222232</v>
      </c>
      <c r="K52" s="548">
        <f t="shared" si="6"/>
        <v>240108.09600000002</v>
      </c>
      <c r="L52" s="548">
        <f t="shared" si="6"/>
        <v>240108.09600000002</v>
      </c>
      <c r="M52" s="548">
        <f t="shared" si="6"/>
        <v>0.35855970078637039</v>
      </c>
      <c r="N52" s="548">
        <f t="shared" si="6"/>
        <v>0.35855970078637039</v>
      </c>
      <c r="O52" s="548">
        <f t="shared" si="6"/>
        <v>30</v>
      </c>
      <c r="P52" s="548"/>
      <c r="Q52" s="1416">
        <f>Q44</f>
        <v>7403.2175700000007</v>
      </c>
      <c r="R52" s="1416">
        <f>R44</f>
        <v>261945.29908997146</v>
      </c>
      <c r="S52" s="548">
        <f>S44</f>
        <v>0.95</v>
      </c>
      <c r="T52" s="548">
        <f>T44</f>
        <v>1E-3</v>
      </c>
      <c r="U52" s="548"/>
      <c r="W52" s="1362">
        <v>5</v>
      </c>
      <c r="Z52" s="1425"/>
      <c r="AB52" s="1362"/>
      <c r="AD52" s="548" t="s">
        <v>518</v>
      </c>
      <c r="AE52" s="548" t="s">
        <v>1381</v>
      </c>
      <c r="AF52" s="570" t="s">
        <v>1335</v>
      </c>
    </row>
    <row r="53" spans="2:32">
      <c r="E53" s="1387" t="str">
        <f>E45</f>
        <v>TRAMFO3</v>
      </c>
      <c r="F53" s="1386"/>
      <c r="G53" s="1386"/>
      <c r="H53" s="1374"/>
      <c r="I53" s="1374"/>
      <c r="J53" s="1374"/>
      <c r="K53" s="1374"/>
      <c r="L53" s="1399"/>
      <c r="M53" s="1427"/>
      <c r="N53" s="1375"/>
      <c r="O53" s="1375"/>
      <c r="P53" s="1398"/>
      <c r="Q53" s="1375"/>
      <c r="R53" s="1375"/>
      <c r="S53" s="1374"/>
      <c r="T53" s="1374"/>
      <c r="U53" s="1385"/>
      <c r="V53" s="1149"/>
      <c r="W53" s="1374"/>
      <c r="X53" s="1149"/>
      <c r="Y53" s="1149"/>
      <c r="Z53" s="1425"/>
      <c r="AB53" s="1362"/>
      <c r="AD53" s="548" t="s">
        <v>518</v>
      </c>
      <c r="AE53" s="548" t="s">
        <v>1381</v>
      </c>
      <c r="AF53" s="570" t="s">
        <v>1335</v>
      </c>
    </row>
    <row r="54" spans="2:32">
      <c r="C54" s="570" t="str">
        <f>"TFS"&amp;LEFT(AD54,1)&amp;AE54&amp;RIGHT(F54,2)&amp;MID(G54,3,1)&amp;"N"</f>
        <v>TFSIAMICLI3N</v>
      </c>
      <c r="E54" s="555" t="s">
        <v>1380</v>
      </c>
      <c r="F54" s="548" t="str">
        <f>F46</f>
        <v>TFSLI</v>
      </c>
      <c r="G54" s="548">
        <v>2030</v>
      </c>
      <c r="H54" s="548" t="str">
        <f>H40</f>
        <v>MKr10</v>
      </c>
      <c r="I54" s="548">
        <f t="shared" ref="I54:O57" si="7">I26</f>
        <v>28565.37272727273</v>
      </c>
      <c r="J54" s="548">
        <f t="shared" si="7"/>
        <v>28565.37272727273</v>
      </c>
      <c r="K54" s="548">
        <f t="shared" si="7"/>
        <v>176445.93273067346</v>
      </c>
      <c r="L54" s="548">
        <f t="shared" si="7"/>
        <v>176445.93273067346</v>
      </c>
      <c r="M54" s="548">
        <f t="shared" si="7"/>
        <v>0.61003457107532311</v>
      </c>
      <c r="N54" s="548">
        <f t="shared" si="7"/>
        <v>0.61003457107532311</v>
      </c>
      <c r="O54" s="548">
        <f t="shared" si="7"/>
        <v>30</v>
      </c>
      <c r="P54" s="548"/>
      <c r="Q54" s="1416">
        <f t="shared" ref="Q54:T57" si="8">Q26</f>
        <v>7691.3222822273447</v>
      </c>
      <c r="R54" s="1416">
        <f t="shared" si="8"/>
        <v>219752.06520649555</v>
      </c>
      <c r="S54" s="548">
        <f t="shared" si="8"/>
        <v>0</v>
      </c>
      <c r="T54" s="548">
        <f t="shared" si="8"/>
        <v>1E-3</v>
      </c>
      <c r="U54" s="548"/>
      <c r="W54" s="1362"/>
      <c r="Z54" s="1425"/>
      <c r="AB54" s="1362"/>
      <c r="AD54" s="548" t="s">
        <v>518</v>
      </c>
      <c r="AE54" s="548" t="s">
        <v>1379</v>
      </c>
      <c r="AF54" s="570" t="str">
        <f>AF15</f>
        <v>Deep sea ships</v>
      </c>
    </row>
    <row r="55" spans="2:32">
      <c r="C55" s="570" t="str">
        <f>"TFS"&amp;LEFT(AD55,1)&amp;AE55&amp;RIGHT(F55,2)&amp;MID(G55,3,1)&amp;"N"</f>
        <v>TFSIAMICDI3N</v>
      </c>
      <c r="E55" s="555" t="s">
        <v>1380</v>
      </c>
      <c r="F55" s="548" t="str">
        <f>F48</f>
        <v>TFSDI</v>
      </c>
      <c r="G55" s="548">
        <v>2030</v>
      </c>
      <c r="H55" s="548" t="str">
        <f>H44</f>
        <v>MKr10</v>
      </c>
      <c r="I55" s="548">
        <f t="shared" si="7"/>
        <v>16714.53</v>
      </c>
      <c r="J55" s="548">
        <f t="shared" si="7"/>
        <v>16714.53</v>
      </c>
      <c r="K55" s="548">
        <f t="shared" si="7"/>
        <v>184948.12800000003</v>
      </c>
      <c r="L55" s="548">
        <f t="shared" si="7"/>
        <v>184948.12800000003</v>
      </c>
      <c r="M55" s="548">
        <f t="shared" si="7"/>
        <v>0.52591417214154956</v>
      </c>
      <c r="N55" s="548">
        <f t="shared" si="7"/>
        <v>0.52591417214154956</v>
      </c>
      <c r="O55" s="548">
        <f t="shared" si="7"/>
        <v>30</v>
      </c>
      <c r="P55" s="548"/>
      <c r="Q55" s="1416">
        <f t="shared" si="8"/>
        <v>8803.5143833632974</v>
      </c>
      <c r="R55" s="1416">
        <f t="shared" si="8"/>
        <v>251528.98238180848</v>
      </c>
      <c r="S55" s="548">
        <f t="shared" si="8"/>
        <v>0</v>
      </c>
      <c r="T55" s="548">
        <f t="shared" si="8"/>
        <v>1E-3</v>
      </c>
      <c r="U55" s="548"/>
      <c r="W55" s="1362"/>
      <c r="Z55" s="1425"/>
      <c r="AB55" s="1362"/>
      <c r="AD55" s="548" t="s">
        <v>518</v>
      </c>
      <c r="AE55" s="548" t="s">
        <v>1379</v>
      </c>
      <c r="AF55" s="570" t="str">
        <f>AF16</f>
        <v>Deep sea ships</v>
      </c>
    </row>
    <row r="56" spans="2:32">
      <c r="C56" s="570" t="str">
        <f>"TFS"&amp;LEFT(AD56,1)&amp;AE56&amp;RIGHT(F56,2)&amp;MID(G56,3,1)&amp;"N"</f>
        <v>TFSIAMICCI3N</v>
      </c>
      <c r="E56" s="555" t="s">
        <v>1380</v>
      </c>
      <c r="F56" s="548" t="str">
        <f>F28</f>
        <v>TFSCI</v>
      </c>
      <c r="G56" s="548">
        <v>2030</v>
      </c>
      <c r="H56" s="548" t="str">
        <f>H48</f>
        <v>MKr10</v>
      </c>
      <c r="I56" s="548">
        <f t="shared" si="7"/>
        <v>22366.079999999998</v>
      </c>
      <c r="J56" s="548">
        <f t="shared" si="7"/>
        <v>22366.079999999998</v>
      </c>
      <c r="K56" s="548">
        <f t="shared" si="7"/>
        <v>240108.09600000002</v>
      </c>
      <c r="L56" s="548">
        <f t="shared" si="7"/>
        <v>240108.09600000002</v>
      </c>
      <c r="M56" s="548">
        <f t="shared" si="7"/>
        <v>0.35855970078637039</v>
      </c>
      <c r="N56" s="548">
        <f t="shared" si="7"/>
        <v>0.35855970078637039</v>
      </c>
      <c r="O56" s="548">
        <f t="shared" si="7"/>
        <v>30</v>
      </c>
      <c r="P56" s="548"/>
      <c r="Q56" s="1416">
        <f t="shared" si="8"/>
        <v>14826.762561088031</v>
      </c>
      <c r="R56" s="1416">
        <f t="shared" si="8"/>
        <v>423621.78745965799</v>
      </c>
      <c r="S56" s="548">
        <f t="shared" si="8"/>
        <v>0</v>
      </c>
      <c r="T56" s="548">
        <f t="shared" si="8"/>
        <v>1E-3</v>
      </c>
      <c r="U56" s="548"/>
      <c r="W56" s="1362"/>
      <c r="Z56" s="1425"/>
      <c r="AB56" s="1362"/>
      <c r="AD56" s="548" t="s">
        <v>518</v>
      </c>
      <c r="AE56" s="548" t="s">
        <v>1379</v>
      </c>
      <c r="AF56" s="570" t="s">
        <v>1335</v>
      </c>
    </row>
    <row r="57" spans="2:32">
      <c r="C57" s="570" t="str">
        <f>"TFS"&amp;LEFT(AD57,1)&amp;AE57&amp;RIGHT(F57,2)&amp;MID(G57,3,1)&amp;"N"</f>
        <v>TFSIAMICRI3N</v>
      </c>
      <c r="E57" s="1387" t="s">
        <v>1380</v>
      </c>
      <c r="F57" s="1386" t="str">
        <f>F52</f>
        <v>TFSRI</v>
      </c>
      <c r="G57" s="1386">
        <v>2030</v>
      </c>
      <c r="H57" s="1386" t="str">
        <f>H52</f>
        <v>MKr10</v>
      </c>
      <c r="I57" s="1386">
        <f t="shared" si="7"/>
        <v>7611.9250000000011</v>
      </c>
      <c r="J57" s="1386">
        <f t="shared" si="7"/>
        <v>7611.9250000000011</v>
      </c>
      <c r="K57" s="1386">
        <f t="shared" si="7"/>
        <v>240108.09600000002</v>
      </c>
      <c r="L57" s="1386">
        <f t="shared" si="7"/>
        <v>240108.09600000002</v>
      </c>
      <c r="M57" s="1386">
        <f t="shared" si="7"/>
        <v>0.35855970078637039</v>
      </c>
      <c r="N57" s="1386">
        <f t="shared" si="7"/>
        <v>0.35855970078637039</v>
      </c>
      <c r="O57" s="1386">
        <f t="shared" si="7"/>
        <v>30</v>
      </c>
      <c r="P57" s="1386"/>
      <c r="Q57" s="1426">
        <f t="shared" si="8"/>
        <v>9168.0854681490018</v>
      </c>
      <c r="R57" s="1426">
        <f t="shared" si="8"/>
        <v>261945.29908997146</v>
      </c>
      <c r="S57" s="1386">
        <f t="shared" si="8"/>
        <v>0</v>
      </c>
      <c r="T57" s="1386">
        <f t="shared" si="8"/>
        <v>1E-3</v>
      </c>
      <c r="U57" s="1386"/>
      <c r="V57" s="1149"/>
      <c r="W57" s="1374"/>
      <c r="X57" s="1149"/>
      <c r="Y57" s="1149"/>
      <c r="Z57" s="1425"/>
      <c r="AB57" s="1362"/>
      <c r="AD57" s="548" t="s">
        <v>518</v>
      </c>
      <c r="AE57" s="548" t="s">
        <v>1379</v>
      </c>
      <c r="AF57" s="570" t="s">
        <v>1335</v>
      </c>
    </row>
    <row r="58" spans="2:32">
      <c r="E58" s="555"/>
      <c r="F58" s="548"/>
      <c r="G58" s="548"/>
      <c r="H58" s="1362"/>
      <c r="I58" s="1362"/>
      <c r="J58" s="1362"/>
      <c r="K58" s="1362"/>
      <c r="L58" s="1397"/>
      <c r="M58" s="1424"/>
      <c r="N58" s="1363"/>
      <c r="O58" s="1363"/>
      <c r="P58" s="1366"/>
      <c r="Q58" s="1366"/>
      <c r="R58" s="1362"/>
      <c r="S58" s="1362"/>
      <c r="T58" s="1362"/>
      <c r="U58" s="1368"/>
    </row>
    <row r="59" spans="2:32">
      <c r="E59" s="555"/>
      <c r="F59" s="548"/>
      <c r="G59" s="548"/>
      <c r="H59" s="1362"/>
      <c r="I59" s="1362"/>
      <c r="J59" s="1362"/>
      <c r="K59" s="1362"/>
      <c r="L59" s="1397"/>
      <c r="N59" s="1363"/>
      <c r="O59" s="1363"/>
      <c r="P59" s="1366"/>
      <c r="Q59" s="1366"/>
      <c r="R59" s="1362"/>
      <c r="S59" s="1362"/>
      <c r="T59" s="1362"/>
      <c r="U59" s="1368"/>
    </row>
    <row r="60" spans="2:32">
      <c r="E60" s="555"/>
      <c r="F60" s="548"/>
      <c r="G60" s="548"/>
      <c r="H60" s="1362"/>
      <c r="I60" s="1362"/>
      <c r="J60" s="1362"/>
      <c r="K60" s="1362"/>
      <c r="L60" s="1397"/>
      <c r="M60" s="1424"/>
      <c r="N60" s="1363"/>
      <c r="O60" s="1363"/>
      <c r="P60" s="1366"/>
      <c r="Q60" s="1366"/>
      <c r="R60" s="1362"/>
      <c r="S60" s="1362"/>
      <c r="T60" s="1362"/>
      <c r="U60" s="1368"/>
    </row>
    <row r="61" spans="2:32">
      <c r="E61" s="555"/>
      <c r="F61" s="548"/>
      <c r="G61" s="548"/>
      <c r="H61" s="1362"/>
      <c r="I61" s="1362"/>
      <c r="J61" s="1362"/>
      <c r="K61" s="1362"/>
      <c r="L61" s="1397"/>
    </row>
    <row r="62" spans="2:32">
      <c r="B62" s="18" t="s">
        <v>1483</v>
      </c>
      <c r="C62" s="18"/>
      <c r="D62" s="18"/>
      <c r="E62" s="575"/>
      <c r="F62" s="575"/>
      <c r="G62" s="548"/>
    </row>
    <row r="63" spans="2:32" ht="13.8">
      <c r="B63" s="1367" t="s">
        <v>63</v>
      </c>
      <c r="C63" s="1367" t="s">
        <v>1</v>
      </c>
      <c r="D63" s="1367" t="s">
        <v>64</v>
      </c>
      <c r="E63" s="1367" t="s">
        <v>65</v>
      </c>
      <c r="F63" s="1367" t="s">
        <v>66</v>
      </c>
      <c r="G63" s="1367" t="s">
        <v>67</v>
      </c>
      <c r="H63" s="1367" t="s">
        <v>68</v>
      </c>
      <c r="I63" s="1367" t="s">
        <v>69</v>
      </c>
      <c r="K63" s="541"/>
      <c r="L63" s="557"/>
    </row>
    <row r="64" spans="2:32" ht="41.4" thickBot="1">
      <c r="B64" s="20" t="s">
        <v>70</v>
      </c>
      <c r="C64" s="20" t="s">
        <v>71</v>
      </c>
      <c r="D64" s="20" t="s">
        <v>72</v>
      </c>
      <c r="E64" s="20" t="s">
        <v>73</v>
      </c>
      <c r="F64" s="20" t="s">
        <v>74</v>
      </c>
      <c r="G64" s="20" t="s">
        <v>75</v>
      </c>
      <c r="H64" s="20" t="s">
        <v>76</v>
      </c>
      <c r="I64" s="20" t="s">
        <v>77</v>
      </c>
      <c r="K64" s="541"/>
      <c r="L64" s="557"/>
    </row>
    <row r="65" spans="2:12">
      <c r="B65" s="575" t="s">
        <v>78</v>
      </c>
      <c r="C65" s="575" t="str">
        <f>C7</f>
        <v>TFSIFOICLI1N</v>
      </c>
      <c r="D65" s="575" t="s">
        <v>1332</v>
      </c>
      <c r="E65" s="567" t="s">
        <v>86</v>
      </c>
      <c r="F65" s="567" t="s">
        <v>82</v>
      </c>
      <c r="G65" s="575"/>
      <c r="H65" s="575"/>
      <c r="I65" s="575"/>
      <c r="K65" s="541"/>
      <c r="L65" s="557"/>
    </row>
    <row r="66" spans="2:12">
      <c r="C66" s="575" t="str">
        <f>C15</f>
        <v>TFSIFOICLI1N</v>
      </c>
      <c r="D66" s="575" t="s">
        <v>1329</v>
      </c>
      <c r="E66" s="567" t="s">
        <v>86</v>
      </c>
      <c r="F66" s="567" t="s">
        <v>82</v>
      </c>
      <c r="K66" s="1366"/>
      <c r="L66" s="1365"/>
    </row>
    <row r="67" spans="2:12">
      <c r="C67" s="575" t="str">
        <f>C9</f>
        <v>TFSIFOICDI1N</v>
      </c>
      <c r="D67" s="575" t="s">
        <v>1326</v>
      </c>
      <c r="E67" s="567" t="s">
        <v>86</v>
      </c>
      <c r="F67" s="567" t="s">
        <v>82</v>
      </c>
      <c r="L67" s="1365"/>
    </row>
    <row r="68" spans="2:12">
      <c r="C68" s="575" t="str">
        <f>C16</f>
        <v>TFSIFOICDI1N</v>
      </c>
      <c r="D68" s="575" t="s">
        <v>1323</v>
      </c>
      <c r="E68" s="567" t="s">
        <v>86</v>
      </c>
      <c r="F68" s="567" t="s">
        <v>82</v>
      </c>
    </row>
    <row r="69" spans="2:12">
      <c r="C69" s="575" t="str">
        <f>C11</f>
        <v>TFSIFOICCI1N</v>
      </c>
      <c r="D69" s="575" t="s">
        <v>1320</v>
      </c>
      <c r="E69" s="567" t="s">
        <v>86</v>
      </c>
      <c r="F69" s="567" t="s">
        <v>82</v>
      </c>
    </row>
    <row r="70" spans="2:12">
      <c r="C70" s="575" t="str">
        <f>C17</f>
        <v>TFSIFOICCI1N</v>
      </c>
      <c r="D70" s="575" t="s">
        <v>1317</v>
      </c>
      <c r="E70" s="567" t="s">
        <v>86</v>
      </c>
      <c r="F70" s="567" t="s">
        <v>82</v>
      </c>
    </row>
    <row r="71" spans="2:12">
      <c r="C71" s="575" t="str">
        <f>C18</f>
        <v>TFSIMOICLI2N</v>
      </c>
      <c r="D71" s="575" t="s">
        <v>1310</v>
      </c>
      <c r="E71" s="567" t="s">
        <v>86</v>
      </c>
      <c r="F71" s="567" t="s">
        <v>82</v>
      </c>
    </row>
    <row r="72" spans="2:12">
      <c r="C72" s="575" t="str">
        <f>C23</f>
        <v>TFSIH2ICDI2N</v>
      </c>
      <c r="D72" s="575" t="s">
        <v>1307</v>
      </c>
      <c r="E72" s="567" t="s">
        <v>86</v>
      </c>
      <c r="F72" s="567" t="s">
        <v>82</v>
      </c>
    </row>
    <row r="73" spans="2:12">
      <c r="C73" s="575" t="str">
        <f>C19</f>
        <v>TFSIMOICDI2N</v>
      </c>
      <c r="D73" s="575" t="s">
        <v>1304</v>
      </c>
      <c r="E73" s="567" t="s">
        <v>86</v>
      </c>
      <c r="F73" s="567" t="s">
        <v>82</v>
      </c>
    </row>
    <row r="74" spans="2:12">
      <c r="C74" s="575" t="str">
        <f>C24</f>
        <v>TFSIH2ICCI2N</v>
      </c>
      <c r="D74" s="575" t="s">
        <v>1301</v>
      </c>
      <c r="E74" s="567" t="s">
        <v>86</v>
      </c>
      <c r="F74" s="567" t="s">
        <v>82</v>
      </c>
    </row>
    <row r="75" spans="2:12">
      <c r="C75" s="575" t="str">
        <f>C20</f>
        <v>TFSIMOICCI2N</v>
      </c>
      <c r="D75" s="575" t="s">
        <v>1298</v>
      </c>
      <c r="E75" s="567" t="s">
        <v>86</v>
      </c>
      <c r="F75" s="567" t="s">
        <v>82</v>
      </c>
    </row>
    <row r="76" spans="2:12">
      <c r="C76" s="575" t="str">
        <f>C22</f>
        <v>TFSIH2ICLI2N</v>
      </c>
      <c r="D76" s="575" t="s">
        <v>1295</v>
      </c>
      <c r="E76" s="567" t="s">
        <v>86</v>
      </c>
      <c r="F76" s="567" t="s">
        <v>82</v>
      </c>
    </row>
    <row r="77" spans="2:12">
      <c r="C77" s="575" t="str">
        <f>C26</f>
        <v>TFSINGICLI2N</v>
      </c>
      <c r="D77" s="575" t="s">
        <v>1288</v>
      </c>
      <c r="E77" s="567" t="s">
        <v>86</v>
      </c>
      <c r="F77" s="567" t="s">
        <v>82</v>
      </c>
    </row>
    <row r="78" spans="2:12">
      <c r="C78" s="575" t="str">
        <f>C27</f>
        <v>TFSINGICDI2N</v>
      </c>
      <c r="D78" s="575" t="s">
        <v>1285</v>
      </c>
      <c r="E78" s="567" t="s">
        <v>86</v>
      </c>
      <c r="F78" s="567" t="s">
        <v>82</v>
      </c>
    </row>
    <row r="79" spans="2:12">
      <c r="C79" s="575" t="str">
        <f>C28</f>
        <v>TFSINGICCI2N</v>
      </c>
      <c r="D79" s="575" t="s">
        <v>1282</v>
      </c>
      <c r="E79" s="567" t="s">
        <v>86</v>
      </c>
      <c r="F79" s="567" t="s">
        <v>82</v>
      </c>
    </row>
    <row r="80" spans="2:12">
      <c r="C80" s="575" t="str">
        <f>C30</f>
        <v>TFSINGDULI2N</v>
      </c>
      <c r="D80" s="575" t="s">
        <v>1277</v>
      </c>
      <c r="E80" s="567" t="s">
        <v>86</v>
      </c>
      <c r="F80" s="567" t="s">
        <v>82</v>
      </c>
    </row>
    <row r="81" spans="3:6">
      <c r="C81" s="575" t="str">
        <f>C34</f>
        <v>TFSINGDUDI2N</v>
      </c>
      <c r="D81" s="575" t="s">
        <v>1274</v>
      </c>
      <c r="E81" s="567" t="s">
        <v>86</v>
      </c>
      <c r="F81" s="567" t="s">
        <v>82</v>
      </c>
    </row>
    <row r="82" spans="3:6">
      <c r="C82" s="575" t="str">
        <f>C38</f>
        <v>TFSINGDUCI2N</v>
      </c>
      <c r="D82" s="575" t="s">
        <v>1271</v>
      </c>
      <c r="E82" s="567" t="s">
        <v>86</v>
      </c>
      <c r="F82" s="567" t="s">
        <v>82</v>
      </c>
    </row>
    <row r="83" spans="3:6">
      <c r="C83" s="570" t="str">
        <f>C13</f>
        <v>TFSIFOICRI1N</v>
      </c>
      <c r="D83" s="575" t="s">
        <v>1378</v>
      </c>
      <c r="E83" s="567" t="s">
        <v>86</v>
      </c>
      <c r="F83" s="567" t="s">
        <v>82</v>
      </c>
    </row>
    <row r="84" spans="3:6">
      <c r="C84" s="570" t="str">
        <f>C21</f>
        <v>TFSIMOICRI2N</v>
      </c>
      <c r="D84" s="575" t="s">
        <v>1377</v>
      </c>
      <c r="E84" s="567" t="s">
        <v>86</v>
      </c>
      <c r="F84" s="567" t="s">
        <v>82</v>
      </c>
    </row>
    <row r="85" spans="3:6">
      <c r="C85" s="570" t="str">
        <f>C25</f>
        <v>TFSIH2ICRI2N</v>
      </c>
      <c r="D85" s="575" t="s">
        <v>1376</v>
      </c>
      <c r="E85" s="567" t="s">
        <v>86</v>
      </c>
      <c r="F85" s="567" t="s">
        <v>82</v>
      </c>
    </row>
    <row r="86" spans="3:6">
      <c r="C86" s="570" t="str">
        <f>C29</f>
        <v>TFSINGICRI2N</v>
      </c>
      <c r="D86" s="575" t="s">
        <v>1375</v>
      </c>
      <c r="E86" s="567" t="s">
        <v>86</v>
      </c>
      <c r="F86" s="567" t="s">
        <v>82</v>
      </c>
    </row>
    <row r="87" spans="3:6">
      <c r="C87" s="570" t="str">
        <f>C42</f>
        <v>TFSINGDURI2N</v>
      </c>
      <c r="D87" s="575" t="s">
        <v>1374</v>
      </c>
      <c r="E87" s="567" t="s">
        <v>86</v>
      </c>
      <c r="F87" s="567" t="s">
        <v>82</v>
      </c>
    </row>
    <row r="88" spans="3:6">
      <c r="C88" s="570" t="str">
        <f>C46</f>
        <v>TFSIAMDULI3N</v>
      </c>
      <c r="D88" s="575" t="s">
        <v>1373</v>
      </c>
      <c r="E88" s="567" t="s">
        <v>86</v>
      </c>
      <c r="F88" s="567" t="s">
        <v>82</v>
      </c>
    </row>
    <row r="89" spans="3:6">
      <c r="C89" s="570" t="str">
        <f>C48</f>
        <v>TFSIAMDUDI3N</v>
      </c>
      <c r="D89" s="575" t="s">
        <v>1372</v>
      </c>
      <c r="E89" s="567" t="s">
        <v>86</v>
      </c>
      <c r="F89" s="567" t="s">
        <v>82</v>
      </c>
    </row>
    <row r="90" spans="3:6">
      <c r="C90" s="570" t="str">
        <f>C50</f>
        <v>TFSIAMDUCI3N</v>
      </c>
      <c r="D90" s="575" t="s">
        <v>1371</v>
      </c>
      <c r="E90" s="567" t="s">
        <v>86</v>
      </c>
      <c r="F90" s="567" t="s">
        <v>82</v>
      </c>
    </row>
    <row r="91" spans="3:6">
      <c r="C91" s="570" t="str">
        <f>C52</f>
        <v>TFSIAMDURI3N</v>
      </c>
      <c r="D91" s="575" t="s">
        <v>1370</v>
      </c>
      <c r="E91" s="567" t="s">
        <v>86</v>
      </c>
      <c r="F91" s="567" t="s">
        <v>82</v>
      </c>
    </row>
    <row r="92" spans="3:6">
      <c r="C92" s="570" t="str">
        <f>C54</f>
        <v>TFSIAMICLI3N</v>
      </c>
      <c r="D92" s="575" t="s">
        <v>1369</v>
      </c>
      <c r="E92" s="567" t="s">
        <v>86</v>
      </c>
      <c r="F92" s="567" t="s">
        <v>82</v>
      </c>
    </row>
    <row r="93" spans="3:6">
      <c r="C93" s="570" t="str">
        <f>C55</f>
        <v>TFSIAMICDI3N</v>
      </c>
      <c r="D93" s="575" t="s">
        <v>1368</v>
      </c>
      <c r="E93" s="567" t="s">
        <v>86</v>
      </c>
      <c r="F93" s="567" t="s">
        <v>82</v>
      </c>
    </row>
    <row r="94" spans="3:6">
      <c r="C94" s="570" t="str">
        <f>C56</f>
        <v>TFSIAMICCI3N</v>
      </c>
      <c r="D94" s="575" t="s">
        <v>1367</v>
      </c>
      <c r="E94" s="567" t="s">
        <v>86</v>
      </c>
      <c r="F94" s="567" t="s">
        <v>82</v>
      </c>
    </row>
    <row r="95" spans="3:6">
      <c r="C95" s="570" t="str">
        <f>C57</f>
        <v>TFSIAMICRI3N</v>
      </c>
      <c r="D95" s="575" t="s">
        <v>1366</v>
      </c>
      <c r="E95" s="567" t="s">
        <v>86</v>
      </c>
      <c r="F95" s="567" t="s">
        <v>82</v>
      </c>
    </row>
  </sheetData>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4B58-5A3B-4636-A365-E02C443C8636}">
  <sheetPr>
    <tabColor rgb="FF002060"/>
  </sheetPr>
  <dimension ref="C3:AJ105"/>
  <sheetViews>
    <sheetView topLeftCell="I1" workbookViewId="0">
      <selection activeCell="D59" sqref="D59"/>
    </sheetView>
  </sheetViews>
  <sheetFormatPr defaultColWidth="8.88671875" defaultRowHeight="13.2"/>
  <cols>
    <col min="1" max="2" width="8.88671875" style="570"/>
    <col min="3" max="3" width="12.6640625" style="570" customWidth="1"/>
    <col min="4" max="4" width="14" style="570" customWidth="1"/>
    <col min="5" max="5" width="15.88671875" style="570" customWidth="1"/>
    <col min="6" max="6" width="12.33203125" style="570" customWidth="1"/>
    <col min="7" max="7" width="13.6640625" style="570" customWidth="1"/>
    <col min="8" max="14" width="8.88671875" style="570"/>
    <col min="15" max="15" width="16.44140625" style="570" customWidth="1"/>
    <col min="16" max="16" width="9.5546875" style="570" customWidth="1"/>
    <col min="17" max="17" width="13.33203125" style="570" customWidth="1"/>
    <col min="18" max="18" width="12.6640625" style="570" customWidth="1"/>
    <col min="19" max="19" width="10" style="570" bestFit="1" customWidth="1"/>
    <col min="20" max="21" width="8.88671875" style="570"/>
    <col min="22" max="22" width="14.44140625" style="570" customWidth="1"/>
    <col min="23" max="16384" width="8.88671875" style="570"/>
  </cols>
  <sheetData>
    <row r="3" spans="3:33">
      <c r="O3" s="570" t="s">
        <v>1481</v>
      </c>
      <c r="R3" s="570" t="s">
        <v>1480</v>
      </c>
    </row>
    <row r="5" spans="3:33">
      <c r="O5" s="570" t="s">
        <v>1479</v>
      </c>
      <c r="Q5" s="570">
        <f>80000+30000</f>
        <v>110000</v>
      </c>
      <c r="R5" s="570" t="s">
        <v>1478</v>
      </c>
    </row>
    <row r="6" spans="3:33">
      <c r="O6" s="570" t="s">
        <v>1477</v>
      </c>
      <c r="Q6" s="570">
        <v>190</v>
      </c>
      <c r="R6" s="570" t="s">
        <v>1470</v>
      </c>
      <c r="T6" s="549"/>
    </row>
    <row r="7" spans="3:33">
      <c r="O7" s="570" t="s">
        <v>1476</v>
      </c>
      <c r="Q7" s="549">
        <f>O13+S11+V11</f>
        <v>692.89558165690426</v>
      </c>
      <c r="R7" s="570" t="s">
        <v>1470</v>
      </c>
    </row>
    <row r="8" spans="3:33">
      <c r="Q8" s="570">
        <f>Q6/Q7</f>
        <v>0.27421159122657074</v>
      </c>
      <c r="R8" s="570" t="s">
        <v>1475</v>
      </c>
    </row>
    <row r="10" spans="3:33">
      <c r="O10" s="570" t="s">
        <v>1474</v>
      </c>
      <c r="S10" s="570" t="s">
        <v>1473</v>
      </c>
      <c r="V10" s="570" t="s">
        <v>1472</v>
      </c>
    </row>
    <row r="11" spans="3:33">
      <c r="O11" s="541">
        <f>4.5/6.5</f>
        <v>0.69230769230769229</v>
      </c>
      <c r="P11" s="570" t="s">
        <v>1471</v>
      </c>
      <c r="S11" s="549">
        <f>Q5*AJ18/1000000</f>
        <v>605</v>
      </c>
      <c r="T11" s="570" t="s">
        <v>1470</v>
      </c>
      <c r="V11" s="549">
        <v>8.1455816569042536</v>
      </c>
      <c r="W11" s="570" t="s">
        <v>1470</v>
      </c>
    </row>
    <row r="12" spans="3:33">
      <c r="O12" s="549">
        <f>Q5/1000*O11</f>
        <v>76.153846153846146</v>
      </c>
      <c r="P12" s="570" t="s">
        <v>1469</v>
      </c>
    </row>
    <row r="13" spans="3:33">
      <c r="C13" s="1424"/>
      <c r="O13" s="549">
        <f>Q5*AJ31/1000000</f>
        <v>79.75</v>
      </c>
      <c r="P13" s="570" t="s">
        <v>1468</v>
      </c>
    </row>
    <row r="15" spans="3:33">
      <c r="C15" s="1446" t="s">
        <v>1467</v>
      </c>
      <c r="E15" s="1363"/>
      <c r="F15" s="1366"/>
      <c r="G15" s="1366"/>
      <c r="H15" s="1362"/>
      <c r="I15" s="1362"/>
      <c r="J15" s="1362"/>
      <c r="K15" s="1368"/>
      <c r="R15" s="548"/>
      <c r="S15" s="548"/>
      <c r="T15" s="548"/>
      <c r="V15" s="683" t="s">
        <v>1466</v>
      </c>
      <c r="AG15" s="683" t="s">
        <v>1439</v>
      </c>
    </row>
    <row r="16" spans="3:33">
      <c r="C16" s="1445"/>
      <c r="D16" s="557"/>
      <c r="E16" s="542"/>
      <c r="H16" s="485"/>
      <c r="I16" s="485"/>
      <c r="J16" s="485"/>
      <c r="O16" s="683" t="s">
        <v>1465</v>
      </c>
      <c r="T16" s="548"/>
      <c r="W16" s="570">
        <v>2020</v>
      </c>
      <c r="X16" s="570">
        <v>2030</v>
      </c>
      <c r="AG16" s="683" t="s">
        <v>1462</v>
      </c>
    </row>
    <row r="17" spans="3:36">
      <c r="C17" s="1444" t="s">
        <v>1464</v>
      </c>
      <c r="E17" s="570">
        <v>17.8</v>
      </c>
      <c r="G17" s="1357" t="s">
        <v>1463</v>
      </c>
      <c r="K17" s="1357"/>
      <c r="O17" s="683" t="s">
        <v>1462</v>
      </c>
      <c r="V17" s="570" t="s">
        <v>1428</v>
      </c>
      <c r="W17" s="1443">
        <v>0.4</v>
      </c>
      <c r="X17" s="570">
        <f t="shared" ref="X17:X24" si="0">W17/0.993^10</f>
        <v>0.42910888438440442</v>
      </c>
      <c r="AH17" s="570" t="s">
        <v>1338</v>
      </c>
      <c r="AI17" s="570" t="s">
        <v>1383</v>
      </c>
      <c r="AJ17" s="570" t="s">
        <v>1335</v>
      </c>
    </row>
    <row r="18" spans="3:36">
      <c r="C18" s="1444" t="s">
        <v>1461</v>
      </c>
      <c r="E18" s="1443">
        <v>0.8</v>
      </c>
      <c r="G18" s="1357" t="s">
        <v>1460</v>
      </c>
      <c r="P18" s="570" t="s">
        <v>1338</v>
      </c>
      <c r="Q18" s="570" t="s">
        <v>1383</v>
      </c>
      <c r="R18" s="570" t="s">
        <v>1335</v>
      </c>
      <c r="V18" s="570" t="s">
        <v>1426</v>
      </c>
      <c r="W18" s="1443">
        <v>0.4</v>
      </c>
      <c r="X18" s="570">
        <f t="shared" si="0"/>
        <v>0.42910888438440442</v>
      </c>
      <c r="AF18" s="570" t="s">
        <v>1167</v>
      </c>
      <c r="AG18" s="570" t="s">
        <v>1428</v>
      </c>
      <c r="AH18" s="570">
        <f>7300</f>
        <v>7300</v>
      </c>
      <c r="AI18" s="570">
        <v>7000</v>
      </c>
      <c r="AJ18" s="570">
        <v>5500</v>
      </c>
    </row>
    <row r="19" spans="3:36">
      <c r="C19" s="1444"/>
      <c r="N19" s="570" t="s">
        <v>1167</v>
      </c>
      <c r="O19" s="570" t="s">
        <v>1428</v>
      </c>
      <c r="P19" s="549">
        <f t="shared" ref="P19:R26" si="1">AH18*$Q$8</f>
        <v>2001.7446159539663</v>
      </c>
      <c r="Q19" s="549">
        <f t="shared" si="1"/>
        <v>1919.4811385859953</v>
      </c>
      <c r="R19" s="549">
        <f t="shared" si="1"/>
        <v>1508.163751746139</v>
      </c>
      <c r="V19" s="570" t="s">
        <v>1425</v>
      </c>
      <c r="W19" s="1443">
        <v>0.4</v>
      </c>
      <c r="X19" s="570">
        <f t="shared" si="0"/>
        <v>0.42910888438440442</v>
      </c>
      <c r="AF19" s="570" t="s">
        <v>1187</v>
      </c>
      <c r="AG19" s="570" t="s">
        <v>1426</v>
      </c>
      <c r="AH19" s="570">
        <v>7350</v>
      </c>
      <c r="AI19" s="570">
        <v>7150</v>
      </c>
      <c r="AJ19" s="570">
        <v>5600</v>
      </c>
    </row>
    <row r="20" spans="3:36">
      <c r="C20" s="570" t="s">
        <v>1459</v>
      </c>
      <c r="E20" s="1443"/>
      <c r="G20" s="1357" t="s">
        <v>1458</v>
      </c>
      <c r="N20" s="570" t="s">
        <v>1187</v>
      </c>
      <c r="O20" s="570" t="s">
        <v>1426</v>
      </c>
      <c r="P20" s="549">
        <f t="shared" si="1"/>
        <v>2015.4551955152949</v>
      </c>
      <c r="Q20" s="549">
        <f t="shared" si="1"/>
        <v>1960.6128772699808</v>
      </c>
      <c r="R20" s="549">
        <f t="shared" si="1"/>
        <v>1535.5849108687962</v>
      </c>
      <c r="V20" s="570" t="s">
        <v>1422</v>
      </c>
      <c r="W20" s="1443">
        <v>0.4</v>
      </c>
      <c r="X20" s="570">
        <f t="shared" si="0"/>
        <v>0.42910888438440442</v>
      </c>
      <c r="AF20" s="570" t="s">
        <v>1198</v>
      </c>
      <c r="AG20" s="570" t="s">
        <v>1425</v>
      </c>
      <c r="AH20" s="570">
        <v>7750</v>
      </c>
      <c r="AI20" s="570">
        <v>7750</v>
      </c>
      <c r="AJ20" s="570">
        <v>5950</v>
      </c>
    </row>
    <row r="21" spans="3:36">
      <c r="C21" s="541" t="s">
        <v>1457</v>
      </c>
      <c r="G21" s="570" t="s">
        <v>1456</v>
      </c>
      <c r="N21" s="570" t="s">
        <v>1198</v>
      </c>
      <c r="O21" s="570" t="s">
        <v>1425</v>
      </c>
      <c r="P21" s="549">
        <f t="shared" si="1"/>
        <v>2125.1398320059234</v>
      </c>
      <c r="Q21" s="549">
        <f t="shared" si="1"/>
        <v>2125.1398320059234</v>
      </c>
      <c r="R21" s="549">
        <f t="shared" si="1"/>
        <v>1631.5589677980959</v>
      </c>
      <c r="V21" s="570" t="s">
        <v>1420</v>
      </c>
      <c r="W21" s="1443">
        <v>0.45</v>
      </c>
      <c r="X21" s="570">
        <f t="shared" si="0"/>
        <v>0.48274749493245495</v>
      </c>
      <c r="AF21" s="570" t="s">
        <v>1186</v>
      </c>
      <c r="AG21" s="570" t="s">
        <v>1422</v>
      </c>
      <c r="AH21" s="570">
        <v>8100</v>
      </c>
      <c r="AI21" s="570">
        <v>8900</v>
      </c>
      <c r="AJ21" s="570">
        <v>6500</v>
      </c>
    </row>
    <row r="22" spans="3:36">
      <c r="C22" s="541"/>
      <c r="E22" s="1443"/>
      <c r="G22" s="1357"/>
      <c r="N22" s="570" t="s">
        <v>1186</v>
      </c>
      <c r="O22" s="570" t="s">
        <v>1422</v>
      </c>
      <c r="P22" s="549">
        <f t="shared" si="1"/>
        <v>2221.1138889352228</v>
      </c>
      <c r="Q22" s="549">
        <f t="shared" si="1"/>
        <v>2440.4831619164797</v>
      </c>
      <c r="R22" s="549">
        <f t="shared" si="1"/>
        <v>1782.3753429727099</v>
      </c>
      <c r="V22" s="570" t="s">
        <v>1418</v>
      </c>
      <c r="W22" s="1443">
        <v>0.45</v>
      </c>
      <c r="X22" s="570">
        <f t="shared" si="0"/>
        <v>0.48274749493245495</v>
      </c>
      <c r="AF22" s="570" t="s">
        <v>1184</v>
      </c>
      <c r="AG22" s="570" t="s">
        <v>1420</v>
      </c>
      <c r="AH22" s="570">
        <v>10600</v>
      </c>
      <c r="AI22" s="570">
        <v>10400</v>
      </c>
      <c r="AJ22" s="570">
        <v>9000</v>
      </c>
    </row>
    <row r="23" spans="3:36">
      <c r="E23" s="1443"/>
      <c r="N23" s="570" t="s">
        <v>1184</v>
      </c>
      <c r="O23" s="570" t="s">
        <v>1420</v>
      </c>
      <c r="P23" s="549">
        <f t="shared" si="1"/>
        <v>2906.6428670016498</v>
      </c>
      <c r="Q23" s="549">
        <f t="shared" si="1"/>
        <v>2851.8005487563355</v>
      </c>
      <c r="R23" s="549">
        <f t="shared" si="1"/>
        <v>2467.9043210391364</v>
      </c>
      <c r="V23" s="570" t="s">
        <v>1417</v>
      </c>
      <c r="W23" s="1443">
        <v>0.45</v>
      </c>
      <c r="X23" s="570">
        <f t="shared" si="0"/>
        <v>0.48274749493245495</v>
      </c>
      <c r="AF23" s="570" t="s">
        <v>1182</v>
      </c>
      <c r="AG23" s="570" t="s">
        <v>1418</v>
      </c>
      <c r="AH23" s="570">
        <v>10650</v>
      </c>
      <c r="AI23" s="570">
        <v>10500</v>
      </c>
      <c r="AJ23" s="570">
        <v>9050</v>
      </c>
    </row>
    <row r="24" spans="3:36">
      <c r="C24" s="683" t="s">
        <v>1455</v>
      </c>
      <c r="F24" s="548" t="s">
        <v>1067</v>
      </c>
      <c r="G24" s="548" t="s">
        <v>1068</v>
      </c>
      <c r="N24" s="570" t="s">
        <v>1182</v>
      </c>
      <c r="O24" s="570" t="s">
        <v>1418</v>
      </c>
      <c r="P24" s="549">
        <f t="shared" si="1"/>
        <v>2920.3534465629782</v>
      </c>
      <c r="Q24" s="549">
        <f t="shared" si="1"/>
        <v>2879.2217078789927</v>
      </c>
      <c r="R24" s="549">
        <f t="shared" si="1"/>
        <v>2481.6149006004653</v>
      </c>
      <c r="V24" s="570" t="s">
        <v>1110</v>
      </c>
      <c r="W24" s="1443">
        <v>0.45</v>
      </c>
      <c r="X24" s="570">
        <f t="shared" si="0"/>
        <v>0.48274749493245495</v>
      </c>
      <c r="AF24" s="570" t="s">
        <v>1173</v>
      </c>
      <c r="AG24" s="570" t="s">
        <v>1417</v>
      </c>
      <c r="AH24" s="570">
        <v>10750</v>
      </c>
      <c r="AI24" s="570">
        <v>10750</v>
      </c>
      <c r="AJ24" s="570">
        <v>9200</v>
      </c>
    </row>
    <row r="25" spans="3:36">
      <c r="C25" s="570" t="s">
        <v>1340</v>
      </c>
      <c r="D25" s="570" t="s">
        <v>1454</v>
      </c>
      <c r="E25" s="570" t="s">
        <v>86</v>
      </c>
      <c r="F25" s="548">
        <v>298.85000000000002</v>
      </c>
      <c r="G25" s="570">
        <v>539.22</v>
      </c>
      <c r="N25" s="570" t="s">
        <v>1173</v>
      </c>
      <c r="O25" s="570" t="s">
        <v>1417</v>
      </c>
      <c r="P25" s="549">
        <f t="shared" si="1"/>
        <v>2947.7746056856354</v>
      </c>
      <c r="Q25" s="549">
        <f t="shared" si="1"/>
        <v>2947.7746056856354</v>
      </c>
      <c r="R25" s="549">
        <f t="shared" si="1"/>
        <v>2522.7466392844508</v>
      </c>
      <c r="AF25" s="570" t="s">
        <v>1180</v>
      </c>
      <c r="AG25" s="570" t="s">
        <v>1110</v>
      </c>
      <c r="AH25" s="570">
        <v>11100</v>
      </c>
      <c r="AI25" s="570">
        <v>12000</v>
      </c>
      <c r="AJ25" s="570">
        <v>9700</v>
      </c>
    </row>
    <row r="26" spans="3:36">
      <c r="C26" s="570" t="s">
        <v>1339</v>
      </c>
      <c r="D26" s="570" t="s">
        <v>1453</v>
      </c>
      <c r="E26" s="570" t="s">
        <v>86</v>
      </c>
      <c r="F26" s="549">
        <v>298.85000000000002</v>
      </c>
      <c r="G26" s="549">
        <v>539.22</v>
      </c>
      <c r="N26" s="570" t="s">
        <v>1180</v>
      </c>
      <c r="O26" s="570" t="s">
        <v>1110</v>
      </c>
      <c r="P26" s="549">
        <f t="shared" si="1"/>
        <v>3043.7486626149353</v>
      </c>
      <c r="Q26" s="549">
        <f t="shared" si="1"/>
        <v>3290.5390947188489</v>
      </c>
      <c r="R26" s="549">
        <f t="shared" si="1"/>
        <v>2659.8524348977362</v>
      </c>
      <c r="AG26" s="683" t="s">
        <v>1439</v>
      </c>
    </row>
    <row r="27" spans="3:36">
      <c r="C27" s="570" t="s">
        <v>1337</v>
      </c>
      <c r="D27" s="570" t="s">
        <v>1452</v>
      </c>
      <c r="E27" s="570" t="s">
        <v>86</v>
      </c>
      <c r="F27" s="549">
        <v>13.9</v>
      </c>
      <c r="G27" s="549">
        <v>25.08</v>
      </c>
      <c r="O27" s="683"/>
      <c r="AG27" s="683" t="s">
        <v>1450</v>
      </c>
    </row>
    <row r="28" spans="3:36">
      <c r="C28" s="570" t="s">
        <v>1336</v>
      </c>
      <c r="D28" s="570" t="s">
        <v>1451</v>
      </c>
      <c r="E28" s="570" t="s">
        <v>86</v>
      </c>
      <c r="F28" s="1441">
        <v>83.4</v>
      </c>
      <c r="G28" s="549">
        <v>150.47999999999999</v>
      </c>
      <c r="O28" s="683" t="s">
        <v>1450</v>
      </c>
      <c r="AH28" s="570" t="s">
        <v>1338</v>
      </c>
      <c r="AI28" s="570" t="s">
        <v>1383</v>
      </c>
      <c r="AJ28" s="570" t="s">
        <v>1335</v>
      </c>
    </row>
    <row r="29" spans="3:36">
      <c r="F29" s="1441"/>
      <c r="G29" s="549"/>
      <c r="P29" s="570" t="s">
        <v>1338</v>
      </c>
      <c r="Q29" s="570" t="s">
        <v>1383</v>
      </c>
      <c r="R29" s="570" t="s">
        <v>1335</v>
      </c>
      <c r="AF29" s="570" t="s">
        <v>1167</v>
      </c>
      <c r="AG29" s="570" t="s">
        <v>1428</v>
      </c>
      <c r="AH29" s="570">
        <v>700</v>
      </c>
      <c r="AI29" s="570">
        <v>600</v>
      </c>
      <c r="AJ29" s="570">
        <v>500</v>
      </c>
    </row>
    <row r="30" spans="3:36">
      <c r="N30" s="570" t="s">
        <v>1167</v>
      </c>
      <c r="O30" s="570" t="s">
        <v>1428</v>
      </c>
      <c r="P30" s="549">
        <f t="shared" ref="P30:R37" si="2">AH29</f>
        <v>700</v>
      </c>
      <c r="Q30" s="549">
        <f t="shared" si="2"/>
        <v>600</v>
      </c>
      <c r="R30" s="549">
        <f t="shared" si="2"/>
        <v>500</v>
      </c>
      <c r="V30" s="683" t="s">
        <v>1449</v>
      </c>
      <c r="AF30" s="570" t="s">
        <v>1187</v>
      </c>
      <c r="AG30" s="570" t="s">
        <v>1426</v>
      </c>
      <c r="AH30" s="570">
        <v>720</v>
      </c>
      <c r="AI30" s="570">
        <v>620</v>
      </c>
      <c r="AJ30" s="570">
        <v>520</v>
      </c>
    </row>
    <row r="31" spans="3:36">
      <c r="C31" s="683" t="s">
        <v>1448</v>
      </c>
      <c r="H31" s="548" t="s">
        <v>1432</v>
      </c>
      <c r="I31" s="548" t="s">
        <v>1432</v>
      </c>
      <c r="J31" s="548" t="s">
        <v>1432</v>
      </c>
      <c r="K31" s="548" t="s">
        <v>1432</v>
      </c>
      <c r="N31" s="570" t="s">
        <v>1187</v>
      </c>
      <c r="O31" s="570" t="s">
        <v>1426</v>
      </c>
      <c r="P31" s="549">
        <f t="shared" si="2"/>
        <v>720</v>
      </c>
      <c r="Q31" s="549">
        <f t="shared" si="2"/>
        <v>620</v>
      </c>
      <c r="R31" s="549">
        <f t="shared" si="2"/>
        <v>520</v>
      </c>
      <c r="V31" s="570" t="s">
        <v>1447</v>
      </c>
      <c r="AF31" s="570" t="s">
        <v>1198</v>
      </c>
      <c r="AG31" s="570" t="s">
        <v>1425</v>
      </c>
      <c r="AH31" s="570">
        <v>1015</v>
      </c>
      <c r="AI31" s="570">
        <v>870</v>
      </c>
      <c r="AJ31" s="570">
        <v>725</v>
      </c>
    </row>
    <row r="32" spans="3:36">
      <c r="D32" s="548" t="s">
        <v>1340</v>
      </c>
      <c r="E32" s="548" t="s">
        <v>1339</v>
      </c>
      <c r="F32" s="548" t="s">
        <v>1337</v>
      </c>
      <c r="G32" s="548" t="s">
        <v>1336</v>
      </c>
      <c r="H32" s="548" t="s">
        <v>1340</v>
      </c>
      <c r="I32" s="548" t="s">
        <v>1339</v>
      </c>
      <c r="J32" s="548" t="s">
        <v>1337</v>
      </c>
      <c r="K32" s="548" t="s">
        <v>1336</v>
      </c>
      <c r="N32" s="570" t="s">
        <v>1198</v>
      </c>
      <c r="O32" s="570" t="s">
        <v>1425</v>
      </c>
      <c r="P32" s="549">
        <f t="shared" si="2"/>
        <v>1015</v>
      </c>
      <c r="Q32" s="549">
        <f t="shared" si="2"/>
        <v>870</v>
      </c>
      <c r="R32" s="549">
        <f t="shared" si="2"/>
        <v>725</v>
      </c>
      <c r="V32" s="570" t="s">
        <v>1446</v>
      </c>
      <c r="AF32" s="570" t="s">
        <v>1186</v>
      </c>
      <c r="AG32" s="570" t="s">
        <v>1422</v>
      </c>
      <c r="AH32" s="570">
        <v>1015</v>
      </c>
      <c r="AI32" s="570">
        <v>870</v>
      </c>
      <c r="AJ32" s="570">
        <v>725</v>
      </c>
    </row>
    <row r="33" spans="3:36">
      <c r="C33" s="548" t="s">
        <v>1178</v>
      </c>
      <c r="D33" s="1442">
        <v>810</v>
      </c>
      <c r="E33" s="1362">
        <v>1527</v>
      </c>
      <c r="F33" s="1442">
        <v>2450</v>
      </c>
      <c r="G33" s="1442">
        <v>1002</v>
      </c>
      <c r="H33" s="570">
        <f>ShipData!D33/AVERAGE(ShipData!$E$57:$E$59,ShipData!E54)</f>
        <v>1580.487804878049</v>
      </c>
      <c r="I33" s="570">
        <f>E33/AVERAGE($E$62)</f>
        <v>2545</v>
      </c>
      <c r="J33" s="570">
        <f>F33/AVERAGE($E$65)</f>
        <v>3500</v>
      </c>
      <c r="K33" s="570">
        <f>G33/AVERAGE($E$66:$E$67)</f>
        <v>1431.4285714285716</v>
      </c>
      <c r="N33" s="570" t="s">
        <v>1186</v>
      </c>
      <c r="O33" s="570" t="s">
        <v>1422</v>
      </c>
      <c r="P33" s="549">
        <f t="shared" si="2"/>
        <v>1015</v>
      </c>
      <c r="Q33" s="549">
        <f t="shared" si="2"/>
        <v>870</v>
      </c>
      <c r="R33" s="549">
        <f t="shared" si="2"/>
        <v>725</v>
      </c>
      <c r="V33" s="570" t="s">
        <v>1445</v>
      </c>
      <c r="AF33" s="570" t="s">
        <v>1184</v>
      </c>
      <c r="AG33" s="570" t="s">
        <v>1420</v>
      </c>
      <c r="AH33" s="570">
        <v>4000</v>
      </c>
      <c r="AI33" s="570">
        <v>4000</v>
      </c>
      <c r="AJ33" s="570">
        <v>4000</v>
      </c>
    </row>
    <row r="34" spans="3:36">
      <c r="C34" s="548" t="s">
        <v>1174</v>
      </c>
      <c r="D34" s="1362">
        <v>3150</v>
      </c>
      <c r="E34" s="1362">
        <v>4174</v>
      </c>
      <c r="F34" s="1362">
        <v>4900</v>
      </c>
      <c r="G34" s="1374">
        <v>3608</v>
      </c>
      <c r="H34" s="570">
        <f>D34/AVERAGE($E$57:$E$59,E55)</f>
        <v>5943.3962264150941</v>
      </c>
      <c r="I34" s="570">
        <f>E34/AVERAGE($E$62)</f>
        <v>6956.666666666667</v>
      </c>
      <c r="J34" s="570">
        <f>F34/AVERAGE($E$65)</f>
        <v>7000</v>
      </c>
      <c r="K34" s="570">
        <f>G34/AVERAGE($E$66:$E$67)</f>
        <v>5154.2857142857147</v>
      </c>
      <c r="N34" s="570" t="s">
        <v>1184</v>
      </c>
      <c r="O34" s="570" t="s">
        <v>1420</v>
      </c>
      <c r="P34" s="549">
        <f t="shared" si="2"/>
        <v>4000</v>
      </c>
      <c r="Q34" s="549">
        <f t="shared" si="2"/>
        <v>4000</v>
      </c>
      <c r="R34" s="549">
        <f t="shared" si="2"/>
        <v>4000</v>
      </c>
      <c r="V34" s="570" t="s">
        <v>1444</v>
      </c>
      <c r="AF34" s="570" t="s">
        <v>1182</v>
      </c>
      <c r="AG34" s="570" t="s">
        <v>1418</v>
      </c>
      <c r="AH34" s="570">
        <v>4000</v>
      </c>
      <c r="AI34" s="570">
        <v>4000</v>
      </c>
      <c r="AJ34" s="570">
        <v>4000</v>
      </c>
    </row>
    <row r="35" spans="3:36">
      <c r="C35" s="548" t="s">
        <v>1190</v>
      </c>
      <c r="D35" s="1374">
        <v>7500</v>
      </c>
      <c r="E35" s="1374">
        <v>9000</v>
      </c>
      <c r="F35" s="1374">
        <v>11760</v>
      </c>
      <c r="H35" s="570">
        <f>D35/AVERAGE($E$57:$E$59,E56)</f>
        <v>14492.753623188404</v>
      </c>
      <c r="I35" s="570">
        <f>E35/AVERAGE($E$62)</f>
        <v>15000</v>
      </c>
      <c r="J35" s="570">
        <f>F35/AVERAGE($E$65)</f>
        <v>16800</v>
      </c>
      <c r="N35" s="570" t="s">
        <v>1182</v>
      </c>
      <c r="O35" s="570" t="s">
        <v>1418</v>
      </c>
      <c r="P35" s="549">
        <f t="shared" si="2"/>
        <v>4000</v>
      </c>
      <c r="Q35" s="549">
        <f t="shared" si="2"/>
        <v>4000</v>
      </c>
      <c r="R35" s="549">
        <f t="shared" si="2"/>
        <v>4000</v>
      </c>
      <c r="V35" s="570" t="s">
        <v>1443</v>
      </c>
      <c r="W35" s="570" t="s">
        <v>1442</v>
      </c>
      <c r="X35" s="570" t="s">
        <v>1441</v>
      </c>
      <c r="AF35" s="570" t="s">
        <v>1173</v>
      </c>
      <c r="AG35" s="570" t="s">
        <v>1417</v>
      </c>
      <c r="AH35" s="570">
        <v>4000</v>
      </c>
      <c r="AI35" s="570">
        <v>4000</v>
      </c>
      <c r="AJ35" s="570">
        <v>4000</v>
      </c>
    </row>
    <row r="36" spans="3:36">
      <c r="N36" s="570" t="s">
        <v>1173</v>
      </c>
      <c r="O36" s="570" t="s">
        <v>1417</v>
      </c>
      <c r="P36" s="549">
        <f t="shared" si="2"/>
        <v>4000</v>
      </c>
      <c r="Q36" s="549">
        <f t="shared" si="2"/>
        <v>4000</v>
      </c>
      <c r="R36" s="549">
        <f t="shared" si="2"/>
        <v>4000</v>
      </c>
      <c r="U36" s="570" t="s">
        <v>1337</v>
      </c>
      <c r="V36" s="570" t="s">
        <v>1389</v>
      </c>
      <c r="W36" s="570">
        <v>759</v>
      </c>
      <c r="X36" s="570">
        <v>1.1599999999999999</v>
      </c>
      <c r="AF36" s="570" t="s">
        <v>1180</v>
      </c>
      <c r="AG36" s="570" t="s">
        <v>1110</v>
      </c>
      <c r="AH36" s="570">
        <v>4000</v>
      </c>
      <c r="AI36" s="570">
        <v>4000</v>
      </c>
      <c r="AJ36" s="570">
        <v>4000</v>
      </c>
    </row>
    <row r="37" spans="3:36">
      <c r="N37" s="570" t="s">
        <v>1180</v>
      </c>
      <c r="O37" s="570" t="s">
        <v>1110</v>
      </c>
      <c r="P37" s="549">
        <f t="shared" si="2"/>
        <v>4000</v>
      </c>
      <c r="Q37" s="549">
        <f t="shared" si="2"/>
        <v>4000</v>
      </c>
      <c r="R37" s="549">
        <f t="shared" si="2"/>
        <v>4000</v>
      </c>
      <c r="U37" s="570" t="s">
        <v>1336</v>
      </c>
      <c r="V37" s="570" t="s">
        <v>1440</v>
      </c>
      <c r="W37" s="570">
        <v>1640</v>
      </c>
      <c r="X37" s="570">
        <v>0.90500000000000003</v>
      </c>
      <c r="AG37" s="683" t="s">
        <v>1439</v>
      </c>
    </row>
    <row r="38" spans="3:36">
      <c r="O38" s="683"/>
      <c r="U38" s="570" t="s">
        <v>1339</v>
      </c>
      <c r="V38" s="570" t="s">
        <v>1403</v>
      </c>
      <c r="W38" s="570">
        <v>1480</v>
      </c>
      <c r="X38" s="570">
        <v>0.57899999999999996</v>
      </c>
      <c r="AG38" s="683" t="s">
        <v>1437</v>
      </c>
    </row>
    <row r="39" spans="3:36">
      <c r="C39" s="683" t="s">
        <v>1438</v>
      </c>
      <c r="O39" s="683" t="s">
        <v>1437</v>
      </c>
      <c r="U39" s="570" t="s">
        <v>1340</v>
      </c>
      <c r="V39" s="570" t="s">
        <v>1436</v>
      </c>
      <c r="W39" s="570">
        <v>1640</v>
      </c>
      <c r="X39" s="570">
        <v>0.56100000000000005</v>
      </c>
      <c r="AH39" s="570" t="s">
        <v>1338</v>
      </c>
      <c r="AI39" s="570" t="s">
        <v>1383</v>
      </c>
      <c r="AJ39" s="570" t="s">
        <v>1335</v>
      </c>
    </row>
    <row r="40" spans="3:36">
      <c r="C40" s="570" t="s">
        <v>1435</v>
      </c>
      <c r="D40" s="570" t="s">
        <v>1434</v>
      </c>
      <c r="E40" s="570" t="s">
        <v>1433</v>
      </c>
      <c r="F40" s="548" t="s">
        <v>1432</v>
      </c>
      <c r="G40" s="570" t="s">
        <v>1431</v>
      </c>
      <c r="H40" s="570" t="s">
        <v>1430</v>
      </c>
      <c r="P40" s="570" t="s">
        <v>1338</v>
      </c>
      <c r="Q40" s="570" t="s">
        <v>1383</v>
      </c>
      <c r="R40" s="570" t="s">
        <v>1335</v>
      </c>
      <c r="AF40" s="570" t="s">
        <v>1167</v>
      </c>
      <c r="AG40" s="570" t="s">
        <v>1428</v>
      </c>
      <c r="AH40" s="570">
        <v>30</v>
      </c>
      <c r="AI40" s="570">
        <v>25</v>
      </c>
      <c r="AJ40" s="570">
        <v>25</v>
      </c>
    </row>
    <row r="41" spans="3:36">
      <c r="C41" s="570" t="s">
        <v>1429</v>
      </c>
      <c r="D41" s="570">
        <v>2903.23</v>
      </c>
      <c r="E41" s="570">
        <v>22592</v>
      </c>
      <c r="F41" s="549">
        <f>E41/E60</f>
        <v>45184</v>
      </c>
      <c r="G41" s="549">
        <v>50131758.829999998</v>
      </c>
      <c r="H41" s="1440">
        <v>0.25997998</v>
      </c>
      <c r="N41" s="570" t="s">
        <v>1167</v>
      </c>
      <c r="O41" s="570" t="s">
        <v>1428</v>
      </c>
      <c r="P41" s="549">
        <f t="shared" ref="P41:R48" si="3">AH40</f>
        <v>30</v>
      </c>
      <c r="Q41" s="549">
        <f t="shared" si="3"/>
        <v>25</v>
      </c>
      <c r="R41" s="549">
        <f t="shared" si="3"/>
        <v>25</v>
      </c>
      <c r="AF41" s="570" t="s">
        <v>1187</v>
      </c>
      <c r="AG41" s="570" t="s">
        <v>1426</v>
      </c>
      <c r="AH41" s="570">
        <v>50</v>
      </c>
      <c r="AI41" s="570">
        <v>40</v>
      </c>
      <c r="AJ41" s="570">
        <v>40</v>
      </c>
    </row>
    <row r="42" spans="3:36">
      <c r="C42" s="570" t="s">
        <v>1427</v>
      </c>
      <c r="D42" s="570">
        <v>2863.52</v>
      </c>
      <c r="E42" s="570">
        <v>33787</v>
      </c>
      <c r="F42" s="549">
        <f>E42/E55</f>
        <v>61430.909090909088</v>
      </c>
      <c r="G42" s="549">
        <v>68611997.780000001</v>
      </c>
      <c r="H42" s="1440">
        <v>0.38880769999999998</v>
      </c>
      <c r="N42" s="570" t="s">
        <v>1187</v>
      </c>
      <c r="O42" s="570" t="s">
        <v>1426</v>
      </c>
      <c r="P42" s="549">
        <f t="shared" si="3"/>
        <v>50</v>
      </c>
      <c r="Q42" s="549">
        <f t="shared" si="3"/>
        <v>40</v>
      </c>
      <c r="R42" s="549">
        <f t="shared" si="3"/>
        <v>40</v>
      </c>
      <c r="AF42" s="570" t="s">
        <v>1198</v>
      </c>
      <c r="AG42" s="570" t="s">
        <v>1425</v>
      </c>
      <c r="AH42" s="570">
        <v>110</v>
      </c>
      <c r="AI42" s="570">
        <v>80</v>
      </c>
      <c r="AJ42" s="570">
        <v>80</v>
      </c>
    </row>
    <row r="43" spans="3:36">
      <c r="C43" s="570" t="s">
        <v>1343</v>
      </c>
      <c r="D43" s="570">
        <v>3893.5</v>
      </c>
      <c r="E43" s="570">
        <v>5666.5</v>
      </c>
      <c r="F43" s="1441">
        <v>26531</v>
      </c>
      <c r="G43" s="549">
        <v>20996695.34</v>
      </c>
      <c r="H43" s="1440">
        <v>6.5207890000000004E-2</v>
      </c>
      <c r="N43" s="570" t="s">
        <v>1198</v>
      </c>
      <c r="O43" s="570" t="s">
        <v>1425</v>
      </c>
      <c r="P43" s="549">
        <f t="shared" si="3"/>
        <v>110</v>
      </c>
      <c r="Q43" s="549">
        <f t="shared" si="3"/>
        <v>80</v>
      </c>
      <c r="R43" s="549">
        <f t="shared" si="3"/>
        <v>80</v>
      </c>
      <c r="V43" s="570" t="s">
        <v>1424</v>
      </c>
      <c r="W43" s="570">
        <v>6260</v>
      </c>
      <c r="X43" s="570">
        <v>0.63800000000000001</v>
      </c>
      <c r="AF43" s="570" t="s">
        <v>1186</v>
      </c>
      <c r="AG43" s="570" t="s">
        <v>1422</v>
      </c>
      <c r="AH43" s="570">
        <v>300</v>
      </c>
      <c r="AI43" s="570">
        <v>225</v>
      </c>
      <c r="AJ43" s="570">
        <v>225</v>
      </c>
    </row>
    <row r="44" spans="3:36">
      <c r="C44" s="570" t="s">
        <v>1423</v>
      </c>
      <c r="D44" s="570">
        <v>3158.95</v>
      </c>
      <c r="E44" s="570">
        <v>3117.5</v>
      </c>
      <c r="F44" s="549">
        <f>E44/E63</f>
        <v>5195.8333333333339</v>
      </c>
      <c r="G44" s="549">
        <v>5339308.59</v>
      </c>
      <c r="H44" s="1440">
        <v>3.5874980000000001E-2</v>
      </c>
      <c r="N44" s="570" t="s">
        <v>1186</v>
      </c>
      <c r="O44" s="570" t="s">
        <v>1422</v>
      </c>
      <c r="P44" s="549">
        <f t="shared" si="3"/>
        <v>300</v>
      </c>
      <c r="Q44" s="549">
        <f t="shared" si="3"/>
        <v>225</v>
      </c>
      <c r="R44" s="549">
        <f t="shared" si="3"/>
        <v>225</v>
      </c>
      <c r="AF44" s="570" t="s">
        <v>1184</v>
      </c>
      <c r="AG44" s="570" t="s">
        <v>1420</v>
      </c>
      <c r="AH44" s="570">
        <v>30</v>
      </c>
      <c r="AI44" s="570">
        <v>25</v>
      </c>
      <c r="AJ44" s="570">
        <v>25</v>
      </c>
    </row>
    <row r="45" spans="3:36">
      <c r="C45" s="570" t="s">
        <v>1421</v>
      </c>
      <c r="D45" s="570">
        <v>661.94</v>
      </c>
      <c r="E45" s="570">
        <v>3741</v>
      </c>
      <c r="F45" s="549">
        <f>E45/E66</f>
        <v>5344.2857142857147</v>
      </c>
      <c r="G45" s="549">
        <v>2342681.84</v>
      </c>
      <c r="H45" s="1440">
        <v>4.3049980000000002E-2</v>
      </c>
      <c r="N45" s="570" t="s">
        <v>1184</v>
      </c>
      <c r="O45" s="570" t="s">
        <v>1420</v>
      </c>
      <c r="P45" s="549">
        <f t="shared" si="3"/>
        <v>30</v>
      </c>
      <c r="Q45" s="549">
        <f t="shared" si="3"/>
        <v>25</v>
      </c>
      <c r="R45" s="549">
        <f t="shared" si="3"/>
        <v>25</v>
      </c>
      <c r="AF45" s="570" t="s">
        <v>1182</v>
      </c>
      <c r="AG45" s="570" t="s">
        <v>1418</v>
      </c>
      <c r="AH45" s="570">
        <v>50</v>
      </c>
      <c r="AI45" s="570">
        <v>40</v>
      </c>
      <c r="AJ45" s="570">
        <v>40</v>
      </c>
    </row>
    <row r="46" spans="3:36">
      <c r="C46" s="570" t="s">
        <v>1419</v>
      </c>
      <c r="D46" s="570">
        <v>599.58000000000004</v>
      </c>
      <c r="E46" s="570">
        <v>17995</v>
      </c>
      <c r="F46" s="549">
        <f>E46/E67</f>
        <v>25707.142857142859</v>
      </c>
      <c r="G46" s="549">
        <v>5084521.54</v>
      </c>
      <c r="H46" s="1440">
        <v>0.20787948000000001</v>
      </c>
      <c r="N46" s="570" t="s">
        <v>1182</v>
      </c>
      <c r="O46" s="570" t="s">
        <v>1418</v>
      </c>
      <c r="P46" s="549">
        <f t="shared" si="3"/>
        <v>50</v>
      </c>
      <c r="Q46" s="549">
        <f t="shared" si="3"/>
        <v>40</v>
      </c>
      <c r="R46" s="549">
        <f t="shared" si="3"/>
        <v>40</v>
      </c>
      <c r="AF46" s="570" t="s">
        <v>1173</v>
      </c>
      <c r="AG46" s="570" t="s">
        <v>1417</v>
      </c>
      <c r="AH46" s="570">
        <v>110</v>
      </c>
      <c r="AI46" s="570">
        <v>80</v>
      </c>
      <c r="AJ46" s="570">
        <v>80</v>
      </c>
    </row>
    <row r="47" spans="3:36">
      <c r="N47" s="570" t="s">
        <v>1173</v>
      </c>
      <c r="O47" s="570" t="s">
        <v>1417</v>
      </c>
      <c r="P47" s="549">
        <f t="shared" si="3"/>
        <v>110</v>
      </c>
      <c r="Q47" s="549">
        <f t="shared" si="3"/>
        <v>80</v>
      </c>
      <c r="R47" s="549">
        <f t="shared" si="3"/>
        <v>80</v>
      </c>
      <c r="AF47" s="570" t="s">
        <v>1180</v>
      </c>
      <c r="AG47" s="570" t="s">
        <v>1110</v>
      </c>
      <c r="AH47" s="570">
        <v>300</v>
      </c>
      <c r="AI47" s="570">
        <v>225</v>
      </c>
      <c r="AJ47" s="570">
        <v>225</v>
      </c>
    </row>
    <row r="48" spans="3:36">
      <c r="N48" s="570" t="s">
        <v>1180</v>
      </c>
      <c r="O48" s="570" t="s">
        <v>1110</v>
      </c>
      <c r="P48" s="549">
        <f t="shared" si="3"/>
        <v>300</v>
      </c>
      <c r="Q48" s="549">
        <f t="shared" si="3"/>
        <v>225</v>
      </c>
      <c r="R48" s="549">
        <f t="shared" si="3"/>
        <v>225</v>
      </c>
    </row>
    <row r="49" spans="3:19">
      <c r="P49" s="575"/>
      <c r="Q49" s="575"/>
    </row>
    <row r="50" spans="3:19">
      <c r="P50" s="575"/>
      <c r="Q50" s="575"/>
    </row>
    <row r="51" spans="3:19">
      <c r="C51" s="683" t="s">
        <v>1416</v>
      </c>
      <c r="F51" s="1357" t="s">
        <v>1415</v>
      </c>
      <c r="N51" s="570" t="s">
        <v>1414</v>
      </c>
      <c r="O51" s="683" t="s">
        <v>1394</v>
      </c>
    </row>
    <row r="53" spans="3:19">
      <c r="C53" s="570" t="s">
        <v>1413</v>
      </c>
      <c r="D53" s="570" t="s">
        <v>1412</v>
      </c>
      <c r="E53" s="570" t="s">
        <v>1411</v>
      </c>
      <c r="O53" s="548" t="s">
        <v>1404</v>
      </c>
      <c r="P53" s="570">
        <v>2010</v>
      </c>
      <c r="Q53" s="570">
        <v>2020</v>
      </c>
      <c r="R53" s="570">
        <v>2030</v>
      </c>
    </row>
    <row r="54" spans="3:19">
      <c r="C54" s="570" t="s">
        <v>1410</v>
      </c>
      <c r="D54" s="570" t="s">
        <v>882</v>
      </c>
      <c r="E54" s="570">
        <v>0.48</v>
      </c>
      <c r="N54" s="570" t="s">
        <v>1345</v>
      </c>
      <c r="O54" s="548" t="s">
        <v>1391</v>
      </c>
      <c r="P54" s="1437">
        <v>3.7609869211385849</v>
      </c>
      <c r="Q54" s="1437">
        <v>3.035893517863149</v>
      </c>
      <c r="R54" s="1436">
        <v>2.7389870385735291</v>
      </c>
    </row>
    <row r="55" spans="3:19">
      <c r="C55" s="570" t="s">
        <v>1409</v>
      </c>
      <c r="D55" s="570" t="s">
        <v>1406</v>
      </c>
      <c r="E55" s="570">
        <v>0.55000000000000004</v>
      </c>
      <c r="N55" s="570" t="s">
        <v>1344</v>
      </c>
      <c r="O55" s="548" t="s">
        <v>1390</v>
      </c>
      <c r="P55" s="1437">
        <v>4.5795124644179204</v>
      </c>
      <c r="Q55" s="1437">
        <v>3.521487151522388</v>
      </c>
      <c r="R55" s="1436">
        <v>2.760266599896962</v>
      </c>
    </row>
    <row r="56" spans="3:19">
      <c r="C56" s="570" t="s">
        <v>1409</v>
      </c>
      <c r="D56" s="570" t="s">
        <v>1405</v>
      </c>
      <c r="E56" s="570">
        <v>0.5</v>
      </c>
      <c r="N56" s="570" t="s">
        <v>1343</v>
      </c>
      <c r="O56" s="548" t="s">
        <v>1389</v>
      </c>
      <c r="P56" s="1433">
        <v>7.0641443156294805</v>
      </c>
      <c r="Q56" s="1433">
        <v>5.1651091741160853</v>
      </c>
      <c r="R56" s="1433">
        <v>5.1651091741160853</v>
      </c>
      <c r="S56" s="548" t="s">
        <v>1399</v>
      </c>
    </row>
    <row r="57" spans="3:19">
      <c r="C57" s="570" t="s">
        <v>1409</v>
      </c>
      <c r="D57" s="570" t="s">
        <v>1402</v>
      </c>
      <c r="E57" s="570">
        <v>0.45</v>
      </c>
      <c r="N57" s="570" t="s">
        <v>1342</v>
      </c>
      <c r="O57" s="1244" t="s">
        <v>1388</v>
      </c>
      <c r="P57" s="1438">
        <f>P56</f>
        <v>7.0641443156294805</v>
      </c>
      <c r="Q57" s="1438">
        <f>Q56</f>
        <v>5.1651091741160853</v>
      </c>
      <c r="R57" s="1438">
        <f>R56</f>
        <v>5.1651091741160853</v>
      </c>
    </row>
    <row r="58" spans="3:19">
      <c r="C58" s="570" t="s">
        <v>1408</v>
      </c>
      <c r="D58" s="570" t="s">
        <v>1396</v>
      </c>
      <c r="E58" s="570">
        <v>0.64</v>
      </c>
    </row>
    <row r="59" spans="3:19">
      <c r="C59" s="570" t="s">
        <v>1407</v>
      </c>
      <c r="D59" s="570" t="s">
        <v>1396</v>
      </c>
      <c r="E59" s="570">
        <v>0.48</v>
      </c>
      <c r="O59" s="683" t="s">
        <v>1393</v>
      </c>
    </row>
    <row r="60" spans="3:19">
      <c r="C60" s="570" t="s">
        <v>1403</v>
      </c>
      <c r="D60" s="570" t="s">
        <v>1406</v>
      </c>
      <c r="E60" s="570">
        <v>0.5</v>
      </c>
    </row>
    <row r="61" spans="3:19">
      <c r="C61" s="570" t="s">
        <v>1403</v>
      </c>
      <c r="D61" s="570" t="s">
        <v>1405</v>
      </c>
      <c r="E61" s="570">
        <v>0.55000000000000004</v>
      </c>
      <c r="O61" s="548" t="s">
        <v>1404</v>
      </c>
      <c r="P61" s="570">
        <v>2010</v>
      </c>
      <c r="Q61" s="570">
        <v>2020</v>
      </c>
      <c r="R61" s="570">
        <v>2030</v>
      </c>
    </row>
    <row r="62" spans="3:19">
      <c r="C62" s="570" t="s">
        <v>1403</v>
      </c>
      <c r="D62" s="570" t="s">
        <v>1402</v>
      </c>
      <c r="E62" s="570">
        <v>0.6</v>
      </c>
      <c r="N62" s="570" t="s">
        <v>1345</v>
      </c>
      <c r="O62" s="548" t="s">
        <v>1391</v>
      </c>
      <c r="P62" s="1437">
        <v>14.310439470682837</v>
      </c>
      <c r="Q62" s="1437">
        <v>13.594917497148694</v>
      </c>
      <c r="R62" s="1436">
        <v>12.879395523614553</v>
      </c>
    </row>
    <row r="63" spans="3:19" ht="13.8" thickBot="1">
      <c r="C63" s="570" t="s">
        <v>1401</v>
      </c>
      <c r="D63" s="570" t="s">
        <v>1396</v>
      </c>
      <c r="E63" s="570">
        <v>0.6</v>
      </c>
      <c r="N63" s="570" t="s">
        <v>1344</v>
      </c>
      <c r="O63" s="548" t="s">
        <v>1390</v>
      </c>
      <c r="P63" s="1435">
        <v>15</v>
      </c>
      <c r="Q63" s="1435">
        <v>14.25</v>
      </c>
      <c r="R63" s="1434">
        <v>12.825000000000001</v>
      </c>
    </row>
    <row r="64" spans="3:19" ht="13.8" thickBot="1">
      <c r="C64" s="570" t="s">
        <v>1400</v>
      </c>
      <c r="D64" s="570" t="s">
        <v>1396</v>
      </c>
      <c r="E64" s="570">
        <v>0.5</v>
      </c>
      <c r="N64" s="570" t="s">
        <v>1343</v>
      </c>
      <c r="O64" s="548" t="s">
        <v>1389</v>
      </c>
      <c r="P64" s="1439">
        <v>21.74245036976534</v>
      </c>
      <c r="Q64" s="1439">
        <v>18.5</v>
      </c>
      <c r="R64" s="1439">
        <v>18.5</v>
      </c>
      <c r="S64" s="548" t="s">
        <v>1399</v>
      </c>
    </row>
    <row r="65" spans="3:24">
      <c r="C65" s="570" t="s">
        <v>1335</v>
      </c>
      <c r="D65" s="570" t="s">
        <v>1396</v>
      </c>
      <c r="E65" s="570">
        <v>0.7</v>
      </c>
      <c r="N65" s="570" t="s">
        <v>1342</v>
      </c>
      <c r="O65" s="1244" t="s">
        <v>1388</v>
      </c>
      <c r="P65" s="1438">
        <f>P64</f>
        <v>21.74245036976534</v>
      </c>
      <c r="Q65" s="1438">
        <f>Q64</f>
        <v>18.5</v>
      </c>
      <c r="R65" s="1438">
        <f>R64</f>
        <v>18.5</v>
      </c>
      <c r="S65" s="1244" t="s">
        <v>1399</v>
      </c>
      <c r="U65" s="548"/>
    </row>
    <row r="66" spans="3:24">
      <c r="C66" s="570" t="s">
        <v>1398</v>
      </c>
      <c r="D66" s="570" t="s">
        <v>1396</v>
      </c>
      <c r="E66" s="570">
        <v>0.7</v>
      </c>
    </row>
    <row r="67" spans="3:24">
      <c r="C67" s="570" t="s">
        <v>1397</v>
      </c>
      <c r="D67" s="570" t="s">
        <v>1396</v>
      </c>
      <c r="E67" s="570">
        <v>0.7</v>
      </c>
    </row>
    <row r="69" spans="3:24">
      <c r="N69" s="570" t="s">
        <v>1395</v>
      </c>
      <c r="O69" s="683" t="s">
        <v>1394</v>
      </c>
    </row>
    <row r="70" spans="3:24">
      <c r="O70" s="548" t="s">
        <v>1392</v>
      </c>
      <c r="P70" s="548" t="s">
        <v>1178</v>
      </c>
      <c r="Q70" s="548" t="s">
        <v>1178</v>
      </c>
      <c r="R70" s="548" t="s">
        <v>1178</v>
      </c>
      <c r="S70" s="548" t="s">
        <v>1174</v>
      </c>
      <c r="T70" s="548" t="s">
        <v>1174</v>
      </c>
      <c r="U70" s="548" t="s">
        <v>1174</v>
      </c>
      <c r="V70" s="548" t="s">
        <v>1190</v>
      </c>
      <c r="W70" s="548" t="s">
        <v>1190</v>
      </c>
      <c r="X70" s="548" t="s">
        <v>1190</v>
      </c>
    </row>
    <row r="71" spans="3:24">
      <c r="O71" s="548" t="s">
        <v>28</v>
      </c>
      <c r="P71" s="570">
        <v>2010</v>
      </c>
      <c r="Q71" s="570">
        <v>2020</v>
      </c>
      <c r="R71" s="570">
        <v>2030</v>
      </c>
      <c r="S71" s="570">
        <v>2010</v>
      </c>
      <c r="T71" s="570">
        <v>2020</v>
      </c>
      <c r="U71" s="570">
        <v>2030</v>
      </c>
      <c r="V71" s="570">
        <v>2010</v>
      </c>
      <c r="W71" s="570">
        <v>2020</v>
      </c>
      <c r="X71" s="570">
        <v>2030</v>
      </c>
    </row>
    <row r="72" spans="3:24">
      <c r="N72" s="570" t="s">
        <v>1345</v>
      </c>
      <c r="O72" s="548" t="s">
        <v>1391</v>
      </c>
      <c r="P72" s="1437">
        <v>0.69481239852860355</v>
      </c>
      <c r="Q72" s="1437">
        <v>0.54167868253407836</v>
      </c>
      <c r="R72" s="1436">
        <v>0.47593108632638464</v>
      </c>
      <c r="S72" s="1437">
        <v>1.1978009817472215</v>
      </c>
      <c r="T72" s="1437">
        <v>0.95272109162558627</v>
      </c>
      <c r="U72" s="1436">
        <v>0.84976407647311891</v>
      </c>
      <c r="V72" s="1437">
        <v>1.9819564083868411</v>
      </c>
      <c r="W72" s="1437">
        <v>1.5778116017068144</v>
      </c>
      <c r="X72" s="1436">
        <v>1.4128760984357018</v>
      </c>
    </row>
    <row r="73" spans="3:24">
      <c r="N73" s="570" t="s">
        <v>1344</v>
      </c>
      <c r="O73" s="548" t="s">
        <v>1390</v>
      </c>
      <c r="P73" s="1437">
        <v>0.77646857355479448</v>
      </c>
      <c r="Q73" s="1437">
        <v>0.77972251382944091</v>
      </c>
      <c r="R73" s="1436">
        <v>0.48162297598757475</v>
      </c>
      <c r="S73" s="1437">
        <v>1.288909160511386</v>
      </c>
      <c r="T73" s="1437">
        <v>1.3151655040251187</v>
      </c>
      <c r="U73" s="1436">
        <v>0.93177119249854268</v>
      </c>
      <c r="V73" s="1437">
        <v>2.2094448717413786</v>
      </c>
      <c r="W73" s="1437">
        <v>2.1848428928948538</v>
      </c>
      <c r="X73" s="1436">
        <v>1.6033597963693558</v>
      </c>
    </row>
    <row r="74" spans="3:24">
      <c r="N74" s="570" t="s">
        <v>1343</v>
      </c>
      <c r="O74" s="548" t="s">
        <v>1389</v>
      </c>
      <c r="P74" s="1433">
        <v>1.0641630087729568</v>
      </c>
      <c r="Q74" s="1433">
        <v>1.0641630087729568</v>
      </c>
      <c r="R74" s="1432">
        <v>1.0641630087729568</v>
      </c>
      <c r="S74" s="1433">
        <v>2.1067816326238282</v>
      </c>
      <c r="T74" s="1433">
        <v>2.1067816326238282</v>
      </c>
      <c r="U74" s="1432">
        <v>2.1067816326238282</v>
      </c>
      <c r="V74" s="1433">
        <v>4.539955425015366</v>
      </c>
      <c r="W74" s="1433">
        <v>4.539955425015366</v>
      </c>
      <c r="X74" s="1432">
        <v>4.539955425015366</v>
      </c>
    </row>
    <row r="75" spans="3:24">
      <c r="N75" s="570" t="s">
        <v>1342</v>
      </c>
      <c r="O75" s="1244" t="s">
        <v>1388</v>
      </c>
      <c r="P75" s="1431">
        <f t="shared" ref="P75:X75" si="4">P74</f>
        <v>1.0641630087729568</v>
      </c>
      <c r="Q75" s="1431">
        <f t="shared" si="4"/>
        <v>1.0641630087729568</v>
      </c>
      <c r="R75" s="1430">
        <f t="shared" si="4"/>
        <v>1.0641630087729568</v>
      </c>
      <c r="S75" s="1431">
        <f t="shared" si="4"/>
        <v>2.1067816326238282</v>
      </c>
      <c r="T75" s="1431">
        <f t="shared" si="4"/>
        <v>2.1067816326238282</v>
      </c>
      <c r="U75" s="1430">
        <f t="shared" si="4"/>
        <v>2.1067816326238282</v>
      </c>
      <c r="V75" s="1431">
        <f t="shared" si="4"/>
        <v>4.539955425015366</v>
      </c>
      <c r="W75" s="1431">
        <f t="shared" si="4"/>
        <v>4.539955425015366</v>
      </c>
      <c r="X75" s="1430">
        <f t="shared" si="4"/>
        <v>4.539955425015366</v>
      </c>
    </row>
    <row r="78" spans="3:24">
      <c r="O78" s="683" t="s">
        <v>1393</v>
      </c>
    </row>
    <row r="79" spans="3:24">
      <c r="O79" s="548" t="s">
        <v>1392</v>
      </c>
      <c r="P79" s="548" t="s">
        <v>1178</v>
      </c>
      <c r="Q79" s="548" t="s">
        <v>1178</v>
      </c>
      <c r="R79" s="548" t="s">
        <v>1178</v>
      </c>
      <c r="S79" s="548" t="s">
        <v>1174</v>
      </c>
      <c r="T79" s="548" t="s">
        <v>1174</v>
      </c>
      <c r="U79" s="548" t="s">
        <v>1174</v>
      </c>
      <c r="V79" s="548" t="s">
        <v>1190</v>
      </c>
      <c r="W79" s="548" t="s">
        <v>1190</v>
      </c>
      <c r="X79" s="548" t="s">
        <v>1190</v>
      </c>
    </row>
    <row r="80" spans="3:24">
      <c r="O80" s="548" t="s">
        <v>28</v>
      </c>
      <c r="P80" s="570">
        <v>2010</v>
      </c>
      <c r="Q80" s="570">
        <v>2020</v>
      </c>
      <c r="R80" s="570">
        <v>2030</v>
      </c>
      <c r="S80" s="570">
        <v>2010</v>
      </c>
      <c r="T80" s="570">
        <v>2020</v>
      </c>
      <c r="U80" s="570">
        <v>2030</v>
      </c>
      <c r="V80" s="570">
        <v>2010</v>
      </c>
      <c r="W80" s="570">
        <v>2020</v>
      </c>
      <c r="X80" s="570">
        <v>2030</v>
      </c>
    </row>
    <row r="81" spans="14:24">
      <c r="N81" s="570" t="s">
        <v>1345</v>
      </c>
      <c r="O81" s="548" t="s">
        <v>1391</v>
      </c>
      <c r="P81" s="1437">
        <v>12.547076074467574</v>
      </c>
      <c r="Q81" s="1437">
        <v>11.919722270744195</v>
      </c>
      <c r="R81" s="1436">
        <v>11.292368467020816</v>
      </c>
      <c r="S81" s="1437">
        <v>13.163431603665668</v>
      </c>
      <c r="T81" s="1437">
        <v>12.505260023482384</v>
      </c>
      <c r="U81" s="1436">
        <v>11.847088443299102</v>
      </c>
      <c r="V81" s="1437">
        <v>13.634488759291706</v>
      </c>
      <c r="W81" s="1437">
        <v>12.95276432132712</v>
      </c>
      <c r="X81" s="1436">
        <v>12.271039883362535</v>
      </c>
    </row>
    <row r="82" spans="14:24" ht="13.8" thickBot="1">
      <c r="N82" s="570" t="s">
        <v>1344</v>
      </c>
      <c r="O82" s="548" t="s">
        <v>1390</v>
      </c>
      <c r="P82" s="1435">
        <v>13.039647762108098</v>
      </c>
      <c r="Q82" s="1435">
        <v>12.387665374002692</v>
      </c>
      <c r="R82" s="1434">
        <v>11.148898836602424</v>
      </c>
      <c r="S82" s="1435">
        <v>13.804028640451641</v>
      </c>
      <c r="T82" s="1435">
        <v>13.113827208429058</v>
      </c>
      <c r="U82" s="1434">
        <v>11.802444487586152</v>
      </c>
      <c r="V82" s="1435">
        <v>14.34340044108087</v>
      </c>
      <c r="W82" s="1435">
        <v>13.626230419026827</v>
      </c>
      <c r="X82" s="1434">
        <v>12.263607377124144</v>
      </c>
    </row>
    <row r="83" spans="14:24">
      <c r="N83" s="570" t="s">
        <v>1343</v>
      </c>
      <c r="O83" s="548" t="s">
        <v>1389</v>
      </c>
      <c r="P83" s="1433">
        <v>13.673050526458095</v>
      </c>
      <c r="Q83" s="1433">
        <v>13.673050526458095</v>
      </c>
      <c r="R83" s="1432">
        <v>13.673050526458095</v>
      </c>
      <c r="S83" s="1433">
        <v>16.195501023810248</v>
      </c>
      <c r="T83" s="1433">
        <v>16.195501023810248</v>
      </c>
      <c r="U83" s="1432">
        <v>16.195501023810248</v>
      </c>
      <c r="V83" s="1433">
        <v>19.628115523844482</v>
      </c>
      <c r="W83" s="1433">
        <v>19.628115523844482</v>
      </c>
      <c r="X83" s="1432">
        <v>19.628115523844482</v>
      </c>
    </row>
    <row r="84" spans="14:24">
      <c r="N84" s="570" t="s">
        <v>1342</v>
      </c>
      <c r="O84" s="1244" t="s">
        <v>1388</v>
      </c>
      <c r="P84" s="1431">
        <f t="shared" ref="P84:X84" si="5">P83</f>
        <v>13.673050526458095</v>
      </c>
      <c r="Q84" s="1431">
        <f t="shared" si="5"/>
        <v>13.673050526458095</v>
      </c>
      <c r="R84" s="1430">
        <f t="shared" si="5"/>
        <v>13.673050526458095</v>
      </c>
      <c r="S84" s="1431">
        <f t="shared" si="5"/>
        <v>16.195501023810248</v>
      </c>
      <c r="T84" s="1431">
        <f t="shared" si="5"/>
        <v>16.195501023810248</v>
      </c>
      <c r="U84" s="1430">
        <f t="shared" si="5"/>
        <v>16.195501023810248</v>
      </c>
      <c r="V84" s="1431">
        <f t="shared" si="5"/>
        <v>19.628115523844482</v>
      </c>
      <c r="W84" s="1431">
        <f t="shared" si="5"/>
        <v>19.628115523844482</v>
      </c>
      <c r="X84" s="1430">
        <f t="shared" si="5"/>
        <v>19.628115523844482</v>
      </c>
    </row>
    <row r="105" spans="6:6">
      <c r="F105" s="548"/>
    </row>
  </sheetData>
  <hyperlinks>
    <hyperlink ref="G17" r:id="rId1" xr:uid="{66A615EA-3F68-46F2-A653-1147DA2B31A6}"/>
    <hyperlink ref="G18" r:id="rId2" xr:uid="{B4FEB515-4BC3-4E91-98FC-2F62A82958B2}"/>
    <hyperlink ref="F51" r:id="rId3" xr:uid="{6A2D346C-CF84-45E5-8790-EF89107E4C5E}"/>
    <hyperlink ref="G20" r:id="rId4" xr:uid="{57F8221F-A535-43FD-A709-399A51BFB500}"/>
  </hyperlinks>
  <pageMargins left="0.7" right="0.7" top="0.75" bottom="0.75" header="0.3" footer="0.3"/>
  <pageSetup paperSize="0" orientation="portrait" horizontalDpi="0" verticalDpi="0" copies="0"/>
  <legacyDrawing r:id="rId5"/>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tint="0.39997558519241921"/>
  </sheetPr>
  <dimension ref="A1:AO96"/>
  <sheetViews>
    <sheetView zoomScale="85" zoomScaleNormal="85" workbookViewId="0">
      <selection activeCell="F36" sqref="F36"/>
    </sheetView>
  </sheetViews>
  <sheetFormatPr defaultColWidth="9.109375" defaultRowHeight="13.2"/>
  <cols>
    <col min="1" max="2" width="9.109375" style="570"/>
    <col min="3" max="3" width="14" style="570" bestFit="1" customWidth="1"/>
    <col min="4" max="4" width="64.88671875" style="570" bestFit="1" customWidth="1"/>
    <col min="5" max="5" width="15.33203125" style="570" bestFit="1" customWidth="1"/>
    <col min="6" max="6" width="10.6640625" style="570" bestFit="1" customWidth="1"/>
    <col min="7" max="10" width="9.109375" style="570"/>
    <col min="11" max="11" width="10.33203125" style="570" customWidth="1"/>
    <col min="12" max="13" width="9.6640625" style="570" customWidth="1"/>
    <col min="14" max="14" width="9.5546875" style="570" bestFit="1" customWidth="1"/>
    <col min="15" max="15" width="9.109375" style="570"/>
    <col min="16" max="16" width="13.6640625" style="570" bestFit="1" customWidth="1"/>
    <col min="17" max="17" width="9.109375" style="570"/>
    <col min="18" max="18" width="10" style="570" bestFit="1" customWidth="1"/>
    <col min="19" max="19" width="13.21875" style="570" bestFit="1" customWidth="1"/>
    <col min="20" max="20" width="18.109375" style="570" bestFit="1" customWidth="1"/>
    <col min="21" max="21" width="14.88671875" style="570" customWidth="1"/>
    <col min="22" max="30" width="9.109375" style="570"/>
    <col min="31" max="31" width="12" style="570" bestFit="1" customWidth="1"/>
    <col min="32" max="32" width="11" style="570" bestFit="1" customWidth="1"/>
    <col min="33" max="33" width="10.88671875" style="570" customWidth="1"/>
    <col min="34" max="34" width="12" style="570" bestFit="1" customWidth="1"/>
    <col min="35" max="16384" width="9.109375" style="570"/>
  </cols>
  <sheetData>
    <row r="1" spans="1:41">
      <c r="A1" s="571"/>
      <c r="B1" s="571"/>
      <c r="Q1" s="570" t="s">
        <v>546</v>
      </c>
    </row>
    <row r="2" spans="1:41">
      <c r="A2" s="571"/>
      <c r="B2" s="571"/>
      <c r="H2" s="2" t="s">
        <v>0</v>
      </c>
      <c r="L2" s="1149"/>
      <c r="M2" s="573"/>
    </row>
    <row r="3" spans="1:41" ht="27.6">
      <c r="A3" s="571"/>
      <c r="B3" s="571"/>
      <c r="C3" s="1222" t="s">
        <v>1</v>
      </c>
      <c r="D3" s="1241" t="s">
        <v>8</v>
      </c>
      <c r="E3" s="1222" t="s">
        <v>2</v>
      </c>
      <c r="F3" s="1222" t="s">
        <v>3</v>
      </c>
      <c r="G3" s="1222" t="s">
        <v>28</v>
      </c>
      <c r="H3" s="1222" t="s">
        <v>218</v>
      </c>
      <c r="I3" s="1222" t="s">
        <v>87</v>
      </c>
      <c r="J3" s="1222" t="s">
        <v>230</v>
      </c>
      <c r="K3" s="1222" t="s">
        <v>1039</v>
      </c>
      <c r="L3" s="1222" t="s">
        <v>89</v>
      </c>
      <c r="M3" s="495" t="s">
        <v>535</v>
      </c>
      <c r="N3" s="1222" t="s">
        <v>10</v>
      </c>
      <c r="O3" s="1225" t="s">
        <v>6</v>
      </c>
      <c r="P3" s="1222" t="s">
        <v>7</v>
      </c>
      <c r="Q3" s="1222" t="s">
        <v>532</v>
      </c>
      <c r="R3" s="1222" t="s">
        <v>531</v>
      </c>
      <c r="AO3" s="570" t="s">
        <v>89</v>
      </c>
    </row>
    <row r="4" spans="1:41" ht="21" thickBot="1">
      <c r="A4" s="571"/>
      <c r="B4" s="571"/>
      <c r="C4" s="572" t="s">
        <v>11</v>
      </c>
      <c r="D4" s="20" t="s">
        <v>72</v>
      </c>
      <c r="E4" s="572"/>
      <c r="F4" s="572"/>
      <c r="G4" s="572"/>
      <c r="H4" s="572" t="s">
        <v>217</v>
      </c>
      <c r="I4" s="572" t="s">
        <v>13</v>
      </c>
      <c r="J4" s="572"/>
      <c r="K4" s="572" t="s">
        <v>1040</v>
      </c>
      <c r="L4" s="572" t="s">
        <v>522</v>
      </c>
      <c r="M4" s="572" t="s">
        <v>522</v>
      </c>
      <c r="N4" s="572" t="s">
        <v>14</v>
      </c>
      <c r="O4" s="572" t="s">
        <v>83</v>
      </c>
      <c r="P4" s="572" t="s">
        <v>12</v>
      </c>
      <c r="Q4" s="572" t="s">
        <v>90</v>
      </c>
      <c r="R4" s="572" t="s">
        <v>90</v>
      </c>
      <c r="AO4" s="570" t="s">
        <v>522</v>
      </c>
    </row>
    <row r="5" spans="1:41">
      <c r="C5" s="571" t="str">
        <f>LEFT(F5,4)&amp;RIGHT(E5,5)&amp;"N"</f>
        <v>TFSNLBL2NN</v>
      </c>
      <c r="D5" s="1235" t="s">
        <v>487</v>
      </c>
      <c r="E5" s="571" t="s">
        <v>1172</v>
      </c>
      <c r="F5" s="1233" t="s">
        <v>700</v>
      </c>
      <c r="G5" s="486">
        <v>2011</v>
      </c>
      <c r="H5" s="570" t="str">
        <f>"MKr"&amp;RIGHT('EU 9000 TEU Diesel'!$H$38,2)</f>
        <v>MKr13</v>
      </c>
      <c r="I5" s="49">
        <v>2012</v>
      </c>
      <c r="J5" s="49">
        <v>2019</v>
      </c>
      <c r="K5" s="554">
        <v>133.17766614613396</v>
      </c>
      <c r="L5" s="524">
        <f>V24</f>
        <v>50.117921324331896</v>
      </c>
      <c r="M5" s="524"/>
      <c r="N5" s="1294">
        <v>20</v>
      </c>
      <c r="O5" s="525">
        <f>'EU 9000 TEU Diesel'!D69*6.6/1.852*0.03*W7</f>
        <v>3.7164522307877547E-3</v>
      </c>
      <c r="P5" s="523">
        <f>'EU 9000 TEU Diesel'!$E$38*$W$7*K5/90000</f>
        <v>666.62820665370384</v>
      </c>
      <c r="R5" s="570">
        <v>5</v>
      </c>
      <c r="V5" s="1288" t="s">
        <v>84</v>
      </c>
      <c r="W5" s="1289"/>
      <c r="X5" s="1290"/>
    </row>
    <row r="6" spans="1:41">
      <c r="A6" s="571"/>
      <c r="C6" s="558"/>
      <c r="D6" s="55"/>
      <c r="E6" s="567" t="s">
        <v>1170</v>
      </c>
      <c r="F6" s="553"/>
      <c r="G6" s="486"/>
      <c r="I6" s="49"/>
      <c r="J6" s="49"/>
      <c r="K6" s="49"/>
      <c r="L6" s="524"/>
      <c r="M6" s="524"/>
      <c r="N6" s="490"/>
      <c r="O6" s="525"/>
      <c r="P6" s="523"/>
      <c r="R6" s="570">
        <v>5</v>
      </c>
      <c r="V6" s="1227"/>
      <c r="W6" s="1228"/>
      <c r="X6" s="1229"/>
    </row>
    <row r="7" spans="1:41">
      <c r="A7" s="571"/>
      <c r="B7" s="571"/>
      <c r="C7" s="571" t="str">
        <f>LEFT(F7,4)&amp;RIGHT(E7,5)&amp;"N"</f>
        <v>TFSNLBL3NN</v>
      </c>
      <c r="D7" s="567" t="s">
        <v>488</v>
      </c>
      <c r="E7" s="571" t="s">
        <v>1171</v>
      </c>
      <c r="F7" s="553" t="s">
        <v>700</v>
      </c>
      <c r="G7" s="492">
        <f>'EU Diesel IC-reg.tog'!$E$21</f>
        <v>2020</v>
      </c>
      <c r="H7" s="570" t="str">
        <f>"MKr"&amp;RIGHT('EU 9000 TEU Diesel'!$H$38,2)</f>
        <v>MKr13</v>
      </c>
      <c r="I7" s="573">
        <f>G7</f>
        <v>2020</v>
      </c>
      <c r="J7" s="573">
        <v>2034</v>
      </c>
      <c r="K7" s="554">
        <v>133.17766614613396</v>
      </c>
      <c r="L7" s="524">
        <f>V24</f>
        <v>50.117921324331896</v>
      </c>
      <c r="M7" s="524"/>
      <c r="N7" s="1294">
        <v>20</v>
      </c>
      <c r="O7" s="525">
        <f>'EU 9000 TEU Diesel'!E69*6.6/1.852*0.03*W7</f>
        <v>4.08809745386653E-3</v>
      </c>
      <c r="P7" s="523">
        <f>'EU 9000 TEU Diesel'!$E$38*$W$7*K7/90000</f>
        <v>666.62820665370384</v>
      </c>
      <c r="R7" s="570">
        <v>5</v>
      </c>
      <c r="V7" s="1218" t="s">
        <v>85</v>
      </c>
      <c r="W7" s="1219">
        <f>10^-3</f>
        <v>1E-3</v>
      </c>
      <c r="X7" s="1220" t="s">
        <v>12</v>
      </c>
      <c r="AD7" s="548" t="s">
        <v>1052</v>
      </c>
      <c r="AG7" s="570">
        <f>20000*9/1.3*0.7</f>
        <v>96923.076923076922</v>
      </c>
      <c r="AH7" s="570" t="s">
        <v>515</v>
      </c>
      <c r="AO7" s="570">
        <v>3.3992599999999999</v>
      </c>
    </row>
    <row r="8" spans="1:41">
      <c r="A8" s="571"/>
      <c r="B8" s="571"/>
      <c r="C8" s="558"/>
      <c r="D8" s="567"/>
      <c r="E8" s="567" t="s">
        <v>1170</v>
      </c>
      <c r="F8" s="553"/>
      <c r="G8" s="492"/>
      <c r="I8" s="573"/>
      <c r="J8" s="573"/>
      <c r="K8" s="49"/>
      <c r="L8" s="524"/>
      <c r="M8" s="524"/>
      <c r="N8" s="490"/>
      <c r="O8" s="525"/>
      <c r="P8" s="523"/>
      <c r="R8" s="570">
        <v>5</v>
      </c>
      <c r="V8" s="509"/>
      <c r="W8" s="510"/>
      <c r="X8" s="510"/>
      <c r="AD8" s="548"/>
      <c r="AF8" s="548"/>
    </row>
    <row r="9" spans="1:41">
      <c r="A9" s="571"/>
      <c r="B9" s="571"/>
      <c r="C9" s="571" t="str">
        <f>LEFT(F9,4)&amp;RIGHT(E9,5)&amp;"N"</f>
        <v>TFSNLBL4NN</v>
      </c>
      <c r="D9" s="55" t="s">
        <v>489</v>
      </c>
      <c r="E9" s="571" t="s">
        <v>1554</v>
      </c>
      <c r="F9" s="553" t="s">
        <v>700</v>
      </c>
      <c r="G9" s="492">
        <f>'EU Diesel IC-reg.tog'!$F$21</f>
        <v>2035</v>
      </c>
      <c r="H9" s="570" t="str">
        <f>"MKr"&amp;RIGHT('EU 9000 TEU Diesel'!$H$38,2)</f>
        <v>MKr13</v>
      </c>
      <c r="I9" s="573">
        <f>G9</f>
        <v>2035</v>
      </c>
      <c r="J9" s="573"/>
      <c r="K9" s="554">
        <v>133.17766614613396</v>
      </c>
      <c r="L9" s="524">
        <f>V24</f>
        <v>50.117921324331896</v>
      </c>
      <c r="M9" s="524"/>
      <c r="N9" s="1294">
        <v>20</v>
      </c>
      <c r="O9" s="525">
        <f>'EU 9000 TEU Diesel'!F69*6.6/1.852*0.03*W7</f>
        <v>4.5423305042961437E-3</v>
      </c>
      <c r="P9" s="523">
        <f>'EU 9000 TEU Diesel'!$E$38*$W$7*K9/90000</f>
        <v>666.62820665370384</v>
      </c>
      <c r="R9" s="570">
        <v>5</v>
      </c>
      <c r="AD9" s="548" t="s">
        <v>1052</v>
      </c>
      <c r="AG9" s="570">
        <f>20000*9/1.3*0.7</f>
        <v>96923.076923076922</v>
      </c>
      <c r="AH9" s="570" t="s">
        <v>515</v>
      </c>
      <c r="AO9" s="570">
        <v>3.3992599999999999</v>
      </c>
    </row>
    <row r="10" spans="1:41">
      <c r="A10" s="571"/>
      <c r="B10" s="571"/>
      <c r="C10" s="558"/>
      <c r="D10" s="55"/>
      <c r="E10" s="567" t="s">
        <v>1170</v>
      </c>
      <c r="F10" s="553"/>
      <c r="G10" s="492"/>
      <c r="I10" s="573"/>
      <c r="J10" s="573"/>
      <c r="K10" s="49"/>
      <c r="L10" s="524"/>
      <c r="M10" s="524"/>
      <c r="N10" s="1294"/>
      <c r="O10" s="525"/>
      <c r="R10" s="570">
        <v>5</v>
      </c>
    </row>
    <row r="11" spans="1:41">
      <c r="A11" s="571"/>
      <c r="B11" s="571"/>
      <c r="C11" s="571" t="str">
        <f>LEFT(F11,4)&amp;RIGHT(E11,3)&amp;"X2N"</f>
        <v>TFSIFONX2N</v>
      </c>
      <c r="D11" s="55" t="s">
        <v>1053</v>
      </c>
      <c r="E11" s="566" t="str">
        <f>E6</f>
        <v>TRAHFON</v>
      </c>
      <c r="F11" s="553" t="s">
        <v>701</v>
      </c>
      <c r="G11" s="489">
        <v>2011</v>
      </c>
      <c r="H11" s="570" t="str">
        <f>"MKr"&amp;RIGHT('EU 9000 TEU HFO'!$H$38,2)</f>
        <v>MKr13</v>
      </c>
      <c r="I11" s="49">
        <v>2012</v>
      </c>
      <c r="J11" s="49">
        <v>2019</v>
      </c>
      <c r="K11" s="49">
        <f>AG12</f>
        <v>90000</v>
      </c>
      <c r="L11" s="1476">
        <f>V29*V25/K11*'EU 9000 TEU HFO'!D23/'EU 9000 TEU HFO'!D23</f>
        <v>9.6923540679819564E-2</v>
      </c>
      <c r="M11" s="524"/>
      <c r="N11" s="1294">
        <v>20</v>
      </c>
      <c r="O11" s="525">
        <f>'EU 9000 TEU Diesel'!D69*6.6/1.852*0.03*W7</f>
        <v>3.7164522307877547E-3</v>
      </c>
      <c r="P11" s="570">
        <f>'EU 9000 TEU HFO'!$D$38*TRA_Ships!$W$7</f>
        <v>450500</v>
      </c>
      <c r="R11" s="570">
        <v>5</v>
      </c>
      <c r="AD11" s="548" t="s">
        <v>1049</v>
      </c>
      <c r="AE11" s="570" t="s">
        <v>1050</v>
      </c>
      <c r="AF11" s="548"/>
      <c r="AJ11" s="570">
        <v>10</v>
      </c>
      <c r="AK11" s="570" t="s">
        <v>515</v>
      </c>
      <c r="AO11" s="570">
        <v>3.3992599999999999</v>
      </c>
    </row>
    <row r="12" spans="1:41">
      <c r="A12" s="571"/>
      <c r="B12" s="571"/>
      <c r="C12" s="558"/>
      <c r="D12" s="55"/>
      <c r="E12" s="558" t="str">
        <f>E5</f>
        <v>TRAOILBL2N</v>
      </c>
      <c r="F12" s="553" t="s">
        <v>701</v>
      </c>
      <c r="G12" s="489"/>
      <c r="I12" s="49"/>
      <c r="J12" s="49"/>
      <c r="K12" s="49"/>
      <c r="L12" s="1477"/>
      <c r="M12" s="521"/>
      <c r="N12" s="1294"/>
      <c r="O12" s="525"/>
      <c r="R12" s="570">
        <v>5</v>
      </c>
      <c r="AD12" s="548" t="s">
        <v>1051</v>
      </c>
      <c r="AG12" s="570">
        <f>9000*AJ11</f>
        <v>90000</v>
      </c>
      <c r="AH12" s="570" t="s">
        <v>515</v>
      </c>
    </row>
    <row r="13" spans="1:41">
      <c r="C13" s="571" t="str">
        <f>LEFT(F13,4)&amp;RIGHT(E13,3)&amp;"X3N"</f>
        <v>TFSIFONX3N</v>
      </c>
      <c r="D13" s="55" t="s">
        <v>1054</v>
      </c>
      <c r="E13" s="566" t="str">
        <f t="shared" ref="E13:E17" si="0">E11</f>
        <v>TRAHFON</v>
      </c>
      <c r="F13" s="553" t="s">
        <v>701</v>
      </c>
      <c r="G13" s="492">
        <f>'EU Diesel IC-reg.tog'!$E$21</f>
        <v>2020</v>
      </c>
      <c r="H13" s="570" t="str">
        <f>"MKr"&amp;RIGHT('EU 9000 TEU HFO'!$H$38,2)</f>
        <v>MKr13</v>
      </c>
      <c r="I13" s="49">
        <v>2020</v>
      </c>
      <c r="J13" s="49">
        <v>2034</v>
      </c>
      <c r="K13" s="49">
        <f>AG12</f>
        <v>90000</v>
      </c>
      <c r="L13" s="1476">
        <f>V29*V25/K13*'EU 9000 TEU HFO'!D23/'EU 9000 TEU HFO'!E23</f>
        <v>9.8452303151110088E-2</v>
      </c>
      <c r="M13" s="524"/>
      <c r="N13" s="1294">
        <v>20</v>
      </c>
      <c r="O13" s="525">
        <f>'EU 9000 TEU Diesel'!E69*6.6/1.852*0.03*W7</f>
        <v>4.08809745386653E-3</v>
      </c>
      <c r="P13" s="570">
        <f>'EU 9000 TEU HFO'!$D$38*TRA_Ships!$W$7</f>
        <v>450500</v>
      </c>
      <c r="R13" s="570">
        <v>5</v>
      </c>
      <c r="U13" s="1230"/>
      <c r="V13" s="1230"/>
      <c r="AD13" s="548"/>
      <c r="AO13" s="570">
        <v>3.0562993951538343E-3</v>
      </c>
    </row>
    <row r="14" spans="1:41">
      <c r="C14" s="573"/>
      <c r="D14" s="55"/>
      <c r="E14" s="566" t="str">
        <f>E7</f>
        <v>TRAOILBL3N</v>
      </c>
      <c r="F14" s="553" t="s">
        <v>701</v>
      </c>
      <c r="G14" s="573"/>
      <c r="I14" s="49"/>
      <c r="J14" s="49"/>
      <c r="K14" s="49"/>
      <c r="L14" s="1477"/>
      <c r="M14" s="521"/>
      <c r="N14" s="1294"/>
      <c r="O14" s="525"/>
      <c r="R14" s="570">
        <v>5</v>
      </c>
    </row>
    <row r="15" spans="1:41">
      <c r="A15" s="571"/>
      <c r="B15" s="571"/>
      <c r="C15" s="59" t="str">
        <f>LEFT(F15,4)&amp;RIGHT(E15,3)&amp;"X4N"</f>
        <v>TFSIFONX4N</v>
      </c>
      <c r="D15" s="1346" t="s">
        <v>1055</v>
      </c>
      <c r="E15" s="566" t="str">
        <f t="shared" si="0"/>
        <v>TRAHFON</v>
      </c>
      <c r="F15" s="1347" t="s">
        <v>701</v>
      </c>
      <c r="G15" s="1348">
        <f>'EU Diesel IC-reg.tog'!$F$21</f>
        <v>2035</v>
      </c>
      <c r="H15" s="59" t="str">
        <f>"MKr"&amp;RIGHT('EU 9000 TEU HFO'!$H$38,2)</f>
        <v>MKr13</v>
      </c>
      <c r="I15" s="1349">
        <v>2035</v>
      </c>
      <c r="J15" s="1349"/>
      <c r="K15" s="1349">
        <f>AG12</f>
        <v>90000</v>
      </c>
      <c r="L15" s="1478">
        <f>V29*V25/K15*'EU 9000 TEU HFO'!D23/'EU 9000 TEU HFO'!F23</f>
        <v>0.10100123009353365</v>
      </c>
      <c r="M15" s="1350"/>
      <c r="N15" s="1351">
        <v>20</v>
      </c>
      <c r="O15" s="1352">
        <f>'EU 9000 TEU Diesel'!F69*6.6/1.852*0.03*W7</f>
        <v>4.5423305042961437E-3</v>
      </c>
      <c r="P15" s="59">
        <f>'EU 9000 TEU HFO'!$D$38*TRA_Ships!$W$7</f>
        <v>450500</v>
      </c>
      <c r="Q15" s="59"/>
      <c r="R15" s="59">
        <v>5</v>
      </c>
      <c r="U15" s="1230"/>
      <c r="V15" s="1230"/>
      <c r="AF15" s="570" t="s">
        <v>520</v>
      </c>
      <c r="AG15" s="570" t="s">
        <v>516</v>
      </c>
      <c r="AI15" s="570" t="s">
        <v>519</v>
      </c>
      <c r="AK15" s="570" t="s">
        <v>521</v>
      </c>
      <c r="AO15" s="570">
        <v>3.0562993951538343E-3</v>
      </c>
    </row>
    <row r="16" spans="1:41">
      <c r="A16" s="571"/>
      <c r="B16" s="571"/>
      <c r="C16" s="59"/>
      <c r="D16" s="1346"/>
      <c r="E16" s="566" t="str">
        <f>E9</f>
        <v>TRAOILBL4N</v>
      </c>
      <c r="F16" s="1347" t="s">
        <v>701</v>
      </c>
      <c r="G16" s="59"/>
      <c r="H16" s="59"/>
      <c r="I16" s="1349"/>
      <c r="J16" s="1349"/>
      <c r="K16" s="1349"/>
      <c r="L16" s="1353"/>
      <c r="M16" s="1353"/>
      <c r="N16" s="1351"/>
      <c r="O16" s="1352"/>
      <c r="P16" s="59"/>
      <c r="Q16" s="59"/>
      <c r="R16" s="59">
        <v>5</v>
      </c>
      <c r="AD16" s="570" t="s">
        <v>517</v>
      </c>
      <c r="AF16" s="570">
        <v>99555</v>
      </c>
      <c r="AG16" s="570">
        <f>AF16*$AG$12</f>
        <v>8959950000</v>
      </c>
      <c r="AI16" s="570">
        <f>1949*10^6</f>
        <v>1949000000</v>
      </c>
      <c r="AK16" s="570">
        <f>AI16/AG16</f>
        <v>0.21752353528758531</v>
      </c>
    </row>
    <row r="17" spans="1:41">
      <c r="A17" s="571"/>
      <c r="B17" s="571"/>
      <c r="C17" s="573" t="s">
        <v>990</v>
      </c>
      <c r="D17" s="55" t="s">
        <v>1056</v>
      </c>
      <c r="E17" s="58" t="str">
        <f t="shared" si="0"/>
        <v>TRAHFON</v>
      </c>
      <c r="F17" s="553" t="s">
        <v>701</v>
      </c>
      <c r="G17" s="489">
        <v>2011</v>
      </c>
      <c r="H17" s="573" t="str">
        <f>H9</f>
        <v>MKr13</v>
      </c>
      <c r="I17" s="49">
        <v>2020</v>
      </c>
      <c r="J17" s="49">
        <v>2025</v>
      </c>
      <c r="K17" s="570">
        <f>AG12</f>
        <v>90000</v>
      </c>
      <c r="M17" s="1298">
        <f>V29*V25/K17*'EU 9000 TEU HFO'!D23/'EU 9000 TEU HFO'!D23</f>
        <v>9.6923540679819564E-2</v>
      </c>
      <c r="N17" s="1294">
        <v>20</v>
      </c>
      <c r="O17" s="525">
        <f>'EU 9000 TEU Dual fuel'!D69*6.6/1.852*0.03*W7</f>
        <v>3.7164522307877547E-3</v>
      </c>
      <c r="P17" s="549">
        <f>'EU 9000 TEU Dual fuel'!$D$38*$W$7</f>
        <v>518074.99999999988</v>
      </c>
      <c r="R17" s="570">
        <v>5</v>
      </c>
      <c r="AD17" s="570" t="s">
        <v>518</v>
      </c>
      <c r="AF17" s="570">
        <v>220565</v>
      </c>
      <c r="AG17" s="570">
        <f>AF17*$AG$12</f>
        <v>19850850000</v>
      </c>
      <c r="AI17" s="570">
        <f>48141*10^6</f>
        <v>48141000000</v>
      </c>
      <c r="AK17" s="570">
        <f>AI17/AG17</f>
        <v>2.4251354476004807</v>
      </c>
      <c r="AO17" s="570">
        <v>3.7571916499213481E-3</v>
      </c>
    </row>
    <row r="18" spans="1:41">
      <c r="A18" s="571"/>
      <c r="B18" s="571"/>
      <c r="C18" s="573"/>
      <c r="D18" s="55"/>
      <c r="E18" s="58" t="str">
        <f>E12</f>
        <v>TRAOILBL2N</v>
      </c>
      <c r="F18" s="553" t="s">
        <v>701</v>
      </c>
      <c r="G18" s="489"/>
      <c r="H18" s="573"/>
      <c r="I18" s="49"/>
      <c r="J18" s="49"/>
      <c r="M18" s="1299">
        <f>M17</f>
        <v>9.6923540679819564E-2</v>
      </c>
      <c r="N18" s="1294"/>
      <c r="R18" s="570">
        <v>5</v>
      </c>
    </row>
    <row r="19" spans="1:41">
      <c r="A19" s="571"/>
      <c r="B19" s="571"/>
      <c r="C19" s="573"/>
      <c r="D19" s="55"/>
      <c r="E19" s="574" t="s">
        <v>1555</v>
      </c>
      <c r="F19" s="553"/>
      <c r="I19" s="49"/>
      <c r="J19" s="49"/>
      <c r="M19" s="1299">
        <f>M17*(TRA_Cars!$W$29/TRA_Cars!$W$5)</f>
        <v>8.8197578441326072E-2</v>
      </c>
      <c r="N19" s="1294"/>
      <c r="R19" s="570">
        <v>5</v>
      </c>
      <c r="AO19" s="570">
        <v>4.682328791498022E-3</v>
      </c>
    </row>
    <row r="20" spans="1:41">
      <c r="A20" s="571"/>
      <c r="B20" s="571"/>
      <c r="C20" s="573" t="s">
        <v>991</v>
      </c>
      <c r="D20" s="55" t="s">
        <v>1057</v>
      </c>
      <c r="E20" s="571" t="s">
        <v>1170</v>
      </c>
      <c r="F20" s="553" t="s">
        <v>701</v>
      </c>
      <c r="G20" s="56">
        <v>2020</v>
      </c>
      <c r="H20" s="573" t="str">
        <f>H17</f>
        <v>MKr13</v>
      </c>
      <c r="I20" s="573">
        <v>2020</v>
      </c>
      <c r="J20" s="573">
        <v>2034</v>
      </c>
      <c r="K20" s="570">
        <f>AG12</f>
        <v>90000</v>
      </c>
      <c r="M20" s="1299">
        <f>L13</f>
        <v>9.8452303151110088E-2</v>
      </c>
      <c r="N20" s="1294">
        <v>20</v>
      </c>
      <c r="O20" s="525">
        <f>'EU 9000 TEU Dual fuel'!E69*6.6/1.852*0.03*$W$7</f>
        <v>4.08809745386653E-3</v>
      </c>
      <c r="P20" s="549">
        <f>'EU 9000 TEU Dual fuel'!$D$38*$W$7</f>
        <v>518074.99999999988</v>
      </c>
      <c r="R20" s="570">
        <v>5</v>
      </c>
    </row>
    <row r="21" spans="1:41">
      <c r="A21" s="571"/>
      <c r="B21" s="571"/>
      <c r="C21" s="573"/>
      <c r="D21" s="55"/>
      <c r="E21" s="571" t="s">
        <v>1171</v>
      </c>
      <c r="F21" s="553" t="s">
        <v>701</v>
      </c>
      <c r="G21" s="56"/>
      <c r="H21" s="573"/>
      <c r="I21" s="573"/>
      <c r="J21" s="573"/>
      <c r="M21" s="1299">
        <f>M20</f>
        <v>9.8452303151110088E-2</v>
      </c>
      <c r="N21" s="1294"/>
      <c r="R21" s="570">
        <v>5</v>
      </c>
      <c r="U21" s="548" t="s">
        <v>1041</v>
      </c>
      <c r="AO21" s="570">
        <v>0.58854597261206099</v>
      </c>
    </row>
    <row r="22" spans="1:41">
      <c r="A22" s="571"/>
      <c r="B22" s="571"/>
      <c r="C22" s="573"/>
      <c r="D22" s="55"/>
      <c r="E22" s="574" t="s">
        <v>1556</v>
      </c>
      <c r="F22" s="553"/>
      <c r="G22" s="492"/>
      <c r="H22" s="573"/>
      <c r="J22" s="573"/>
      <c r="M22" s="1299">
        <f>M20*(TRA_Cars!$W$29/TRA_Cars!$W$5)</f>
        <v>8.9588707438823328E-2</v>
      </c>
      <c r="N22" s="1294"/>
      <c r="R22" s="570">
        <v>5</v>
      </c>
      <c r="U22" s="570" t="s">
        <v>1042</v>
      </c>
      <c r="V22" s="541">
        <v>13.364779019821839</v>
      </c>
    </row>
    <row r="23" spans="1:41">
      <c r="A23" s="571"/>
      <c r="B23" s="571"/>
      <c r="C23" s="573" t="s">
        <v>992</v>
      </c>
      <c r="D23" s="55" t="s">
        <v>1058</v>
      </c>
      <c r="E23" s="571" t="s">
        <v>1170</v>
      </c>
      <c r="F23" s="553" t="s">
        <v>701</v>
      </c>
      <c r="G23" s="489">
        <v>2035</v>
      </c>
      <c r="H23" s="573" t="str">
        <f>H20</f>
        <v>MKr13</v>
      </c>
      <c r="I23" s="573">
        <v>2035</v>
      </c>
      <c r="J23" s="49"/>
      <c r="K23" s="570">
        <f>AG12</f>
        <v>90000</v>
      </c>
      <c r="M23" s="1299">
        <f>L15</f>
        <v>0.10100123009353365</v>
      </c>
      <c r="N23" s="1294">
        <v>20</v>
      </c>
      <c r="O23" s="525">
        <f>'EU 9000 TEU Dual fuel'!F69*6.6/1.852*0.03*$W$7</f>
        <v>4.5423305042961437E-3</v>
      </c>
      <c r="P23" s="549">
        <f>'EU 9000 TEU Dual fuel'!$D$38*$W$7</f>
        <v>518074.99999999988</v>
      </c>
      <c r="R23" s="570">
        <v>5</v>
      </c>
      <c r="U23" s="570" t="s">
        <v>1043</v>
      </c>
      <c r="V23" s="541">
        <v>50.117921324331896</v>
      </c>
    </row>
    <row r="24" spans="1:41">
      <c r="A24" s="571"/>
      <c r="B24" s="571"/>
      <c r="C24" s="571"/>
      <c r="D24" s="55"/>
      <c r="E24" s="571" t="s">
        <v>1554</v>
      </c>
      <c r="F24" s="553" t="s">
        <v>701</v>
      </c>
      <c r="M24" s="1299">
        <f>M23</f>
        <v>0.10100123009353365</v>
      </c>
      <c r="R24" s="570">
        <v>5</v>
      </c>
      <c r="U24" s="570" t="s">
        <v>1044</v>
      </c>
      <c r="V24" s="541">
        <v>50.117921324331896</v>
      </c>
      <c r="AO24" s="570">
        <v>0.58854597261206099</v>
      </c>
    </row>
    <row r="25" spans="1:41">
      <c r="A25" s="571"/>
      <c r="B25" s="571"/>
      <c r="D25" s="55"/>
      <c r="E25" s="574" t="s">
        <v>1557</v>
      </c>
      <c r="F25" s="553"/>
      <c r="M25" s="1299">
        <f>M23*(TRA_Cars!$W$29/TRA_Cars!$W$5)</f>
        <v>9.1908156175103548E-2</v>
      </c>
      <c r="R25" s="570">
        <v>5</v>
      </c>
      <c r="U25" s="570" t="s">
        <v>1045</v>
      </c>
      <c r="V25" s="541">
        <v>15.187248886161179</v>
      </c>
    </row>
    <row r="26" spans="1:41">
      <c r="A26" s="571"/>
      <c r="B26" s="571"/>
      <c r="C26" s="1322" t="str">
        <f>LEFT(F26,4)&amp;RIGHT(E26,3)&amp;"X4N"</f>
        <v>TFSISBNX4N</v>
      </c>
      <c r="D26" s="1322" t="s">
        <v>1125</v>
      </c>
      <c r="E26" s="1322" t="s">
        <v>1558</v>
      </c>
      <c r="F26" s="1354" t="s">
        <v>701</v>
      </c>
      <c r="G26" s="1355">
        <f>G15</f>
        <v>2035</v>
      </c>
      <c r="H26" s="1355" t="str">
        <f t="shared" ref="H26:R27" si="1">H15</f>
        <v>MKr13</v>
      </c>
      <c r="I26" s="1355">
        <f t="shared" si="1"/>
        <v>2035</v>
      </c>
      <c r="J26" s="1355"/>
      <c r="K26" s="1355">
        <f t="shared" si="1"/>
        <v>90000</v>
      </c>
      <c r="L26" s="1356">
        <f t="shared" si="1"/>
        <v>0.10100123009353365</v>
      </c>
      <c r="M26" s="1355"/>
      <c r="N26" s="1355">
        <f t="shared" si="1"/>
        <v>20</v>
      </c>
      <c r="O26" s="1359">
        <f t="shared" si="1"/>
        <v>4.5423305042961437E-3</v>
      </c>
      <c r="P26" s="1355">
        <f t="shared" si="1"/>
        <v>450500</v>
      </c>
      <c r="Q26" s="1355"/>
      <c r="R26" s="1355">
        <f t="shared" si="1"/>
        <v>5</v>
      </c>
    </row>
    <row r="27" spans="1:41">
      <c r="A27" s="571"/>
      <c r="B27" s="571"/>
      <c r="C27" s="59"/>
      <c r="D27" s="59"/>
      <c r="E27" s="1322" t="str">
        <f>E24</f>
        <v>TRAOILBL4N</v>
      </c>
      <c r="F27" s="1354" t="s">
        <v>701</v>
      </c>
      <c r="G27" s="59"/>
      <c r="H27" s="59"/>
      <c r="I27" s="59"/>
      <c r="J27" s="59"/>
      <c r="K27" s="59"/>
      <c r="L27" s="59"/>
      <c r="M27" s="59"/>
      <c r="N27" s="59"/>
      <c r="O27" s="1352"/>
      <c r="P27" s="59"/>
      <c r="Q27" s="59"/>
      <c r="R27" s="1355">
        <f t="shared" si="1"/>
        <v>5</v>
      </c>
      <c r="U27" s="570" t="s">
        <v>1046</v>
      </c>
      <c r="V27" s="570">
        <v>325.74299999999999</v>
      </c>
      <c r="AO27" s="570">
        <v>0.58854597261206099</v>
      </c>
    </row>
    <row r="28" spans="1:41">
      <c r="A28" s="571"/>
      <c r="B28" s="571"/>
      <c r="C28" s="1322" t="str">
        <f>LEFT(F28,4)&amp;RIGHT(E28,3)&amp;"X4N"</f>
        <v>TFSIH2GX4N</v>
      </c>
      <c r="D28" s="1322" t="s">
        <v>1128</v>
      </c>
      <c r="E28" s="1322" t="s">
        <v>668</v>
      </c>
      <c r="F28" s="1354" t="s">
        <v>701</v>
      </c>
      <c r="G28" s="1355">
        <f>G15</f>
        <v>2035</v>
      </c>
      <c r="H28" s="1355" t="str">
        <f t="shared" ref="H28:R28" si="2">H15</f>
        <v>MKr13</v>
      </c>
      <c r="I28" s="1355">
        <f t="shared" si="2"/>
        <v>2035</v>
      </c>
      <c r="J28" s="1355"/>
      <c r="K28" s="1355">
        <f t="shared" si="2"/>
        <v>90000</v>
      </c>
      <c r="L28" s="1356">
        <f t="shared" si="2"/>
        <v>0.10100123009353365</v>
      </c>
      <c r="M28" s="1355"/>
      <c r="N28" s="1355">
        <f t="shared" si="2"/>
        <v>20</v>
      </c>
      <c r="O28" s="1359">
        <f>O15*3</f>
        <v>1.3626991512888431E-2</v>
      </c>
      <c r="P28" s="1355">
        <f>P15*1.35</f>
        <v>608175</v>
      </c>
      <c r="Q28" s="1355"/>
      <c r="R28" s="1355">
        <f t="shared" si="2"/>
        <v>5</v>
      </c>
      <c r="U28" s="570" t="s">
        <v>1047</v>
      </c>
      <c r="V28" s="570">
        <v>30.0229</v>
      </c>
      <c r="W28" s="541"/>
    </row>
    <row r="29" spans="1:41">
      <c r="A29" s="571"/>
      <c r="B29" s="571"/>
      <c r="C29" s="1234" t="str">
        <f>LEFT(F29,4)&amp;RIGHT(E29,5)&amp;"N"</f>
        <v>TPSNLBL2NN</v>
      </c>
      <c r="D29" s="1235" t="s">
        <v>509</v>
      </c>
      <c r="E29" s="1234" t="str">
        <f t="shared" ref="E29:E40" si="3">E5</f>
        <v>TRAOILBL2N</v>
      </c>
      <c r="F29" s="1233" t="s">
        <v>702</v>
      </c>
      <c r="G29" s="1236">
        <v>2011</v>
      </c>
      <c r="H29" s="1074" t="str">
        <f>H5</f>
        <v>MKr13</v>
      </c>
      <c r="I29" s="1237">
        <v>2012</v>
      </c>
      <c r="J29" s="1237">
        <v>2019</v>
      </c>
      <c r="K29" s="1240">
        <f>V28</f>
        <v>30.0229</v>
      </c>
      <c r="L29" s="1238">
        <f>V23</f>
        <v>50.117921324331896</v>
      </c>
      <c r="M29" s="1238"/>
      <c r="N29" s="1295">
        <v>28</v>
      </c>
      <c r="O29" s="1291">
        <f>O35*'EU 9000 TEU Diesel'!$D$74/'[14]EU Katamaran ferry'!$D$70</f>
        <v>2.1516302388771211E-3</v>
      </c>
      <c r="P29" s="1245">
        <f>2000000*6.6*$W$7</f>
        <v>13200</v>
      </c>
      <c r="Q29" s="1074">
        <v>5</v>
      </c>
      <c r="R29" s="1074">
        <v>5</v>
      </c>
      <c r="U29" s="548" t="s">
        <v>1048</v>
      </c>
      <c r="V29" s="570">
        <v>574.37121934127128</v>
      </c>
      <c r="W29" s="541"/>
    </row>
    <row r="30" spans="1:41">
      <c r="A30" s="571"/>
      <c r="B30" s="571"/>
      <c r="C30" s="573"/>
      <c r="D30" s="55"/>
      <c r="E30" s="1234" t="str">
        <f t="shared" si="3"/>
        <v>TRAHFON</v>
      </c>
      <c r="F30" s="491" t="s">
        <v>700</v>
      </c>
      <c r="G30" s="489"/>
      <c r="H30" s="573"/>
      <c r="I30" s="49"/>
      <c r="J30" s="49"/>
      <c r="K30" s="554"/>
      <c r="L30" s="524"/>
      <c r="M30" s="524"/>
      <c r="N30" s="1294"/>
      <c r="O30" s="1243"/>
      <c r="P30" s="1244"/>
      <c r="Q30" s="570">
        <v>5</v>
      </c>
      <c r="R30" s="570">
        <v>5</v>
      </c>
      <c r="W30" s="541"/>
      <c r="AO30" s="570">
        <v>0.58854597261206099</v>
      </c>
    </row>
    <row r="31" spans="1:41">
      <c r="A31" s="571"/>
      <c r="B31" s="571"/>
      <c r="C31" s="571" t="str">
        <f>LEFT(F31,4)&amp;RIGHT(E31,5)&amp;"N"</f>
        <v>TPSNLBL3NN</v>
      </c>
      <c r="D31" s="567" t="s">
        <v>510</v>
      </c>
      <c r="E31" s="1234" t="str">
        <f t="shared" si="3"/>
        <v>TRAOILBL3N</v>
      </c>
      <c r="F31" s="553" t="s">
        <v>702</v>
      </c>
      <c r="G31" s="56">
        <f>'EU Diesel IC-reg.tog'!$E$21</f>
        <v>2020</v>
      </c>
      <c r="H31" s="1074" t="str">
        <f>H7</f>
        <v>MKr13</v>
      </c>
      <c r="I31" s="573">
        <f>G31</f>
        <v>2020</v>
      </c>
      <c r="J31" s="573">
        <v>2034</v>
      </c>
      <c r="K31" s="554">
        <f>V28</f>
        <v>30.0229</v>
      </c>
      <c r="L31" s="521">
        <f>V23</f>
        <v>50.117921324331896</v>
      </c>
      <c r="M31" s="521"/>
      <c r="N31" s="1294">
        <v>28</v>
      </c>
      <c r="O31" s="1243">
        <f>O37*'EU 9000 TEU Diesel'!$D$74/'[14]EU Katamaran ferry'!$D$70</f>
        <v>2.3667932627648332E-3</v>
      </c>
      <c r="P31" s="1244">
        <f>2000000*6.6*$W$7</f>
        <v>13200</v>
      </c>
      <c r="Q31" s="570">
        <v>5</v>
      </c>
      <c r="R31" s="570">
        <v>5</v>
      </c>
      <c r="W31" s="541"/>
    </row>
    <row r="32" spans="1:41">
      <c r="A32" s="571"/>
      <c r="B32" s="571"/>
      <c r="C32" s="573"/>
      <c r="D32" s="567"/>
      <c r="E32" s="1234" t="str">
        <f t="shared" si="3"/>
        <v>TRAHFON</v>
      </c>
      <c r="F32" s="491" t="s">
        <v>700</v>
      </c>
      <c r="G32" s="56"/>
      <c r="I32" s="573"/>
      <c r="J32" s="573"/>
      <c r="K32" s="554"/>
      <c r="L32" s="524"/>
      <c r="M32" s="524"/>
      <c r="N32" s="1294"/>
      <c r="O32" s="1243"/>
      <c r="P32" s="1244"/>
      <c r="Q32" s="570">
        <v>5</v>
      </c>
      <c r="R32" s="570">
        <v>5</v>
      </c>
      <c r="W32" s="541"/>
      <c r="AO32" s="570">
        <v>0.58854597261206099</v>
      </c>
    </row>
    <row r="33" spans="1:41">
      <c r="A33" s="571"/>
      <c r="B33" s="571"/>
      <c r="C33" s="571" t="str">
        <f>LEFT(F33,4)&amp;RIGHT(E33,5)&amp;"N"</f>
        <v>TPSNLBL4NN</v>
      </c>
      <c r="D33" s="55" t="s">
        <v>511</v>
      </c>
      <c r="E33" s="1234" t="str">
        <f t="shared" si="3"/>
        <v>TRAOILBL4N</v>
      </c>
      <c r="F33" s="553" t="s">
        <v>702</v>
      </c>
      <c r="G33" s="492">
        <f>'EU Diesel IC-reg.tog'!$F$21</f>
        <v>2035</v>
      </c>
      <c r="H33" s="1074" t="str">
        <f>H9</f>
        <v>MKr13</v>
      </c>
      <c r="I33" s="573">
        <f>G33</f>
        <v>2035</v>
      </c>
      <c r="J33" s="573"/>
      <c r="K33" s="554">
        <f>V28</f>
        <v>30.0229</v>
      </c>
      <c r="L33" s="521">
        <f>V23</f>
        <v>50.117921324331896</v>
      </c>
      <c r="M33" s="521"/>
      <c r="N33" s="1294">
        <v>28</v>
      </c>
      <c r="O33" s="1243">
        <f>O39*'EU 9000 TEU Diesel'!$D$74/'[14]EU Katamaran ferry'!$D$70</f>
        <v>2.6297702919609255E-3</v>
      </c>
      <c r="P33" s="1244">
        <f>2000000*6.6*$W$7</f>
        <v>13200</v>
      </c>
      <c r="Q33" s="570">
        <v>5</v>
      </c>
      <c r="R33" s="570">
        <v>5</v>
      </c>
    </row>
    <row r="34" spans="1:41">
      <c r="A34" s="571"/>
      <c r="B34" s="571"/>
      <c r="C34" s="573"/>
      <c r="D34" s="55"/>
      <c r="E34" s="1234" t="str">
        <f t="shared" si="3"/>
        <v>TRAHFON</v>
      </c>
      <c r="F34" s="491" t="s">
        <v>700</v>
      </c>
      <c r="G34" s="492"/>
      <c r="H34" s="573"/>
      <c r="I34" s="573"/>
      <c r="J34" s="573"/>
      <c r="K34" s="554"/>
      <c r="L34" s="524"/>
      <c r="M34" s="524"/>
      <c r="N34" s="1294"/>
      <c r="O34" s="1243"/>
      <c r="P34" s="1244"/>
      <c r="Q34" s="570">
        <v>5</v>
      </c>
      <c r="R34" s="570">
        <v>5</v>
      </c>
      <c r="AO34" s="570">
        <v>0.58854597261206099</v>
      </c>
    </row>
    <row r="35" spans="1:41">
      <c r="A35" s="571"/>
      <c r="B35" s="571"/>
      <c r="C35" s="558" t="str">
        <f>LEFT(F35,4)&amp;RIGHT(E35,3)&amp;"X2N"</f>
        <v>TPSIFONX2N</v>
      </c>
      <c r="D35" s="55" t="s">
        <v>1059</v>
      </c>
      <c r="E35" s="1234" t="str">
        <f t="shared" si="3"/>
        <v>TRAHFON</v>
      </c>
      <c r="F35" s="553" t="s">
        <v>703</v>
      </c>
      <c r="G35" s="489">
        <v>2011</v>
      </c>
      <c r="H35" s="1074" t="str">
        <f>H11</f>
        <v>MKr13</v>
      </c>
      <c r="I35" s="49">
        <v>2012</v>
      </c>
      <c r="J35" s="49">
        <v>2019</v>
      </c>
      <c r="K35" s="522">
        <f>V27</f>
        <v>325.74299999999999</v>
      </c>
      <c r="L35" s="524">
        <f>V22</f>
        <v>13.364779019821839</v>
      </c>
      <c r="M35" s="524"/>
      <c r="N35" s="1294">
        <v>28</v>
      </c>
      <c r="O35" s="525">
        <f>'EU 9000 TEU Diesel'!D69*6.6/1.852*0.03*W7</f>
        <v>3.7164522307877547E-3</v>
      </c>
      <c r="P35" s="1244">
        <f>2850000*6.6*$W$7</f>
        <v>18810</v>
      </c>
      <c r="Q35" s="570">
        <v>5</v>
      </c>
      <c r="R35" s="570">
        <v>5</v>
      </c>
    </row>
    <row r="36" spans="1:41">
      <c r="A36" s="571"/>
      <c r="B36" s="571"/>
      <c r="C36" s="558"/>
      <c r="D36" s="55"/>
      <c r="E36" s="1234" t="str">
        <f t="shared" si="3"/>
        <v>TRAOILBL2N</v>
      </c>
      <c r="F36" s="553" t="s">
        <v>701</v>
      </c>
      <c r="G36" s="489"/>
      <c r="H36" s="573"/>
      <c r="I36" s="49"/>
      <c r="J36" s="49"/>
      <c r="K36" s="554"/>
      <c r="L36" s="524"/>
      <c r="M36" s="524"/>
      <c r="N36" s="1294"/>
      <c r="O36" s="525"/>
      <c r="P36" s="1244"/>
      <c r="Q36" s="570">
        <v>5</v>
      </c>
      <c r="R36" s="570">
        <v>5</v>
      </c>
      <c r="V36" s="548"/>
    </row>
    <row r="37" spans="1:41">
      <c r="A37" s="571"/>
      <c r="B37" s="571"/>
      <c r="C37" s="558" t="str">
        <f>LEFT(F37,4)&amp;RIGHT(E37,3)&amp;"X3N"</f>
        <v>TPSIFONX3N</v>
      </c>
      <c r="D37" s="55" t="s">
        <v>1060</v>
      </c>
      <c r="E37" s="1234" t="str">
        <f t="shared" si="3"/>
        <v>TRAHFON</v>
      </c>
      <c r="F37" s="553" t="s">
        <v>703</v>
      </c>
      <c r="G37" s="56">
        <f>'EU Diesel IC-reg.tog'!$E$21</f>
        <v>2020</v>
      </c>
      <c r="H37" s="1074" t="str">
        <f>H13</f>
        <v>MKr13</v>
      </c>
      <c r="I37" s="49">
        <v>2020</v>
      </c>
      <c r="J37" s="49">
        <v>2034</v>
      </c>
      <c r="K37" s="522">
        <f>V27</f>
        <v>325.74299999999999</v>
      </c>
      <c r="L37" s="524">
        <f>V22</f>
        <v>13.364779019821839</v>
      </c>
      <c r="M37" s="524"/>
      <c r="N37" s="1294">
        <v>28</v>
      </c>
      <c r="O37" s="525">
        <f>'EU 9000 TEU Diesel'!E69*6.6/1.852*0.03*W7</f>
        <v>4.08809745386653E-3</v>
      </c>
      <c r="P37" s="1244">
        <f>2850000*6.6*$W$7</f>
        <v>18810</v>
      </c>
      <c r="Q37" s="570">
        <v>5</v>
      </c>
      <c r="R37" s="570">
        <v>5</v>
      </c>
      <c r="V37" s="42"/>
    </row>
    <row r="38" spans="1:41">
      <c r="A38" s="571"/>
      <c r="B38" s="571"/>
      <c r="C38" s="558"/>
      <c r="D38" s="55"/>
      <c r="E38" s="1234" t="str">
        <f t="shared" si="3"/>
        <v>TRAOILBL3N</v>
      </c>
      <c r="F38" s="553" t="s">
        <v>701</v>
      </c>
      <c r="H38" s="573"/>
      <c r="I38" s="49"/>
      <c r="J38" s="49"/>
      <c r="K38" s="554"/>
      <c r="L38" s="524"/>
      <c r="M38" s="524"/>
      <c r="N38" s="1294"/>
      <c r="O38" s="525"/>
      <c r="P38" s="1244"/>
      <c r="Q38" s="570">
        <v>5</v>
      </c>
      <c r="R38" s="570">
        <v>5</v>
      </c>
      <c r="V38" s="42"/>
    </row>
    <row r="39" spans="1:41">
      <c r="A39" s="571"/>
      <c r="B39" s="571"/>
      <c r="C39" s="558" t="str">
        <f>LEFT(F39,4)&amp;RIGHT(E39,3)&amp;"X4N"</f>
        <v>TPSIFONX4N</v>
      </c>
      <c r="D39" s="55" t="s">
        <v>1061</v>
      </c>
      <c r="E39" s="1234" t="str">
        <f t="shared" si="3"/>
        <v>TRAHFON</v>
      </c>
      <c r="F39" s="553" t="s">
        <v>703</v>
      </c>
      <c r="G39" s="56">
        <f>'EU Diesel IC-reg.tog'!$F$21</f>
        <v>2035</v>
      </c>
      <c r="H39" s="1074" t="str">
        <f>H15</f>
        <v>MKr13</v>
      </c>
      <c r="I39" s="49">
        <v>2035</v>
      </c>
      <c r="J39" s="49"/>
      <c r="K39" s="522">
        <f>V27</f>
        <v>325.74299999999999</v>
      </c>
      <c r="L39" s="524">
        <f>V22</f>
        <v>13.364779019821839</v>
      </c>
      <c r="M39" s="524"/>
      <c r="N39" s="1294">
        <v>28</v>
      </c>
      <c r="O39" s="525">
        <f>'EU 9000 TEU Diesel'!F69*6.6/1.852*0.03*W7</f>
        <v>4.5423305042961437E-3</v>
      </c>
      <c r="P39" s="1244">
        <f>2850000*6.6*$W$7</f>
        <v>18810</v>
      </c>
      <c r="Q39" s="570">
        <v>5</v>
      </c>
      <c r="R39" s="570">
        <v>5</v>
      </c>
    </row>
    <row r="40" spans="1:41">
      <c r="A40" s="571"/>
      <c r="B40" s="571"/>
      <c r="C40" s="558"/>
      <c r="D40" s="55"/>
      <c r="E40" s="1234" t="str">
        <f t="shared" si="3"/>
        <v>TRAOILBL4N</v>
      </c>
      <c r="F40" s="553" t="s">
        <v>701</v>
      </c>
      <c r="N40" s="549"/>
      <c r="Q40" s="570">
        <v>5</v>
      </c>
      <c r="R40" s="570">
        <v>5</v>
      </c>
    </row>
    <row r="41" spans="1:41">
      <c r="A41" s="571"/>
      <c r="B41" s="571"/>
      <c r="T41" s="42"/>
    </row>
    <row r="42" spans="1:41">
      <c r="A42" s="571"/>
      <c r="B42" s="571"/>
      <c r="T42" s="42"/>
    </row>
    <row r="43" spans="1:41">
      <c r="A43" s="571"/>
      <c r="B43" s="571"/>
    </row>
    <row r="44" spans="1:41">
      <c r="A44" s="571"/>
      <c r="B44" s="571"/>
      <c r="U44" s="570" t="s">
        <v>1037</v>
      </c>
    </row>
    <row r="45" spans="1:41">
      <c r="A45" s="571"/>
      <c r="U45" s="570" t="s">
        <v>1038</v>
      </c>
    </row>
    <row r="46" spans="1:41">
      <c r="A46" s="571"/>
      <c r="B46" s="18" t="s">
        <v>62</v>
      </c>
      <c r="C46" s="18"/>
      <c r="D46" s="575"/>
      <c r="E46" s="575"/>
      <c r="F46" s="575"/>
      <c r="G46" s="575"/>
      <c r="H46" s="575"/>
      <c r="I46" s="575"/>
    </row>
    <row r="47" spans="1:41" ht="27.6">
      <c r="A47" s="571"/>
      <c r="B47" s="1241" t="s">
        <v>63</v>
      </c>
      <c r="C47" s="1241" t="s">
        <v>1</v>
      </c>
      <c r="D47" s="1241" t="s">
        <v>64</v>
      </c>
      <c r="E47" s="1241" t="s">
        <v>65</v>
      </c>
      <c r="F47" s="1241" t="s">
        <v>66</v>
      </c>
      <c r="G47" s="1241" t="s">
        <v>67</v>
      </c>
      <c r="H47" s="1241" t="s">
        <v>68</v>
      </c>
      <c r="I47" s="1241" t="s">
        <v>69</v>
      </c>
      <c r="U47" s="1222" t="s">
        <v>1</v>
      </c>
      <c r="V47" s="1241" t="s">
        <v>8</v>
      </c>
      <c r="W47" s="1222" t="s">
        <v>2</v>
      </c>
      <c r="X47" s="1222" t="s">
        <v>3</v>
      </c>
      <c r="Y47" s="1222" t="s">
        <v>989</v>
      </c>
      <c r="Z47" s="1222" t="s">
        <v>28</v>
      </c>
      <c r="AA47" s="1222" t="s">
        <v>218</v>
      </c>
      <c r="AB47" s="1222" t="s">
        <v>87</v>
      </c>
      <c r="AC47" s="1222" t="s">
        <v>230</v>
      </c>
      <c r="AD47" s="1226" t="s">
        <v>984</v>
      </c>
      <c r="AE47" s="1222" t="s">
        <v>89</v>
      </c>
      <c r="AF47" s="1222" t="s">
        <v>10</v>
      </c>
      <c r="AG47" s="1225" t="s">
        <v>6</v>
      </c>
      <c r="AH47" s="1222" t="s">
        <v>7</v>
      </c>
      <c r="AI47" s="1222" t="s">
        <v>532</v>
      </c>
      <c r="AJ47" s="1222" t="s">
        <v>531</v>
      </c>
    </row>
    <row r="48" spans="1:41" ht="41.4" thickBot="1">
      <c r="A48" s="571"/>
      <c r="B48" s="20" t="s">
        <v>70</v>
      </c>
      <c r="C48" s="20" t="s">
        <v>71</v>
      </c>
      <c r="D48" s="20" t="s">
        <v>72</v>
      </c>
      <c r="E48" s="20" t="s">
        <v>73</v>
      </c>
      <c r="F48" s="20" t="s">
        <v>74</v>
      </c>
      <c r="G48" s="20" t="s">
        <v>75</v>
      </c>
      <c r="H48" s="20" t="s">
        <v>76</v>
      </c>
      <c r="I48" s="20" t="s">
        <v>77</v>
      </c>
      <c r="T48" s="570" t="s">
        <v>987</v>
      </c>
      <c r="U48" s="572" t="s">
        <v>11</v>
      </c>
      <c r="V48" s="20" t="s">
        <v>72</v>
      </c>
      <c r="W48" s="572"/>
      <c r="X48" s="572"/>
      <c r="Y48" s="572"/>
      <c r="Z48" s="572"/>
      <c r="AA48" s="572" t="s">
        <v>217</v>
      </c>
      <c r="AB48" s="572" t="s">
        <v>13</v>
      </c>
      <c r="AC48" s="572"/>
      <c r="AD48" s="572" t="s">
        <v>985</v>
      </c>
      <c r="AE48" s="572" t="s">
        <v>522</v>
      </c>
      <c r="AF48" s="572" t="s">
        <v>14</v>
      </c>
      <c r="AG48" s="572" t="s">
        <v>83</v>
      </c>
      <c r="AH48" s="572" t="s">
        <v>12</v>
      </c>
      <c r="AI48" s="572" t="s">
        <v>90</v>
      </c>
      <c r="AJ48" s="572" t="s">
        <v>90</v>
      </c>
    </row>
    <row r="49" spans="1:36">
      <c r="A49" s="571"/>
      <c r="B49" s="566" t="s">
        <v>78</v>
      </c>
      <c r="C49" s="575" t="str">
        <f>C5</f>
        <v>TFSNLBL2NN</v>
      </c>
      <c r="D49" s="575" t="str">
        <f>D5</f>
        <v>Transport Freight Ship National - Diesel Engine - Blending 2 - New</v>
      </c>
      <c r="E49" s="566" t="s">
        <v>86</v>
      </c>
      <c r="F49" s="568" t="s">
        <v>82</v>
      </c>
      <c r="G49" s="566"/>
      <c r="H49" s="566"/>
      <c r="I49" s="569"/>
      <c r="S49" s="570" t="s">
        <v>1559</v>
      </c>
      <c r="T49" s="1231">
        <v>3.7164522307877547E-3</v>
      </c>
      <c r="U49" s="571" t="str">
        <f>LEFT(X49,4)&amp;RIGHT(W49,5)&amp;"N"</f>
        <v>TFSNDSBL1N</v>
      </c>
      <c r="V49" s="1235" t="s">
        <v>983</v>
      </c>
      <c r="W49" s="571" t="s">
        <v>982</v>
      </c>
      <c r="X49" s="1233" t="s">
        <v>700</v>
      </c>
      <c r="Z49" s="570">
        <v>2011</v>
      </c>
      <c r="AA49" s="570" t="s">
        <v>490</v>
      </c>
      <c r="AB49" s="49">
        <v>2011</v>
      </c>
      <c r="AC49" s="49">
        <v>2019</v>
      </c>
      <c r="AE49" s="524">
        <v>732.70676691729295</v>
      </c>
      <c r="AF49" s="490">
        <v>20</v>
      </c>
      <c r="AG49" s="1232">
        <f>AG57*0.206</f>
        <v>5620.4524999999994</v>
      </c>
      <c r="AH49" s="523">
        <f>AH57*0.206</f>
        <v>96371.066817262079</v>
      </c>
      <c r="AJ49" s="570">
        <v>5</v>
      </c>
    </row>
    <row r="50" spans="1:36">
      <c r="A50" s="571"/>
      <c r="B50" s="566"/>
      <c r="C50" s="575" t="str">
        <f>C7</f>
        <v>TFSNLBL3NN</v>
      </c>
      <c r="D50" s="575" t="str">
        <f>D7</f>
        <v>Transport Freight Ship National - Diesel Engine - Blending 3 - New</v>
      </c>
      <c r="E50" s="566" t="s">
        <v>86</v>
      </c>
      <c r="F50" s="568" t="s">
        <v>82</v>
      </c>
      <c r="G50" s="566"/>
      <c r="H50" s="566"/>
      <c r="I50" s="569"/>
      <c r="T50" s="1231"/>
      <c r="U50" s="558"/>
      <c r="V50" s="55"/>
      <c r="W50" s="558" t="s">
        <v>486</v>
      </c>
      <c r="X50" s="553"/>
      <c r="AG50" s="549"/>
      <c r="AJ50" s="570">
        <v>5</v>
      </c>
    </row>
    <row r="51" spans="1:36">
      <c r="A51" s="571"/>
      <c r="B51" s="566"/>
      <c r="C51" s="575" t="str">
        <f>C9</f>
        <v>TFSNLBL4NN</v>
      </c>
      <c r="D51" s="575" t="str">
        <f>D9</f>
        <v>Transport Freight Ship National - Diesel Engine - Blending 4 - New</v>
      </c>
      <c r="E51" s="566" t="s">
        <v>86</v>
      </c>
      <c r="F51" s="568" t="s">
        <v>82</v>
      </c>
      <c r="G51" s="566"/>
      <c r="H51" s="566"/>
      <c r="I51" s="569"/>
      <c r="S51" s="570" t="s">
        <v>1560</v>
      </c>
      <c r="T51" s="1231">
        <v>4.08809745386653E-3</v>
      </c>
      <c r="U51" s="571" t="str">
        <f>LEFT(X51,4)&amp;RIGHT(W51,5)&amp;"N"</f>
        <v>TFSNDSBL2N</v>
      </c>
      <c r="V51" s="55" t="s">
        <v>487</v>
      </c>
      <c r="W51" s="558" t="s">
        <v>223</v>
      </c>
      <c r="X51" s="553" t="s">
        <v>700</v>
      </c>
      <c r="Z51" s="486">
        <v>2011</v>
      </c>
      <c r="AA51" s="570" t="s">
        <v>490</v>
      </c>
      <c r="AB51" s="49">
        <v>2015</v>
      </c>
      <c r="AC51" s="49">
        <v>2019</v>
      </c>
      <c r="AE51" s="524">
        <f>AE59/$AE$57*$AE$49</f>
        <v>974.11546456312362</v>
      </c>
      <c r="AF51" s="490">
        <v>20</v>
      </c>
      <c r="AG51" s="1232">
        <f>AG59*0.206</f>
        <v>5620.4524999999994</v>
      </c>
      <c r="AH51" s="523">
        <f>AH59*0.206</f>
        <v>96371.066817262079</v>
      </c>
      <c r="AJ51" s="570">
        <v>5</v>
      </c>
    </row>
    <row r="52" spans="1:36">
      <c r="A52" s="571"/>
      <c r="B52" s="58"/>
      <c r="C52" s="575" t="str">
        <f>C11</f>
        <v>TFSIFONX2N</v>
      </c>
      <c r="D52" s="575" t="str">
        <f>D11</f>
        <v>Transport Freight Ship International - Fuel Oil - Blending 2 - New</v>
      </c>
      <c r="E52" s="566" t="s">
        <v>86</v>
      </c>
      <c r="F52" s="568" t="s">
        <v>82</v>
      </c>
      <c r="G52" s="566"/>
      <c r="H52" s="566"/>
      <c r="I52" s="569"/>
      <c r="T52" s="1231"/>
      <c r="U52" s="558"/>
      <c r="V52" s="55"/>
      <c r="W52" s="558" t="s">
        <v>486</v>
      </c>
      <c r="X52" s="553"/>
      <c r="Z52" s="486"/>
      <c r="AB52" s="49"/>
      <c r="AC52" s="49"/>
      <c r="AE52" s="524"/>
      <c r="AF52" s="490"/>
      <c r="AG52" s="1232"/>
      <c r="AH52" s="523"/>
      <c r="AJ52" s="570">
        <v>5</v>
      </c>
    </row>
    <row r="53" spans="1:36">
      <c r="A53" s="571"/>
      <c r="B53" s="58"/>
      <c r="C53" s="575" t="str">
        <f>C13</f>
        <v>TFSIFONX3N</v>
      </c>
      <c r="D53" s="575" t="str">
        <f>D13</f>
        <v>Transport Freight Ship International - Fuel Oil - Blending 3 - New</v>
      </c>
      <c r="E53" s="566" t="s">
        <v>86</v>
      </c>
      <c r="F53" s="568" t="s">
        <v>82</v>
      </c>
      <c r="G53" s="566"/>
      <c r="H53" s="566"/>
      <c r="I53" s="569"/>
      <c r="S53" s="570" t="s">
        <v>1561</v>
      </c>
      <c r="T53" s="1231">
        <v>4.5423305042961437E-3</v>
      </c>
      <c r="U53" s="571" t="str">
        <f>LEFT(X53,4)&amp;RIGHT(W53,5)&amp;"N"</f>
        <v>TFSNDSBL3N</v>
      </c>
      <c r="V53" s="567" t="s">
        <v>488</v>
      </c>
      <c r="W53" s="491" t="s">
        <v>224</v>
      </c>
      <c r="X53" s="553" t="s">
        <v>700</v>
      </c>
      <c r="Z53" s="492">
        <v>2020</v>
      </c>
      <c r="AA53" s="570" t="s">
        <v>490</v>
      </c>
      <c r="AB53" s="573">
        <v>2020</v>
      </c>
      <c r="AC53" s="573">
        <v>2034</v>
      </c>
      <c r="AE53" s="524">
        <f>AE61/$AE$57*$AE$49</f>
        <v>1178.9117100975511</v>
      </c>
      <c r="AF53" s="490">
        <v>20</v>
      </c>
      <c r="AG53" s="1232">
        <f>AG61*0.206</f>
        <v>5620.4524999999994</v>
      </c>
      <c r="AH53" s="523">
        <f>AH61*0.206</f>
        <v>96371.066817262079</v>
      </c>
      <c r="AJ53" s="570">
        <v>5</v>
      </c>
    </row>
    <row r="54" spans="1:36">
      <c r="A54" s="571"/>
      <c r="B54" s="58"/>
      <c r="C54" s="575" t="str">
        <f>C15</f>
        <v>TFSIFONX4N</v>
      </c>
      <c r="D54" s="575" t="str">
        <f>D15</f>
        <v>Transport Freight Ship International - Fuel Oil - Blending 4 - New</v>
      </c>
      <c r="E54" s="566" t="s">
        <v>86</v>
      </c>
      <c r="F54" s="568" t="s">
        <v>82</v>
      </c>
      <c r="G54" s="566"/>
      <c r="H54" s="566"/>
      <c r="I54" s="569"/>
      <c r="T54" s="554"/>
      <c r="U54" s="558"/>
      <c r="V54" s="567"/>
      <c r="W54" s="558" t="s">
        <v>486</v>
      </c>
      <c r="X54" s="553"/>
      <c r="Z54" s="492"/>
      <c r="AB54" s="573"/>
      <c r="AC54" s="573"/>
      <c r="AE54" s="524"/>
      <c r="AF54" s="490"/>
      <c r="AG54" s="1232"/>
      <c r="AH54" s="523"/>
      <c r="AJ54" s="570">
        <v>5</v>
      </c>
    </row>
    <row r="55" spans="1:36">
      <c r="A55" s="571"/>
      <c r="B55" s="58"/>
      <c r="C55" s="570" t="str">
        <f>C17</f>
        <v>TFSIDUALX2N</v>
      </c>
      <c r="D55" s="570" t="str">
        <f>D17</f>
        <v>Transport Freight Ship International - Dual fueled - Blending 2 - New</v>
      </c>
      <c r="E55" s="566" t="s">
        <v>86</v>
      </c>
      <c r="F55" s="568" t="s">
        <v>82</v>
      </c>
      <c r="G55" s="566"/>
      <c r="H55" s="566"/>
      <c r="I55" s="569"/>
      <c r="S55" s="570" t="s">
        <v>1562</v>
      </c>
      <c r="T55" s="1231">
        <v>3.7164522307877547E-3</v>
      </c>
      <c r="U55" s="571" t="str">
        <f>LEFT(X55,4)&amp;RIGHT(W55,5)&amp;"N"</f>
        <v>TFSNDSBL4N</v>
      </c>
      <c r="V55" s="55" t="s">
        <v>489</v>
      </c>
      <c r="W55" s="491" t="s">
        <v>225</v>
      </c>
      <c r="X55" s="553" t="s">
        <v>700</v>
      </c>
      <c r="Z55" s="492">
        <v>2035</v>
      </c>
      <c r="AA55" s="570" t="s">
        <v>490</v>
      </c>
      <c r="AB55" s="573">
        <v>2035</v>
      </c>
      <c r="AC55" s="573"/>
      <c r="AE55" s="524">
        <f>AE63/$AE$57*$AE$49</f>
        <v>1432.1188355709332</v>
      </c>
      <c r="AF55" s="490">
        <v>20</v>
      </c>
      <c r="AG55" s="1232">
        <f>AG63*0.206</f>
        <v>5620.4524999999994</v>
      </c>
      <c r="AH55" s="523">
        <f>AH63*0.206</f>
        <v>96371.066817262079</v>
      </c>
      <c r="AJ55" s="570">
        <v>5</v>
      </c>
    </row>
    <row r="56" spans="1:36">
      <c r="A56" s="571"/>
      <c r="B56" s="58"/>
      <c r="C56" s="570" t="str">
        <f>C20</f>
        <v>TFSIDUALX3N</v>
      </c>
      <c r="D56" s="570" t="str">
        <f>D20</f>
        <v>Transport Freight Ship International - Dual fueled - Blending 3 - New</v>
      </c>
      <c r="E56" s="566" t="s">
        <v>86</v>
      </c>
      <c r="F56" s="568" t="s">
        <v>82</v>
      </c>
      <c r="G56" s="566"/>
      <c r="T56" s="1231"/>
      <c r="U56" s="558"/>
      <c r="V56" s="55"/>
      <c r="W56" s="558" t="s">
        <v>486</v>
      </c>
      <c r="X56" s="553"/>
      <c r="Z56" s="492"/>
      <c r="AB56" s="573"/>
      <c r="AC56" s="573"/>
      <c r="AE56" s="524"/>
      <c r="AF56" s="490"/>
      <c r="AG56" s="525"/>
      <c r="AJ56" s="570">
        <v>5</v>
      </c>
    </row>
    <row r="57" spans="1:36">
      <c r="A57" s="571"/>
      <c r="B57" s="58"/>
      <c r="C57" s="570" t="str">
        <f>C23</f>
        <v>TFSIDUALX4N</v>
      </c>
      <c r="D57" s="570" t="str">
        <f>D23</f>
        <v>Transport Freight Ship International - Dual fueled - Blending 4 - New</v>
      </c>
      <c r="E57" s="566" t="s">
        <v>86</v>
      </c>
      <c r="F57" s="568" t="s">
        <v>82</v>
      </c>
      <c r="G57" s="566"/>
      <c r="S57" s="570" t="s">
        <v>1563</v>
      </c>
      <c r="T57" s="1231">
        <v>4.08809745386653E-3</v>
      </c>
      <c r="U57" s="571" t="str">
        <f>LEFT(X57,4)&amp;RIGHT(W57,3)&amp;"X1N"</f>
        <v>TFSIHFOX1N</v>
      </c>
      <c r="V57" s="570" t="s">
        <v>988</v>
      </c>
      <c r="W57" s="558" t="s">
        <v>486</v>
      </c>
      <c r="X57" s="553" t="s">
        <v>701</v>
      </c>
      <c r="Z57" s="489">
        <v>2011</v>
      </c>
      <c r="AA57" s="570" t="s">
        <v>490</v>
      </c>
      <c r="AB57" s="49">
        <v>2011</v>
      </c>
      <c r="AC57" s="49">
        <v>2019</v>
      </c>
      <c r="AE57" s="524">
        <v>11130.819462867132</v>
      </c>
      <c r="AF57" s="490">
        <v>20</v>
      </c>
      <c r="AG57" s="1232">
        <f>'EU 9000 TEU HFO'!$D$68*365*6.5/1000</f>
        <v>27283.75</v>
      </c>
      <c r="AH57" s="570">
        <f>'EU 9000 TEU HFO'!$D$31/1000</f>
        <v>467820.71270515578</v>
      </c>
      <c r="AJ57" s="570">
        <v>5</v>
      </c>
    </row>
    <row r="58" spans="1:36">
      <c r="A58" s="571"/>
      <c r="C58" s="570" t="str">
        <f>C26</f>
        <v>TFSISBNX4N</v>
      </c>
      <c r="D58" s="570" t="str">
        <f>D26</f>
        <v>Transport Freight Ship International - Methanol - New</v>
      </c>
      <c r="E58" s="566" t="s">
        <v>86</v>
      </c>
      <c r="F58" s="568" t="s">
        <v>82</v>
      </c>
      <c r="G58" s="566"/>
      <c r="T58" s="1231"/>
      <c r="W58" s="558" t="s">
        <v>223</v>
      </c>
      <c r="X58" s="553" t="s">
        <v>701</v>
      </c>
      <c r="Z58" s="489"/>
      <c r="AB58" s="49"/>
      <c r="AC58" s="49"/>
      <c r="AE58" s="521"/>
      <c r="AF58" s="490"/>
      <c r="AG58" s="525"/>
      <c r="AJ58" s="570">
        <v>5</v>
      </c>
    </row>
    <row r="59" spans="1:36">
      <c r="A59" s="571"/>
      <c r="C59" s="570" t="str">
        <f>C28</f>
        <v>TFSIH2GX4N</v>
      </c>
      <c r="D59" s="570" t="str">
        <f>D28</f>
        <v>Transport Freight Ship International - Hydrogen (ICE) - New</v>
      </c>
      <c r="E59" s="566" t="s">
        <v>86</v>
      </c>
      <c r="F59" s="568" t="s">
        <v>82</v>
      </c>
      <c r="G59" s="566"/>
      <c r="S59" s="570" t="s">
        <v>1564</v>
      </c>
      <c r="T59" s="1231">
        <v>4.5423305042961437E-3</v>
      </c>
      <c r="U59" s="571" t="str">
        <f>LEFT(X59,4)&amp;RIGHT(W59,3)&amp;"X2N"</f>
        <v>TFSIHFOX2N</v>
      </c>
      <c r="V59" s="55" t="s">
        <v>636</v>
      </c>
      <c r="W59" s="558" t="s">
        <v>486</v>
      </c>
      <c r="X59" s="553" t="s">
        <v>701</v>
      </c>
      <c r="Z59" s="489">
        <v>2015</v>
      </c>
      <c r="AA59" s="570" t="s">
        <v>490</v>
      </c>
      <c r="AB59" s="49">
        <v>2015</v>
      </c>
      <c r="AC59" s="49">
        <v>2019</v>
      </c>
      <c r="AE59" s="524">
        <f>AG9*(1/('EU 9000 TEU HFO'!D25/1000))</f>
        <v>14798.148265584376</v>
      </c>
      <c r="AF59" s="490">
        <v>20</v>
      </c>
      <c r="AG59" s="1232">
        <f>'EU 9000 TEU HFO'!$D$68*365*6.5/1000</f>
        <v>27283.75</v>
      </c>
      <c r="AH59" s="570">
        <f>'EU 9000 TEU HFO'!$D$31/1000</f>
        <v>467820.71270515578</v>
      </c>
      <c r="AJ59" s="570">
        <v>5</v>
      </c>
    </row>
    <row r="60" spans="1:36">
      <c r="A60" s="571"/>
      <c r="B60" s="1292"/>
      <c r="C60" s="1074" t="str">
        <f>C29</f>
        <v>TPSNLBL2NN</v>
      </c>
      <c r="D60" s="1074" t="str">
        <f>D29</f>
        <v>Transport passenger Ship National - Diesel Engine - Blending 2 - New</v>
      </c>
      <c r="E60" s="1292" t="s">
        <v>81</v>
      </c>
      <c r="F60" s="1293" t="s">
        <v>82</v>
      </c>
      <c r="G60" s="566"/>
      <c r="U60" s="558"/>
      <c r="V60" s="55"/>
      <c r="W60" s="558" t="s">
        <v>223</v>
      </c>
      <c r="X60" s="553" t="s">
        <v>701</v>
      </c>
      <c r="Z60" s="489"/>
      <c r="AB60" s="49"/>
      <c r="AC60" s="49"/>
      <c r="AE60" s="521"/>
      <c r="AF60" s="490"/>
      <c r="AG60" s="525"/>
      <c r="AJ60" s="570">
        <v>5</v>
      </c>
    </row>
    <row r="61" spans="1:36">
      <c r="A61" s="571"/>
      <c r="B61" s="58"/>
      <c r="C61" s="573" t="str">
        <f>C31</f>
        <v>TPSNLBL3NN</v>
      </c>
      <c r="D61" s="573" t="str">
        <f>D31</f>
        <v>Transport passenger Ship National - Diesel Engine - Blending 3 - New</v>
      </c>
      <c r="E61" s="566" t="s">
        <v>81</v>
      </c>
      <c r="F61" s="568" t="s">
        <v>82</v>
      </c>
      <c r="G61" s="566"/>
      <c r="S61" s="570" t="s">
        <v>990</v>
      </c>
      <c r="U61" s="571" t="str">
        <f>LEFT(X61,4)&amp;RIGHT(W61,3)&amp;"X3N"</f>
        <v>TFSIHFOX3N</v>
      </c>
      <c r="V61" s="55" t="s">
        <v>637</v>
      </c>
      <c r="W61" s="558" t="s">
        <v>486</v>
      </c>
      <c r="X61" s="553" t="s">
        <v>701</v>
      </c>
      <c r="Z61" s="492">
        <v>2020</v>
      </c>
      <c r="AA61" s="570" t="s">
        <v>490</v>
      </c>
      <c r="AB61" s="49">
        <v>2020</v>
      </c>
      <c r="AC61" s="49">
        <v>2034</v>
      </c>
      <c r="AE61" s="524">
        <f>$AG$9*(1/('EU 9000 TEU HFO'!E25/1000))</f>
        <v>17909.283768409663</v>
      </c>
      <c r="AF61" s="490">
        <v>20</v>
      </c>
      <c r="AG61" s="1232">
        <f>'EU 9000 TEU HFO'!$E$68*365*6.5/1000</f>
        <v>27283.75</v>
      </c>
      <c r="AH61" s="570">
        <f>'EU 9000 TEU HFO'!$E$31/1000</f>
        <v>467820.71270515578</v>
      </c>
      <c r="AJ61" s="570">
        <v>5</v>
      </c>
    </row>
    <row r="62" spans="1:36">
      <c r="A62" s="571"/>
      <c r="B62" s="58"/>
      <c r="C62" s="573" t="str">
        <f>C33</f>
        <v>TPSNLBL4NN</v>
      </c>
      <c r="D62" s="573" t="str">
        <f>D33</f>
        <v>Transport passenger Ship National - Diesel Engine - Blending 4 - New</v>
      </c>
      <c r="E62" s="566" t="s">
        <v>81</v>
      </c>
      <c r="F62" s="568" t="s">
        <v>82</v>
      </c>
      <c r="G62" s="566"/>
      <c r="U62" s="573"/>
      <c r="V62" s="55"/>
      <c r="W62" s="558" t="s">
        <v>224</v>
      </c>
      <c r="X62" s="553" t="s">
        <v>701</v>
      </c>
      <c r="Z62" s="573"/>
      <c r="AB62" s="49"/>
      <c r="AC62" s="49"/>
      <c r="AE62" s="521"/>
      <c r="AG62" s="1232"/>
      <c r="AJ62" s="570">
        <v>5</v>
      </c>
    </row>
    <row r="63" spans="1:36">
      <c r="A63" s="571"/>
      <c r="B63" s="566"/>
      <c r="C63" s="573" t="str">
        <f>C35</f>
        <v>TPSIFONX2N</v>
      </c>
      <c r="D63" s="573" t="str">
        <f>D35</f>
        <v>Transport passenger Ship International - Fuel Oil - Blending 2 - New</v>
      </c>
      <c r="E63" s="566" t="s">
        <v>81</v>
      </c>
      <c r="F63" s="568" t="s">
        <v>82</v>
      </c>
      <c r="G63" s="575"/>
      <c r="H63" s="575"/>
      <c r="I63" s="575"/>
      <c r="U63" s="571" t="str">
        <f>LEFT(X63,4)&amp;RIGHT(W63,3)&amp;"X4N"</f>
        <v>TFSIHFOX4N</v>
      </c>
      <c r="V63" s="55" t="s">
        <v>638</v>
      </c>
      <c r="W63" s="558" t="s">
        <v>486</v>
      </c>
      <c r="X63" s="553" t="s">
        <v>701</v>
      </c>
      <c r="Z63" s="56">
        <v>2035</v>
      </c>
      <c r="AA63" s="570" t="s">
        <v>490</v>
      </c>
      <c r="AB63" s="49">
        <v>2035</v>
      </c>
      <c r="AC63" s="49"/>
      <c r="AE63" s="524">
        <f>$AG$9*(1/('EU 9000 TEU HFO'!F25/1000))</f>
        <v>21755.846851501672</v>
      </c>
      <c r="AF63" s="490">
        <v>20</v>
      </c>
      <c r="AG63" s="1232">
        <f>'EU 9000 TEU HFO'!$F$68*365*6.5/1000</f>
        <v>27283.75</v>
      </c>
      <c r="AH63" s="570">
        <f>'EU 9000 TEU HFO'!$F$31/1000</f>
        <v>467820.71270515578</v>
      </c>
      <c r="AJ63" s="570">
        <v>5</v>
      </c>
    </row>
    <row r="64" spans="1:36">
      <c r="A64" s="571"/>
      <c r="B64" s="575"/>
      <c r="C64" s="573" t="str">
        <f>C37</f>
        <v>TPSIFONX3N</v>
      </c>
      <c r="D64" s="573" t="str">
        <f>D37</f>
        <v>Transport passenger Ship International - Fuel Oil - Blending 3 - New</v>
      </c>
      <c r="E64" s="566" t="s">
        <v>81</v>
      </c>
      <c r="F64" s="568" t="s">
        <v>82</v>
      </c>
      <c r="G64" s="575"/>
      <c r="H64" s="575"/>
      <c r="I64" s="575"/>
      <c r="S64" s="570" t="s">
        <v>991</v>
      </c>
      <c r="U64" s="573"/>
      <c r="V64" s="55"/>
      <c r="W64" s="571" t="s">
        <v>225</v>
      </c>
      <c r="X64" s="553" t="s">
        <v>701</v>
      </c>
      <c r="AB64" s="49"/>
      <c r="AC64" s="49"/>
      <c r="AE64" s="521"/>
      <c r="AG64" s="1232"/>
      <c r="AJ64" s="570">
        <v>5</v>
      </c>
    </row>
    <row r="65" spans="1:36">
      <c r="A65" s="571"/>
      <c r="B65" s="575"/>
      <c r="C65" s="573" t="str">
        <f>C39</f>
        <v>TPSIFONX4N</v>
      </c>
      <c r="D65" s="573" t="str">
        <f>D39</f>
        <v>Transport passenger Ship International - Fuel Oil - Blending 4 - New</v>
      </c>
      <c r="E65" s="566" t="s">
        <v>81</v>
      </c>
      <c r="F65" s="568" t="s">
        <v>82</v>
      </c>
      <c r="U65" s="573" t="s">
        <v>990</v>
      </c>
      <c r="V65" s="55" t="s">
        <v>993</v>
      </c>
      <c r="W65" s="571" t="s">
        <v>486</v>
      </c>
      <c r="X65" s="553" t="s">
        <v>701</v>
      </c>
      <c r="Z65" s="489">
        <v>2011</v>
      </c>
      <c r="AA65" s="573" t="s">
        <v>490</v>
      </c>
      <c r="AB65" s="49">
        <v>2020</v>
      </c>
      <c r="AC65" s="49">
        <v>2025</v>
      </c>
      <c r="AE65" s="1242">
        <f>$AG$9*(1/('EU 9000 TEU Dual fuel'!D25/1000))</f>
        <v>14133.979406420352</v>
      </c>
      <c r="AF65" s="490">
        <v>20</v>
      </c>
      <c r="AG65" s="549">
        <f>'EU 9000 TEU Dual fuel'!$D$68*365*6.5/1000</f>
        <v>27283.75</v>
      </c>
      <c r="AH65" s="1244">
        <f>'EU 9000 TEU Dual fuel'!$D$31/1000</f>
        <v>537993.819610929</v>
      </c>
      <c r="AJ65" s="570">
        <v>5</v>
      </c>
    </row>
    <row r="66" spans="1:36">
      <c r="B66" s="571"/>
      <c r="U66" s="573"/>
      <c r="V66" s="55"/>
      <c r="W66" s="571" t="s">
        <v>223</v>
      </c>
      <c r="X66" s="553" t="s">
        <v>701</v>
      </c>
      <c r="Z66" s="489"/>
      <c r="AA66" s="573"/>
      <c r="AB66" s="49"/>
      <c r="AC66" s="49"/>
      <c r="AE66" s="524">
        <f>AE65</f>
        <v>14133.979406420352</v>
      </c>
      <c r="AF66" s="490"/>
      <c r="AG66" s="549"/>
      <c r="AH66" s="1244"/>
      <c r="AJ66" s="570">
        <v>5</v>
      </c>
    </row>
    <row r="67" spans="1:36">
      <c r="S67" s="570" t="s">
        <v>992</v>
      </c>
      <c r="U67" s="573"/>
      <c r="V67" s="55"/>
      <c r="W67" s="574" t="s">
        <v>548</v>
      </c>
      <c r="X67" s="553"/>
      <c r="AB67" s="49"/>
      <c r="AC67" s="49"/>
      <c r="AE67" s="524">
        <f>AE66*TRA_Cars!$L$29/TRA_Cars!$L$5</f>
        <v>14263.395723332515</v>
      </c>
      <c r="AG67" s="1232"/>
      <c r="AJ67" s="570">
        <v>5</v>
      </c>
    </row>
    <row r="68" spans="1:36">
      <c r="U68" s="573" t="s">
        <v>991</v>
      </c>
      <c r="V68" s="55" t="s">
        <v>994</v>
      </c>
      <c r="W68" s="571" t="s">
        <v>486</v>
      </c>
      <c r="X68" s="553" t="s">
        <v>701</v>
      </c>
      <c r="Z68" s="56">
        <v>2020</v>
      </c>
      <c r="AA68" s="573" t="s">
        <v>490</v>
      </c>
      <c r="AB68" s="573">
        <v>2020</v>
      </c>
      <c r="AC68" s="573">
        <v>2034</v>
      </c>
      <c r="AE68" s="1242">
        <f>$AG$9*(1/('EU 9000 TEU Dual fuel'!E25/1000))</f>
        <v>17135.765376666586</v>
      </c>
      <c r="AF68" s="490">
        <v>20</v>
      </c>
      <c r="AG68" s="549">
        <f>'EU 9000 TEU Dual fuel'!$E$68*365*6.5/1000</f>
        <v>27283.75</v>
      </c>
      <c r="AH68" s="1244">
        <f>'EU 9000 TEU Dual fuel'!$E$31/1000</f>
        <v>537993.819610929</v>
      </c>
      <c r="AJ68" s="570">
        <v>5</v>
      </c>
    </row>
    <row r="69" spans="1:36">
      <c r="C69" s="570" t="str">
        <f>U49</f>
        <v>TFSNDSBL1N</v>
      </c>
      <c r="D69" s="570" t="str">
        <f>V49</f>
        <v>Transport Freight Ship National - Diesel Engine - Blending 1 - New</v>
      </c>
      <c r="E69" s="566" t="s">
        <v>86</v>
      </c>
      <c r="F69" s="568" t="s">
        <v>82</v>
      </c>
      <c r="U69" s="573"/>
      <c r="V69" s="55"/>
      <c r="W69" s="571" t="s">
        <v>223</v>
      </c>
      <c r="X69" s="553" t="s">
        <v>701</v>
      </c>
      <c r="Z69" s="56"/>
      <c r="AA69" s="573"/>
      <c r="AB69" s="573"/>
      <c r="AC69" s="573"/>
      <c r="AE69" s="1242">
        <f>AE68</f>
        <v>17135.765376666586</v>
      </c>
      <c r="AF69" s="490"/>
      <c r="AG69" s="549"/>
      <c r="AH69" s="1244"/>
      <c r="AJ69" s="570">
        <v>5</v>
      </c>
    </row>
    <row r="70" spans="1:36">
      <c r="C70" s="575" t="str">
        <f>U57</f>
        <v>TFSIHFOX1N</v>
      </c>
      <c r="D70" s="575" t="str">
        <f>V57</f>
        <v>Transport Freight Ship Internnational - Fuel Oil - Blending 1 - New</v>
      </c>
      <c r="E70" s="566" t="s">
        <v>86</v>
      </c>
      <c r="F70" s="568" t="s">
        <v>82</v>
      </c>
      <c r="S70" s="570" t="s">
        <v>1565</v>
      </c>
      <c r="U70" s="573"/>
      <c r="V70" s="55"/>
      <c r="W70" s="574" t="s">
        <v>548</v>
      </c>
      <c r="X70" s="553"/>
      <c r="Z70" s="492"/>
      <c r="AC70" s="573"/>
      <c r="AE70" s="1242">
        <f>AE69*[15]TRA_Cars!$L$29/[15]TRA_Cars!$L$5</f>
        <v>14122.474856550429</v>
      </c>
      <c r="AG70" s="1232"/>
      <c r="AJ70" s="570">
        <v>5</v>
      </c>
    </row>
    <row r="71" spans="1:36">
      <c r="C71" s="575" t="str">
        <f>U65</f>
        <v>TFSIDUALX2N</v>
      </c>
      <c r="D71" s="575" t="str">
        <f>V65</f>
        <v>Transport Freight Ship Internnational - Dual fueled - Blending 2 - New</v>
      </c>
      <c r="E71" s="566" t="s">
        <v>86</v>
      </c>
      <c r="F71" s="568" t="s">
        <v>82</v>
      </c>
      <c r="U71" s="573" t="s">
        <v>992</v>
      </c>
      <c r="V71" s="55" t="s">
        <v>995</v>
      </c>
      <c r="W71" s="571" t="s">
        <v>486</v>
      </c>
      <c r="X71" s="553" t="s">
        <v>701</v>
      </c>
      <c r="Z71" s="489">
        <v>2035</v>
      </c>
      <c r="AA71" s="573" t="s">
        <v>490</v>
      </c>
      <c r="AB71" s="573">
        <v>2035</v>
      </c>
      <c r="AC71" s="49"/>
      <c r="AE71" s="1242">
        <f>$AG$9*(1/('EU 9000 TEU Dual fuel'!F25/1000))</f>
        <v>20868.065994733643</v>
      </c>
      <c r="AF71" s="490">
        <v>20</v>
      </c>
      <c r="AG71" s="549">
        <f>'EU 9000 TEU Dual fuel'!$F$68*365*6.5/1000</f>
        <v>27283.75</v>
      </c>
      <c r="AH71" s="1244">
        <f>'EU 9000 TEU Dual fuel'!$F$31/1000</f>
        <v>537993.819610929</v>
      </c>
      <c r="AJ71" s="570">
        <v>5</v>
      </c>
    </row>
    <row r="72" spans="1:36">
      <c r="C72" s="575" t="str">
        <f>U68</f>
        <v>TFSIDUALX3N</v>
      </c>
      <c r="D72" s="575" t="str">
        <f>V68</f>
        <v>Transport Freight Ship Internnational - Dual fueled - Blending 3 - New</v>
      </c>
      <c r="E72" s="566" t="s">
        <v>86</v>
      </c>
      <c r="F72" s="568" t="s">
        <v>82</v>
      </c>
      <c r="S72" s="570" t="s">
        <v>1566</v>
      </c>
      <c r="U72" s="573"/>
      <c r="V72" s="55"/>
      <c r="W72" s="571" t="s">
        <v>223</v>
      </c>
      <c r="X72" s="553" t="s">
        <v>701</v>
      </c>
      <c r="Z72" s="489"/>
      <c r="AA72" s="573"/>
      <c r="AB72" s="49"/>
      <c r="AC72" s="49"/>
      <c r="AE72" s="1242">
        <f>AE71</f>
        <v>20868.065994733643</v>
      </c>
      <c r="AF72" s="490"/>
      <c r="AG72" s="1243"/>
      <c r="AH72" s="1244"/>
      <c r="AJ72" s="570">
        <v>5</v>
      </c>
    </row>
    <row r="73" spans="1:36">
      <c r="C73" s="575" t="str">
        <f>U71</f>
        <v>TFSIDUALX4N</v>
      </c>
      <c r="D73" s="575" t="str">
        <f>V71</f>
        <v>Transport Freight Ship Internnational - Dual fueled - Blending 4 - New</v>
      </c>
      <c r="E73" s="566" t="s">
        <v>86</v>
      </c>
      <c r="F73" s="568" t="s">
        <v>82</v>
      </c>
      <c r="S73" s="570" t="s">
        <v>1567</v>
      </c>
      <c r="U73" s="573"/>
      <c r="V73" s="55"/>
      <c r="W73" s="574" t="s">
        <v>548</v>
      </c>
      <c r="X73" s="553"/>
      <c r="AB73" s="49"/>
      <c r="AC73" s="49"/>
      <c r="AE73" s="1242">
        <f>AE72*[15]TRA_Cars!$L$29/[15]TRA_Cars!$L$5</f>
        <v>17198.45777748332</v>
      </c>
      <c r="AG73" s="525"/>
      <c r="AJ73" s="570">
        <v>5</v>
      </c>
    </row>
    <row r="74" spans="1:36">
      <c r="U74" s="1234" t="str">
        <f>LEFT(X74,4)&amp;RIGHT(W74,5)&amp;"N"</f>
        <v>TPSNDSBL2N</v>
      </c>
      <c r="V74" s="1235" t="s">
        <v>509</v>
      </c>
      <c r="W74" s="1234" t="s">
        <v>223</v>
      </c>
      <c r="X74" s="1233" t="s">
        <v>702</v>
      </c>
      <c r="Y74" s="1074"/>
      <c r="Z74" s="1236" t="s">
        <v>485</v>
      </c>
      <c r="AA74" s="1074" t="s">
        <v>490</v>
      </c>
      <c r="AB74" s="1237">
        <v>2012</v>
      </c>
      <c r="AC74" s="1237">
        <v>2019</v>
      </c>
      <c r="AD74" s="1074"/>
      <c r="AE74" s="1238">
        <v>43.598790157906379</v>
      </c>
      <c r="AF74" s="1239">
        <v>28</v>
      </c>
      <c r="AG74" s="1240">
        <f>AG49</f>
        <v>5620.4524999999994</v>
      </c>
      <c r="AH74" s="1245">
        <f>2000000*6.6*$W$7</f>
        <v>13200</v>
      </c>
      <c r="AI74" s="1074">
        <v>5</v>
      </c>
      <c r="AJ74" s="1074">
        <v>5</v>
      </c>
    </row>
    <row r="75" spans="1:36">
      <c r="S75" s="570" t="s">
        <v>1568</v>
      </c>
      <c r="U75" s="573"/>
      <c r="V75" s="55"/>
      <c r="W75" s="558" t="s">
        <v>486</v>
      </c>
      <c r="Y75" s="491" t="s">
        <v>700</v>
      </c>
      <c r="Z75" s="489"/>
      <c r="AA75" s="573"/>
      <c r="AB75" s="49"/>
      <c r="AC75" s="49"/>
      <c r="AD75" s="506">
        <v>1.433030099319079</v>
      </c>
      <c r="AE75" s="524"/>
      <c r="AF75" s="490"/>
      <c r="AG75" s="549"/>
      <c r="AH75" s="1244"/>
      <c r="AI75" s="570">
        <v>5</v>
      </c>
      <c r="AJ75" s="570">
        <v>5</v>
      </c>
    </row>
    <row r="76" spans="1:36">
      <c r="U76" s="571" t="str">
        <f>LEFT(X76,4)&amp;RIGHT(W76,5)&amp;"N"</f>
        <v>TPSNDSBL3N</v>
      </c>
      <c r="V76" s="567" t="s">
        <v>510</v>
      </c>
      <c r="W76" s="574" t="s">
        <v>224</v>
      </c>
      <c r="X76" s="553" t="s">
        <v>702</v>
      </c>
      <c r="Z76" s="56">
        <v>2020</v>
      </c>
      <c r="AA76" s="570" t="s">
        <v>490</v>
      </c>
      <c r="AB76" s="573">
        <v>2020</v>
      </c>
      <c r="AC76" s="573">
        <v>2034</v>
      </c>
      <c r="AD76" s="524"/>
      <c r="AE76" s="521">
        <f>AE61/$AE$59*$AE$74</f>
        <v>52.764919696961634</v>
      </c>
      <c r="AF76" s="490">
        <v>28</v>
      </c>
      <c r="AG76" s="549">
        <f>AG51</f>
        <v>5620.4524999999994</v>
      </c>
      <c r="AH76" s="1244">
        <f>2000000*6.6*$W$7</f>
        <v>13200</v>
      </c>
      <c r="AI76" s="570">
        <v>5</v>
      </c>
      <c r="AJ76" s="570">
        <v>5</v>
      </c>
    </row>
    <row r="77" spans="1:36">
      <c r="S77" s="570" t="s">
        <v>1569</v>
      </c>
      <c r="U77" s="573"/>
      <c r="V77" s="567"/>
      <c r="W77" s="558" t="s">
        <v>486</v>
      </c>
      <c r="Y77" s="491" t="s">
        <v>700</v>
      </c>
      <c r="Z77" s="56"/>
      <c r="AB77" s="573"/>
      <c r="AC77" s="573"/>
      <c r="AD77" s="557">
        <f>AE61/$AE$59*$AD$75</f>
        <v>1.7343077145040473</v>
      </c>
      <c r="AE77" s="524"/>
      <c r="AF77" s="490"/>
      <c r="AG77" s="549"/>
      <c r="AH77" s="1244"/>
      <c r="AI77" s="570">
        <v>5</v>
      </c>
      <c r="AJ77" s="570">
        <v>5</v>
      </c>
    </row>
    <row r="78" spans="1:36">
      <c r="U78" s="571" t="str">
        <f>LEFT(X78,4)&amp;RIGHT(W78,5)&amp;"N"</f>
        <v>TPSNDSBL4N</v>
      </c>
      <c r="V78" s="55" t="s">
        <v>511</v>
      </c>
      <c r="W78" s="491" t="s">
        <v>225</v>
      </c>
      <c r="X78" s="553" t="s">
        <v>702</v>
      </c>
      <c r="Z78" s="492">
        <v>2035</v>
      </c>
      <c r="AA78" s="573" t="s">
        <v>490</v>
      </c>
      <c r="AB78" s="573">
        <v>2035</v>
      </c>
      <c r="AC78" s="573"/>
      <c r="AD78" s="1246"/>
      <c r="AE78" s="549">
        <f>AE63/$AE$59*$AE$74</f>
        <v>64.097790112843711</v>
      </c>
      <c r="AF78" s="490">
        <v>28</v>
      </c>
      <c r="AG78" s="549">
        <f>AG53</f>
        <v>5620.4524999999994</v>
      </c>
      <c r="AH78" s="1244">
        <f>2000000*6.6*$W$7</f>
        <v>13200</v>
      </c>
      <c r="AI78" s="570">
        <v>5</v>
      </c>
      <c r="AJ78" s="570">
        <v>5</v>
      </c>
    </row>
    <row r="79" spans="1:36">
      <c r="S79" s="570" t="s">
        <v>1570</v>
      </c>
      <c r="U79" s="573"/>
      <c r="V79" s="55"/>
      <c r="W79" s="558" t="s">
        <v>486</v>
      </c>
      <c r="Y79" s="491" t="s">
        <v>700</v>
      </c>
      <c r="Z79" s="492"/>
      <c r="AA79" s="573"/>
      <c r="AB79" s="573"/>
      <c r="AC79" s="573"/>
      <c r="AD79" s="557">
        <f>AE63/$AE$59*$AD$75</f>
        <v>2.106803014461279</v>
      </c>
      <c r="AE79" s="524"/>
      <c r="AF79" s="490"/>
      <c r="AG79" s="1243"/>
      <c r="AH79" s="1244"/>
      <c r="AI79" s="570">
        <v>5</v>
      </c>
      <c r="AJ79" s="570">
        <v>5</v>
      </c>
    </row>
    <row r="80" spans="1:36">
      <c r="U80" s="558" t="str">
        <f>LEFT(X80,4)&amp;RIGHT(W80,3)&amp;"X2N"</f>
        <v>TPSIHFOX2N</v>
      </c>
      <c r="V80" s="55" t="s">
        <v>639</v>
      </c>
      <c r="W80" s="558" t="s">
        <v>486</v>
      </c>
      <c r="X80" s="553" t="s">
        <v>703</v>
      </c>
      <c r="Z80" s="489" t="s">
        <v>485</v>
      </c>
      <c r="AA80" s="573" t="s">
        <v>490</v>
      </c>
      <c r="AB80" s="49">
        <v>2012</v>
      </c>
      <c r="AC80" s="49">
        <v>2019</v>
      </c>
      <c r="AD80" s="557"/>
      <c r="AE80" s="1232">
        <v>401.44550513977305</v>
      </c>
      <c r="AF80" s="490">
        <v>28</v>
      </c>
      <c r="AG80" s="1232">
        <f>'EU 9000 TEU HFO'!$D$68*365*6.5/1000</f>
        <v>27283.75</v>
      </c>
      <c r="AH80" s="1244">
        <f>2000000*6.6*$W$7</f>
        <v>13200</v>
      </c>
      <c r="AI80" s="570">
        <v>5</v>
      </c>
      <c r="AJ80" s="570">
        <v>5</v>
      </c>
    </row>
    <row r="81" spans="19:36">
      <c r="S81" s="570" t="s">
        <v>1571</v>
      </c>
      <c r="U81" s="558"/>
      <c r="V81" s="55"/>
      <c r="W81" s="558" t="s">
        <v>223</v>
      </c>
      <c r="Y81" s="553" t="s">
        <v>701</v>
      </c>
      <c r="Z81" s="489"/>
      <c r="AA81" s="573"/>
      <c r="AB81" s="49"/>
      <c r="AC81" s="49"/>
      <c r="AD81" s="506">
        <v>0.61107357157177566</v>
      </c>
      <c r="AE81" s="524"/>
      <c r="AF81" s="490"/>
      <c r="AG81" s="525"/>
      <c r="AH81" s="1244"/>
      <c r="AI81" s="570">
        <v>5</v>
      </c>
      <c r="AJ81" s="570">
        <v>5</v>
      </c>
    </row>
    <row r="82" spans="19:36">
      <c r="U82" s="558" t="str">
        <f>LEFT(X82,4)&amp;RIGHT(W82,3)&amp;"X3N"</f>
        <v>TPSIHFOX3N</v>
      </c>
      <c r="V82" s="55" t="s">
        <v>640</v>
      </c>
      <c r="W82" s="558" t="s">
        <v>486</v>
      </c>
      <c r="X82" s="553" t="s">
        <v>703</v>
      </c>
      <c r="Z82" s="56">
        <v>2020</v>
      </c>
      <c r="AA82" s="573" t="s">
        <v>490</v>
      </c>
      <c r="AB82" s="49">
        <v>2020</v>
      </c>
      <c r="AC82" s="49">
        <v>2034</v>
      </c>
      <c r="AD82" s="1246"/>
      <c r="AE82" s="549">
        <f>AE61/$AE$59*$AE$80</f>
        <v>485.84467056742517</v>
      </c>
      <c r="AF82" s="490">
        <v>28</v>
      </c>
      <c r="AG82" s="1232">
        <f>'EU 9000 TEU HFO'!$D$68*365*6.5/1000</f>
        <v>27283.75</v>
      </c>
      <c r="AH82" s="1244">
        <f>2000000*6.6*$W$7</f>
        <v>13200</v>
      </c>
      <c r="AI82" s="570">
        <v>5</v>
      </c>
      <c r="AJ82" s="570">
        <v>5</v>
      </c>
    </row>
    <row r="83" spans="19:36">
      <c r="S83" s="570" t="s">
        <v>1572</v>
      </c>
      <c r="U83" s="558"/>
      <c r="V83" s="55"/>
      <c r="W83" s="571" t="s">
        <v>224</v>
      </c>
      <c r="Y83" s="553" t="s">
        <v>701</v>
      </c>
      <c r="AA83" s="573"/>
      <c r="AB83" s="49"/>
      <c r="AC83" s="49"/>
      <c r="AD83" s="557">
        <f>AE61/$AE$59*$AD$81</f>
        <v>0.73954455653795614</v>
      </c>
      <c r="AE83" s="524"/>
      <c r="AF83" s="490"/>
      <c r="AG83" s="1232"/>
      <c r="AH83" s="1244"/>
      <c r="AI83" s="570">
        <v>5</v>
      </c>
      <c r="AJ83" s="570">
        <v>5</v>
      </c>
    </row>
    <row r="84" spans="19:36">
      <c r="U84" s="558" t="str">
        <f>LEFT(X84,4)&amp;RIGHT(W84,3)&amp;"X4N"</f>
        <v>TPSIHFOX4N</v>
      </c>
      <c r="V84" s="55" t="s">
        <v>641</v>
      </c>
      <c r="W84" s="558" t="s">
        <v>486</v>
      </c>
      <c r="X84" s="553" t="s">
        <v>703</v>
      </c>
      <c r="Z84" s="56">
        <v>2035</v>
      </c>
      <c r="AA84" s="573" t="s">
        <v>490</v>
      </c>
      <c r="AB84" s="49">
        <v>2035</v>
      </c>
      <c r="AC84" s="49"/>
      <c r="AD84" s="1246"/>
      <c r="AE84" s="549">
        <f>AE63/$AE$59*$AE$80</f>
        <v>590.19458193675109</v>
      </c>
      <c r="AF84" s="490">
        <v>28</v>
      </c>
      <c r="AG84" s="1232">
        <f>'EU 9000 TEU HFO'!$E$68*365*6.5/1000</f>
        <v>27283.75</v>
      </c>
      <c r="AH84" s="1244">
        <f>2000000*6.6*$W$7</f>
        <v>13200</v>
      </c>
      <c r="AI84" s="570">
        <v>5</v>
      </c>
      <c r="AJ84" s="570">
        <v>5</v>
      </c>
    </row>
    <row r="85" spans="19:36">
      <c r="U85" s="558"/>
      <c r="V85" s="55"/>
      <c r="W85" s="571" t="s">
        <v>225</v>
      </c>
      <c r="Y85" s="553" t="s">
        <v>701</v>
      </c>
      <c r="AA85" s="573"/>
      <c r="AB85" s="49"/>
      <c r="AC85" s="49"/>
      <c r="AD85" s="557">
        <f>AE63/$AE$59*$AD$81</f>
        <v>0.89838423021035352</v>
      </c>
      <c r="AE85" s="48"/>
      <c r="AF85" s="490"/>
      <c r="AG85" s="571"/>
      <c r="AI85" s="570">
        <v>5</v>
      </c>
      <c r="AJ85" s="570">
        <v>5</v>
      </c>
    </row>
    <row r="88" spans="19:36" ht="13.8">
      <c r="U88" s="43" t="s">
        <v>986</v>
      </c>
    </row>
    <row r="92" spans="19:36">
      <c r="U92" s="554">
        <v>200</v>
      </c>
      <c r="V92" s="570">
        <f>AC51*U92</f>
        <v>403800</v>
      </c>
    </row>
    <row r="93" spans="19:36">
      <c r="U93" s="49"/>
    </row>
    <row r="94" spans="19:36">
      <c r="U94" s="554">
        <v>200</v>
      </c>
    </row>
    <row r="95" spans="19:36">
      <c r="U95" s="49"/>
    </row>
    <row r="96" spans="19:36">
      <c r="U96" s="554">
        <v>133.17766614613396</v>
      </c>
    </row>
  </sheetData>
  <pageMargins left="0.7" right="0.7" top="0.75" bottom="0.75" header="0.3" footer="0.3"/>
  <pageSetup paperSize="9" orientation="portrait"/>
  <drawing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9">
    <tabColor rgb="FF002060"/>
    <pageSetUpPr fitToPage="1"/>
  </sheetPr>
  <dimension ref="B1:S100"/>
  <sheetViews>
    <sheetView zoomScale="80" zoomScaleNormal="80" workbookViewId="0">
      <selection activeCell="G30" sqref="G30"/>
    </sheetView>
  </sheetViews>
  <sheetFormatPr defaultColWidth="8.88671875" defaultRowHeight="13.8"/>
  <cols>
    <col min="1" max="1" width="2.88671875" style="65" customWidth="1"/>
    <col min="2" max="2" width="35" style="65" customWidth="1"/>
    <col min="3" max="3" width="18" style="65" customWidth="1"/>
    <col min="4" max="4" width="13.44140625" style="65" customWidth="1"/>
    <col min="5" max="8" width="15.88671875" style="65" customWidth="1"/>
    <col min="9" max="9" width="9.664062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347</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346</v>
      </c>
      <c r="C6" s="77"/>
      <c r="D6" s="77"/>
      <c r="E6" s="77"/>
      <c r="F6" s="77"/>
      <c r="G6" s="77"/>
      <c r="H6" s="77"/>
      <c r="I6" s="77"/>
      <c r="J6" s="77"/>
      <c r="K6" s="77"/>
      <c r="L6" s="77"/>
      <c r="M6" s="77"/>
      <c r="N6" s="74"/>
    </row>
    <row r="7" spans="2:19">
      <c r="B7" s="133" t="s">
        <v>345</v>
      </c>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c r="H21" s="106" t="s">
        <v>99</v>
      </c>
      <c r="I21" s="152"/>
      <c r="J21" s="104"/>
    </row>
    <row r="22" spans="2:14">
      <c r="B22" s="128" t="s">
        <v>100</v>
      </c>
      <c r="C22" s="118"/>
      <c r="D22" s="180"/>
      <c r="E22" s="151"/>
      <c r="F22" s="151"/>
      <c r="G22" s="151"/>
      <c r="H22" s="151"/>
      <c r="I22" s="77"/>
      <c r="J22" s="74"/>
    </row>
    <row r="23" spans="2:14">
      <c r="B23" s="145" t="s">
        <v>101</v>
      </c>
      <c r="C23" s="118" t="s">
        <v>197</v>
      </c>
      <c r="D23" s="179">
        <f>D76</f>
        <v>0.32200000000000001</v>
      </c>
      <c r="E23" s="259">
        <f>E76</f>
        <v>0.317</v>
      </c>
      <c r="F23" s="259">
        <f>F76</f>
        <v>0.309</v>
      </c>
      <c r="G23" s="259">
        <f>G76</f>
        <v>0.309</v>
      </c>
      <c r="H23" s="147"/>
      <c r="I23" s="187"/>
      <c r="J23" s="141"/>
    </row>
    <row r="24" spans="2:14">
      <c r="B24" s="145" t="s">
        <v>102</v>
      </c>
      <c r="C24" s="118" t="s">
        <v>197</v>
      </c>
      <c r="D24" s="144">
        <f>D23</f>
        <v>0.32200000000000001</v>
      </c>
      <c r="E24" s="143">
        <f>E23</f>
        <v>0.317</v>
      </c>
      <c r="F24" s="143">
        <f>F23</f>
        <v>0.309</v>
      </c>
      <c r="G24" s="143">
        <f>G23</f>
        <v>0.309</v>
      </c>
      <c r="H24" s="147"/>
      <c r="I24" s="187"/>
      <c r="J24" s="141"/>
    </row>
    <row r="25" spans="2:14">
      <c r="B25" s="145" t="s">
        <v>344</v>
      </c>
      <c r="C25" s="118" t="s">
        <v>104</v>
      </c>
      <c r="D25" s="144">
        <f>D79</f>
        <v>6549.6760259179264</v>
      </c>
      <c r="E25" s="143">
        <f>E79</f>
        <v>5411.8901781008326</v>
      </c>
      <c r="F25" s="143">
        <f>F79</f>
        <v>4455.0358156426773</v>
      </c>
      <c r="G25" s="143">
        <f>G79</f>
        <v>4455.0358156426773</v>
      </c>
      <c r="H25" s="142"/>
      <c r="I25" s="187"/>
      <c r="J25" s="141"/>
    </row>
    <row r="26" spans="2:14">
      <c r="B26" s="145" t="s">
        <v>343</v>
      </c>
      <c r="C26" s="118" t="s">
        <v>104</v>
      </c>
      <c r="D26" s="144"/>
      <c r="E26" s="143"/>
      <c r="F26" s="143"/>
      <c r="G26" s="143"/>
      <c r="H26" s="142"/>
      <c r="I26" s="187"/>
      <c r="J26" s="141"/>
    </row>
    <row r="27" spans="2:14">
      <c r="B27" s="133" t="s">
        <v>106</v>
      </c>
      <c r="C27" s="118" t="s">
        <v>107</v>
      </c>
      <c r="D27" s="140">
        <v>20</v>
      </c>
      <c r="E27" s="125">
        <v>20</v>
      </c>
      <c r="F27" s="125">
        <v>20</v>
      </c>
      <c r="G27" s="365">
        <v>20</v>
      </c>
      <c r="H27" s="125"/>
      <c r="I27" s="349"/>
      <c r="J27" s="74"/>
    </row>
    <row r="28" spans="2:14">
      <c r="B28" s="133" t="s">
        <v>108</v>
      </c>
      <c r="C28" s="118" t="s">
        <v>109</v>
      </c>
      <c r="D28" s="177"/>
      <c r="E28" s="139"/>
      <c r="F28" s="139"/>
      <c r="G28" s="139"/>
      <c r="H28" s="138"/>
      <c r="I28" s="187"/>
      <c r="J28" s="74"/>
    </row>
    <row r="29" spans="2:14">
      <c r="B29" s="78"/>
      <c r="C29" s="137"/>
      <c r="D29" s="134"/>
      <c r="E29" s="98"/>
      <c r="F29" s="98"/>
      <c r="G29" s="98"/>
      <c r="H29" s="98"/>
      <c r="I29" s="77"/>
      <c r="J29" s="74"/>
    </row>
    <row r="30" spans="2:14">
      <c r="B30" s="128" t="s">
        <v>110</v>
      </c>
      <c r="C30" s="118"/>
      <c r="D30" s="134"/>
      <c r="E30" s="98"/>
      <c r="F30" s="98"/>
      <c r="G30" s="98"/>
      <c r="H30" s="98"/>
      <c r="I30" s="77"/>
      <c r="J30" s="74"/>
    </row>
    <row r="31" spans="2:14">
      <c r="B31" s="133" t="s">
        <v>111</v>
      </c>
      <c r="C31" s="118" t="s">
        <v>15</v>
      </c>
      <c r="D31" s="136">
        <v>467820712.70515579</v>
      </c>
      <c r="E31" s="136">
        <v>467820712.70515579</v>
      </c>
      <c r="F31" s="136">
        <v>467820712.70515579</v>
      </c>
      <c r="G31" s="136">
        <v>467820712.70515579</v>
      </c>
      <c r="H31" s="135">
        <v>2011</v>
      </c>
      <c r="I31" s="79"/>
      <c r="J31" s="74"/>
    </row>
    <row r="32" spans="2:14">
      <c r="B32" s="78" t="s">
        <v>16</v>
      </c>
      <c r="C32" s="118" t="s">
        <v>17</v>
      </c>
      <c r="D32" s="136">
        <v>154.74299059856017</v>
      </c>
      <c r="E32" s="136">
        <v>209.25274361358299</v>
      </c>
      <c r="F32" s="136">
        <v>289.75251180917053</v>
      </c>
      <c r="G32" s="136">
        <v>289.75251180917053</v>
      </c>
      <c r="H32" s="135">
        <v>2011</v>
      </c>
      <c r="I32" s="79"/>
      <c r="J32" s="74"/>
    </row>
    <row r="33" spans="2:13">
      <c r="B33" s="129" t="s">
        <v>18</v>
      </c>
      <c r="C33" s="118" t="s">
        <v>17</v>
      </c>
      <c r="D33" s="136">
        <v>102.20393855299609</v>
      </c>
      <c r="E33" s="136">
        <v>138.20628945843492</v>
      </c>
      <c r="F33" s="136">
        <v>191.37440602622237</v>
      </c>
      <c r="G33" s="136">
        <v>191.37440602622237</v>
      </c>
      <c r="H33" s="135">
        <v>2011</v>
      </c>
      <c r="I33" s="79"/>
      <c r="J33" s="74"/>
    </row>
    <row r="34" spans="2:13">
      <c r="B34" s="129" t="s">
        <v>19</v>
      </c>
      <c r="C34" s="118" t="s">
        <v>17</v>
      </c>
      <c r="D34" s="136">
        <v>50.794237097897891</v>
      </c>
      <c r="E34" s="136">
        <v>68.687010838944417</v>
      </c>
      <c r="F34" s="136">
        <v>95.110981942489232</v>
      </c>
      <c r="G34" s="136">
        <v>95.110981942489232</v>
      </c>
      <c r="H34" s="135">
        <v>2011</v>
      </c>
      <c r="I34" s="79"/>
      <c r="J34" s="74"/>
    </row>
    <row r="35" spans="2:13">
      <c r="B35" s="129"/>
      <c r="C35" s="118"/>
      <c r="D35" s="136"/>
      <c r="E35" s="136"/>
      <c r="F35" s="136"/>
      <c r="G35" s="136"/>
      <c r="H35" s="135"/>
      <c r="I35" s="79"/>
      <c r="J35" s="74"/>
    </row>
    <row r="36" spans="2:13">
      <c r="B36" s="129" t="s">
        <v>112</v>
      </c>
      <c r="C36" s="118" t="s">
        <v>17</v>
      </c>
      <c r="D36" s="136">
        <v>0</v>
      </c>
      <c r="E36" s="136">
        <v>0</v>
      </c>
      <c r="F36" s="136">
        <v>0</v>
      </c>
      <c r="G36" s="136">
        <v>0</v>
      </c>
      <c r="H36" s="135">
        <v>2011</v>
      </c>
      <c r="I36" s="79"/>
      <c r="J36" s="74"/>
    </row>
    <row r="37" spans="2:13">
      <c r="B37" s="128"/>
      <c r="C37" s="118"/>
      <c r="D37" s="134"/>
      <c r="E37" s="98"/>
      <c r="F37" s="98"/>
      <c r="G37" s="98"/>
      <c r="H37" s="98"/>
      <c r="I37" s="79"/>
      <c r="J37" s="74"/>
    </row>
    <row r="38" spans="2:13">
      <c r="B38" s="133" t="s">
        <v>111</v>
      </c>
      <c r="C38" s="151" t="s">
        <v>15</v>
      </c>
      <c r="D38" s="176">
        <v>450500000</v>
      </c>
      <c r="E38" s="132">
        <v>450500000</v>
      </c>
      <c r="F38" s="132">
        <v>450500000</v>
      </c>
      <c r="G38" s="132">
        <v>450500000</v>
      </c>
      <c r="H38" s="130">
        <v>2013</v>
      </c>
      <c r="I38" s="187"/>
      <c r="J38" s="74"/>
    </row>
    <row r="39" spans="2:13">
      <c r="B39" s="78" t="s">
        <v>16</v>
      </c>
      <c r="C39" s="118" t="s">
        <v>17</v>
      </c>
      <c r="D39" s="368">
        <f>SUM(D40:D43)</f>
        <v>146.13814208528737</v>
      </c>
      <c r="E39" s="366">
        <f>SUM(E40:E43)</f>
        <v>197.61675187775865</v>
      </c>
      <c r="F39" s="366">
        <f>SUM(F40:F43)</f>
        <v>273.64014083318011</v>
      </c>
      <c r="G39" s="366">
        <f>SUM(G40:G43)</f>
        <v>273.64014083318011</v>
      </c>
      <c r="H39" s="130">
        <v>2012</v>
      </c>
      <c r="I39" s="187"/>
      <c r="J39" s="74"/>
    </row>
    <row r="40" spans="2:13">
      <c r="B40" s="129" t="s">
        <v>18</v>
      </c>
      <c r="C40" s="118" t="s">
        <v>17</v>
      </c>
      <c r="D40" s="367">
        <f>61.5496214112169*3372.355/D67</f>
        <v>98.419914013391022</v>
      </c>
      <c r="E40" s="126">
        <f>81.9386708052387*2786.52201738651/E67</f>
        <v>133.08930474881635</v>
      </c>
      <c r="F40" s="126">
        <f>110.597212305349*2293.84835611912/F67</f>
        <v>184.28891148551966</v>
      </c>
      <c r="G40" s="126">
        <f>110.597212305349*2293.84835611912/G67</f>
        <v>184.28891148551966</v>
      </c>
      <c r="H40" s="130">
        <v>2013</v>
      </c>
      <c r="I40" s="187"/>
      <c r="J40" s="74"/>
    </row>
    <row r="41" spans="2:13">
      <c r="B41" s="129" t="s">
        <v>19</v>
      </c>
      <c r="C41" s="118" t="s">
        <v>17</v>
      </c>
      <c r="D41" s="170">
        <f>29.8419166657645*3372.355/D67</f>
        <v>47.718228071896348</v>
      </c>
      <c r="E41" s="366">
        <f>39.72740903696*2786.52201738651/E67</f>
        <v>64.527447128942313</v>
      </c>
      <c r="F41" s="366">
        <f>53.6223085927967*2293.84835611912/F67</f>
        <v>89.351229347660436</v>
      </c>
      <c r="G41" s="366">
        <f>53.6223085927967*2293.84835611912/G67</f>
        <v>89.351229347660436</v>
      </c>
      <c r="H41" s="130">
        <v>2011</v>
      </c>
      <c r="I41" s="349"/>
      <c r="J41" s="74"/>
      <c r="K41" s="244"/>
    </row>
    <row r="42" spans="2:13">
      <c r="B42" s="129"/>
      <c r="C42" s="118"/>
      <c r="D42" s="134"/>
      <c r="E42" s="98"/>
      <c r="F42" s="98"/>
      <c r="G42" s="98"/>
      <c r="H42" s="130"/>
      <c r="I42" s="187"/>
      <c r="J42" s="74"/>
    </row>
    <row r="43" spans="2:13">
      <c r="B43" s="129" t="s">
        <v>112</v>
      </c>
      <c r="C43" s="118" t="s">
        <v>17</v>
      </c>
      <c r="D43" s="140"/>
      <c r="E43" s="125"/>
      <c r="F43" s="125"/>
      <c r="G43" s="365"/>
      <c r="H43" s="130">
        <v>2011</v>
      </c>
      <c r="I43" s="187"/>
      <c r="J43" s="74"/>
      <c r="M43" s="188"/>
    </row>
    <row r="44" spans="2:13">
      <c r="B44" s="129"/>
      <c r="C44" s="118"/>
      <c r="D44" s="134"/>
      <c r="E44" s="98"/>
      <c r="F44" s="98"/>
      <c r="G44" s="98"/>
      <c r="H44" s="98"/>
      <c r="I44" s="187"/>
      <c r="J44" s="74"/>
      <c r="M44" s="364"/>
    </row>
    <row r="45" spans="2:13">
      <c r="B45" s="128" t="s">
        <v>113</v>
      </c>
      <c r="C45" s="118"/>
      <c r="D45" s="134"/>
      <c r="E45" s="98"/>
      <c r="F45" s="98"/>
      <c r="G45" s="98"/>
      <c r="H45" s="127"/>
      <c r="I45" s="187"/>
      <c r="J45" s="74"/>
    </row>
    <row r="46" spans="2:13">
      <c r="B46" s="123" t="s">
        <v>30</v>
      </c>
      <c r="C46" s="118"/>
      <c r="D46" s="134"/>
      <c r="E46" s="98"/>
      <c r="F46" s="98"/>
      <c r="G46" s="98"/>
      <c r="H46" s="126"/>
      <c r="I46" s="187"/>
      <c r="J46" s="74"/>
    </row>
    <row r="47" spans="2:13">
      <c r="B47" s="78" t="s">
        <v>20</v>
      </c>
      <c r="C47" s="118" t="s">
        <v>342</v>
      </c>
      <c r="D47" s="363"/>
      <c r="E47" s="362"/>
      <c r="F47" s="362"/>
      <c r="G47" s="362"/>
      <c r="H47" s="126"/>
      <c r="I47" s="187"/>
      <c r="J47" s="119" t="s">
        <v>114</v>
      </c>
    </row>
    <row r="48" spans="2:13">
      <c r="B48" s="78" t="s">
        <v>21</v>
      </c>
      <c r="C48" s="118" t="s">
        <v>342</v>
      </c>
      <c r="D48" s="173">
        <f t="shared" ref="D48:G52" si="0">D82/D$79</f>
        <v>0</v>
      </c>
      <c r="E48" s="124">
        <f t="shared" si="0"/>
        <v>0</v>
      </c>
      <c r="F48" s="124">
        <f t="shared" si="0"/>
        <v>0</v>
      </c>
      <c r="G48" s="124">
        <f t="shared" si="0"/>
        <v>0</v>
      </c>
      <c r="H48" s="120"/>
      <c r="I48" s="187"/>
      <c r="J48" s="74"/>
    </row>
    <row r="49" spans="2:15">
      <c r="B49" s="78" t="s">
        <v>22</v>
      </c>
      <c r="C49" s="118" t="s">
        <v>342</v>
      </c>
      <c r="D49" s="173">
        <f t="shared" si="0"/>
        <v>0</v>
      </c>
      <c r="E49" s="124">
        <f t="shared" si="0"/>
        <v>0</v>
      </c>
      <c r="F49" s="124">
        <f t="shared" si="0"/>
        <v>0</v>
      </c>
      <c r="G49" s="124">
        <f t="shared" si="0"/>
        <v>0</v>
      </c>
      <c r="H49" s="98"/>
      <c r="I49" s="187"/>
      <c r="J49" s="74"/>
    </row>
    <row r="50" spans="2:15">
      <c r="B50" s="78" t="s">
        <v>23</v>
      </c>
      <c r="C50" s="118" t="s">
        <v>342</v>
      </c>
      <c r="D50" s="173">
        <f t="shared" si="0"/>
        <v>1.8082431888384853</v>
      </c>
      <c r="E50" s="124">
        <f t="shared" si="0"/>
        <v>1.8068932302752385</v>
      </c>
      <c r="F50" s="124">
        <f t="shared" si="0"/>
        <v>1.8041226085768023</v>
      </c>
      <c r="G50" s="124">
        <f t="shared" si="0"/>
        <v>1.8041226085768023</v>
      </c>
      <c r="H50" s="125"/>
      <c r="I50" s="187"/>
      <c r="J50" s="74"/>
    </row>
    <row r="51" spans="2:15">
      <c r="B51" s="78" t="s">
        <v>115</v>
      </c>
      <c r="C51" s="118" t="s">
        <v>342</v>
      </c>
      <c r="D51" s="173">
        <f t="shared" si="0"/>
        <v>0.46916621568366396</v>
      </c>
      <c r="E51" s="124">
        <f t="shared" si="0"/>
        <v>0.46533915375514695</v>
      </c>
      <c r="F51" s="124">
        <f t="shared" si="0"/>
        <v>0.45972829172410162</v>
      </c>
      <c r="G51" s="124">
        <f t="shared" si="0"/>
        <v>0.45972829172410162</v>
      </c>
      <c r="H51" s="98"/>
      <c r="I51" s="187"/>
      <c r="J51" s="74"/>
    </row>
    <row r="52" spans="2:15">
      <c r="B52" s="78" t="s">
        <v>24</v>
      </c>
      <c r="C52" s="118" t="s">
        <v>342</v>
      </c>
      <c r="D52" s="173">
        <f t="shared" si="0"/>
        <v>0.2532179543956421</v>
      </c>
      <c r="E52" s="124">
        <f t="shared" si="0"/>
        <v>0.25254790132777061</v>
      </c>
      <c r="F52" s="124">
        <f t="shared" si="0"/>
        <v>0.2514831147391523</v>
      </c>
      <c r="G52" s="124">
        <f t="shared" si="0"/>
        <v>0.2514831147391523</v>
      </c>
      <c r="H52" s="98"/>
      <c r="I52" s="187"/>
      <c r="J52" s="74"/>
    </row>
    <row r="53" spans="2:15">
      <c r="B53" s="78"/>
      <c r="C53" s="118"/>
      <c r="D53" s="172"/>
      <c r="E53" s="77"/>
      <c r="F53" s="77"/>
      <c r="G53" s="77"/>
      <c r="H53" s="98"/>
      <c r="I53" s="187"/>
      <c r="J53" s="74"/>
    </row>
    <row r="54" spans="2:15">
      <c r="B54" s="123" t="s">
        <v>31</v>
      </c>
      <c r="C54" s="118"/>
      <c r="D54" s="134"/>
      <c r="E54" s="98"/>
      <c r="F54" s="98"/>
      <c r="G54" s="98"/>
      <c r="H54" s="120"/>
      <c r="I54" s="187"/>
      <c r="J54" s="74"/>
    </row>
    <row r="55" spans="2:15">
      <c r="B55" s="78" t="s">
        <v>20</v>
      </c>
      <c r="C55" s="118" t="s">
        <v>342</v>
      </c>
      <c r="D55" s="363"/>
      <c r="E55" s="362"/>
      <c r="F55" s="362"/>
      <c r="G55" s="362"/>
      <c r="H55" s="197"/>
      <c r="I55" s="187"/>
      <c r="J55" s="119" t="s">
        <v>114</v>
      </c>
    </row>
    <row r="56" spans="2:15">
      <c r="B56" s="78" t="s">
        <v>21</v>
      </c>
      <c r="C56" s="118" t="s">
        <v>342</v>
      </c>
      <c r="D56" s="170">
        <f t="shared" ref="D56:G60" si="1">D48</f>
        <v>0</v>
      </c>
      <c r="E56" s="117">
        <f t="shared" si="1"/>
        <v>0</v>
      </c>
      <c r="F56" s="117">
        <f t="shared" si="1"/>
        <v>0</v>
      </c>
      <c r="G56" s="117">
        <f t="shared" si="1"/>
        <v>0</v>
      </c>
      <c r="H56" s="197"/>
      <c r="I56" s="187"/>
      <c r="J56" s="74"/>
    </row>
    <row r="57" spans="2:15">
      <c r="B57" s="78" t="s">
        <v>22</v>
      </c>
      <c r="C57" s="118" t="s">
        <v>342</v>
      </c>
      <c r="D57" s="170">
        <f t="shared" si="1"/>
        <v>0</v>
      </c>
      <c r="E57" s="117">
        <f t="shared" si="1"/>
        <v>0</v>
      </c>
      <c r="F57" s="117">
        <f t="shared" si="1"/>
        <v>0</v>
      </c>
      <c r="G57" s="117">
        <f t="shared" si="1"/>
        <v>0</v>
      </c>
      <c r="H57" s="197"/>
      <c r="I57" s="187"/>
      <c r="J57" s="74"/>
    </row>
    <row r="58" spans="2:15">
      <c r="B58" s="78" t="s">
        <v>23</v>
      </c>
      <c r="C58" s="118" t="s">
        <v>342</v>
      </c>
      <c r="D58" s="170">
        <f t="shared" si="1"/>
        <v>1.8082431888384853</v>
      </c>
      <c r="E58" s="117">
        <f t="shared" si="1"/>
        <v>1.8068932302752385</v>
      </c>
      <c r="F58" s="117">
        <f t="shared" si="1"/>
        <v>1.8041226085768023</v>
      </c>
      <c r="G58" s="117">
        <f t="shared" si="1"/>
        <v>1.8041226085768023</v>
      </c>
      <c r="H58" s="197"/>
      <c r="I58" s="187"/>
      <c r="J58" s="74"/>
    </row>
    <row r="59" spans="2:15">
      <c r="B59" s="78" t="s">
        <v>115</v>
      </c>
      <c r="C59" s="118" t="s">
        <v>342</v>
      </c>
      <c r="D59" s="170">
        <f t="shared" si="1"/>
        <v>0.46916621568366396</v>
      </c>
      <c r="E59" s="117">
        <f t="shared" si="1"/>
        <v>0.46533915375514695</v>
      </c>
      <c r="F59" s="117">
        <f t="shared" si="1"/>
        <v>0.45972829172410162</v>
      </c>
      <c r="G59" s="117">
        <f t="shared" si="1"/>
        <v>0.45972829172410162</v>
      </c>
      <c r="H59" s="197"/>
      <c r="I59" s="361"/>
      <c r="J59" s="74"/>
    </row>
    <row r="60" spans="2:15">
      <c r="B60" s="78" t="s">
        <v>24</v>
      </c>
      <c r="C60" s="118" t="s">
        <v>342</v>
      </c>
      <c r="D60" s="170">
        <f t="shared" si="1"/>
        <v>0.2532179543956421</v>
      </c>
      <c r="E60" s="117">
        <f t="shared" si="1"/>
        <v>0.25254790132777061</v>
      </c>
      <c r="F60" s="117">
        <f t="shared" si="1"/>
        <v>0.2514831147391523</v>
      </c>
      <c r="G60" s="117">
        <f t="shared" si="1"/>
        <v>0.2514831147391523</v>
      </c>
      <c r="H60" s="135"/>
      <c r="I60" s="187"/>
      <c r="J60" s="74"/>
    </row>
    <row r="61" spans="2:15" ht="14.4" thickBot="1">
      <c r="B61" s="115"/>
      <c r="C61" s="114"/>
      <c r="D61" s="169"/>
      <c r="E61" s="72"/>
      <c r="F61" s="72"/>
      <c r="G61" s="72"/>
      <c r="H61" s="72"/>
      <c r="I61" s="193"/>
      <c r="J61" s="90"/>
    </row>
    <row r="63" spans="2:15">
      <c r="N63" s="185">
        <f>1/D67</f>
        <v>4.741593400685124E-4</v>
      </c>
      <c r="O63" s="65" t="s">
        <v>512</v>
      </c>
    </row>
    <row r="64" spans="2:15" ht="16.2" thickBot="1">
      <c r="B64" s="89" t="s">
        <v>116</v>
      </c>
      <c r="N64" s="65">
        <f>N63/10^6</f>
        <v>4.7415934006851237E-10</v>
      </c>
      <c r="O64" s="65" t="s">
        <v>513</v>
      </c>
    </row>
    <row r="65" spans="2:16">
      <c r="B65" s="88"/>
      <c r="C65" s="110"/>
      <c r="D65" s="168"/>
      <c r="E65" s="85"/>
      <c r="F65" s="85"/>
      <c r="G65" s="85"/>
      <c r="H65" s="85"/>
      <c r="I65" s="85" t="s">
        <v>96</v>
      </c>
      <c r="J65" s="83" t="s">
        <v>97</v>
      </c>
      <c r="N65" s="185">
        <f>N64*10^9</f>
        <v>0.47415934006851235</v>
      </c>
      <c r="O65" s="65" t="s">
        <v>514</v>
      </c>
    </row>
    <row r="66" spans="2:16">
      <c r="B66" s="109"/>
      <c r="C66" s="108" t="s">
        <v>98</v>
      </c>
      <c r="D66" s="107">
        <v>2015</v>
      </c>
      <c r="E66" s="106">
        <v>2020</v>
      </c>
      <c r="F66" s="106">
        <v>2035</v>
      </c>
      <c r="G66" s="106"/>
      <c r="H66" s="106"/>
      <c r="I66" s="152"/>
      <c r="J66" s="104"/>
      <c r="O66" s="360">
        <v>30</v>
      </c>
      <c r="P66" s="65" t="s">
        <v>236</v>
      </c>
    </row>
    <row r="67" spans="2:16">
      <c r="B67" s="78" t="s">
        <v>341</v>
      </c>
      <c r="C67" s="95" t="s">
        <v>151</v>
      </c>
      <c r="D67" s="179">
        <f>D23*D79</f>
        <v>2108.9956803455725</v>
      </c>
      <c r="E67" s="359">
        <f>E23*E79</f>
        <v>1715.569186457964</v>
      </c>
      <c r="F67" s="359">
        <f>F23*F79</f>
        <v>1376.6060670335874</v>
      </c>
      <c r="G67" s="359">
        <f>G23*G79</f>
        <v>1376.6060670335874</v>
      </c>
      <c r="H67" s="359"/>
      <c r="I67" s="77"/>
      <c r="J67" s="74"/>
      <c r="O67" s="65">
        <f>D74*D75*24*365</f>
        <v>356917.44</v>
      </c>
      <c r="P67" s="65" t="s">
        <v>340</v>
      </c>
    </row>
    <row r="68" spans="2:16">
      <c r="B68" s="78" t="s">
        <v>337</v>
      </c>
      <c r="C68" s="95" t="s">
        <v>339</v>
      </c>
      <c r="D68" s="134">
        <v>11500</v>
      </c>
      <c r="E68" s="98">
        <v>11500</v>
      </c>
      <c r="F68" s="98">
        <v>11500</v>
      </c>
      <c r="G68" s="98">
        <v>11500</v>
      </c>
      <c r="H68" s="98">
        <v>2011</v>
      </c>
      <c r="I68" s="349"/>
      <c r="J68" s="74" t="s">
        <v>332</v>
      </c>
      <c r="O68" s="65">
        <f>D67*O67</f>
        <v>752737339.20000005</v>
      </c>
      <c r="P68" s="65" t="s">
        <v>338</v>
      </c>
    </row>
    <row r="69" spans="2:16">
      <c r="B69" s="78" t="s">
        <v>337</v>
      </c>
      <c r="C69" s="95" t="s">
        <v>336</v>
      </c>
      <c r="D69" s="356">
        <f>D68/(D74*24)/D72</f>
        <v>34.761967330398598</v>
      </c>
      <c r="E69" s="355">
        <f>E68/(E74*24)/E72</f>
        <v>38.238164063438454</v>
      </c>
      <c r="F69" s="355">
        <f>F68/(F74*24)/F72</f>
        <v>42.486848959376061</v>
      </c>
      <c r="G69" s="355">
        <f>G68/(G74*24)/G72</f>
        <v>42.486848959376061</v>
      </c>
      <c r="H69" s="178"/>
      <c r="I69" s="77"/>
      <c r="J69" s="74"/>
      <c r="O69" s="65">
        <v>500000000</v>
      </c>
      <c r="P69" s="65" t="s">
        <v>335</v>
      </c>
    </row>
    <row r="70" spans="2:16">
      <c r="B70" s="78" t="s">
        <v>334</v>
      </c>
      <c r="C70" s="95" t="s">
        <v>333</v>
      </c>
      <c r="D70" s="356">
        <v>85000000</v>
      </c>
      <c r="E70" s="355">
        <v>85000000</v>
      </c>
      <c r="F70" s="355">
        <v>85000000</v>
      </c>
      <c r="G70" s="355">
        <v>85000000</v>
      </c>
      <c r="H70" s="358">
        <v>2013</v>
      </c>
      <c r="I70" s="77"/>
      <c r="J70" s="74" t="s">
        <v>332</v>
      </c>
    </row>
    <row r="71" spans="2:16">
      <c r="B71" s="78" t="s">
        <v>331</v>
      </c>
      <c r="C71" s="95" t="s">
        <v>26</v>
      </c>
      <c r="D71" s="356">
        <v>0.08</v>
      </c>
      <c r="E71" s="355">
        <v>0.08</v>
      </c>
      <c r="F71" s="355">
        <v>0.08</v>
      </c>
      <c r="G71" s="355">
        <v>0.08</v>
      </c>
      <c r="H71" s="357"/>
      <c r="I71" s="77" t="s">
        <v>655</v>
      </c>
      <c r="J71" s="74"/>
    </row>
    <row r="72" spans="2:16">
      <c r="B72" s="78" t="s">
        <v>330</v>
      </c>
      <c r="C72" s="95" t="s">
        <v>329</v>
      </c>
      <c r="D72" s="356">
        <f>(24.1/37.9*4+24.1/40.9)/5</f>
        <v>0.62655553476850034</v>
      </c>
      <c r="E72" s="355">
        <f>(24.1/37.9*4+24.1/40.9)/5</f>
        <v>0.62655553476850034</v>
      </c>
      <c r="F72" s="355">
        <f>(24.1/37.9*4+24.1/40.9)/5</f>
        <v>0.62655553476850034</v>
      </c>
      <c r="G72" s="355">
        <f>(24.1/37.9*4+24.1/40.9)/5</f>
        <v>0.62655553476850034</v>
      </c>
      <c r="H72" s="178"/>
      <c r="I72" s="77" t="s">
        <v>655</v>
      </c>
      <c r="J72" s="74"/>
    </row>
    <row r="73" spans="2:16">
      <c r="B73" s="78" t="s">
        <v>328</v>
      </c>
      <c r="C73" s="95" t="s">
        <v>327</v>
      </c>
      <c r="D73" s="356">
        <f>((D70*D71)/(1-(1+D71)^-D27))/(365*24*D74*D72)</f>
        <v>71.697336087990521</v>
      </c>
      <c r="E73" s="355">
        <f>((E70*E71)/(1-(1+E71)^-E27))/(365*24*E74*E72)</f>
        <v>78.867069696789571</v>
      </c>
      <c r="F73" s="355">
        <f>((F70*F71)/(1-(1+F71)^-F27))/(365*24*F74*F72)</f>
        <v>87.630077440877301</v>
      </c>
      <c r="G73" s="355">
        <f>((G70*G71)/(1-(1+G71)^-G27))/(365*24*G74*G72)</f>
        <v>87.630077440877301</v>
      </c>
      <c r="H73" s="178"/>
      <c r="I73" s="77"/>
      <c r="J73" s="74"/>
    </row>
    <row r="74" spans="2:16">
      <c r="B74" s="78" t="s">
        <v>326</v>
      </c>
      <c r="C74" s="95" t="s">
        <v>325</v>
      </c>
      <c r="D74" s="134">
        <v>22</v>
      </c>
      <c r="E74" s="98">
        <v>20</v>
      </c>
      <c r="F74" s="98">
        <v>18</v>
      </c>
      <c r="G74" s="98">
        <v>18</v>
      </c>
      <c r="H74" s="98"/>
      <c r="I74" s="77"/>
      <c r="J74" s="74" t="s">
        <v>324</v>
      </c>
      <c r="O74" s="65">
        <v>32525717.540138293</v>
      </c>
      <c r="P74" s="65" t="s">
        <v>323</v>
      </c>
    </row>
    <row r="75" spans="2:16">
      <c r="B75" s="78" t="s">
        <v>322</v>
      </c>
      <c r="C75" s="95" t="s">
        <v>321</v>
      </c>
      <c r="D75" s="96">
        <v>1.8520000000000001</v>
      </c>
      <c r="E75" s="92">
        <v>1.8520000000000001</v>
      </c>
      <c r="F75" s="92">
        <v>1.8520000000000001</v>
      </c>
      <c r="G75" s="92">
        <v>1.8520000000000001</v>
      </c>
      <c r="H75" s="92"/>
      <c r="I75" s="349"/>
      <c r="J75" s="74"/>
      <c r="O75" s="188">
        <f>O74/365</f>
        <v>89111.554904488468</v>
      </c>
      <c r="P75" s="65" t="s">
        <v>320</v>
      </c>
    </row>
    <row r="76" spans="2:16" ht="14.4" thickBot="1">
      <c r="B76" s="73" t="s">
        <v>319</v>
      </c>
      <c r="C76" s="72" t="s">
        <v>318</v>
      </c>
      <c r="D76" s="354">
        <v>0.32200000000000001</v>
      </c>
      <c r="E76" s="353">
        <v>0.317</v>
      </c>
      <c r="F76" s="353">
        <v>0.309</v>
      </c>
      <c r="G76" s="353">
        <v>0.309</v>
      </c>
      <c r="H76" s="353"/>
      <c r="I76" s="72" t="s">
        <v>656</v>
      </c>
      <c r="J76" s="90"/>
      <c r="L76" s="188"/>
    </row>
    <row r="78" spans="2:16" ht="16.2" thickBot="1">
      <c r="B78" s="89" t="s">
        <v>125</v>
      </c>
    </row>
    <row r="79" spans="2:16">
      <c r="B79" s="88" t="s">
        <v>317</v>
      </c>
      <c r="C79" s="85" t="s">
        <v>151</v>
      </c>
      <c r="D79" s="352">
        <f>D89/D$75*1000</f>
        <v>6549.6760259179264</v>
      </c>
      <c r="E79" s="352">
        <f>E89/E$75*1000</f>
        <v>5411.8901781008326</v>
      </c>
      <c r="F79" s="352">
        <f>F89/F$75*1000</f>
        <v>4455.0358156426773</v>
      </c>
      <c r="G79" s="352">
        <f>G89/G$75*1000</f>
        <v>4455.0358156426773</v>
      </c>
      <c r="H79" s="352"/>
      <c r="I79" s="351"/>
      <c r="J79" s="83"/>
    </row>
    <row r="80" spans="2:16">
      <c r="B80" s="78"/>
      <c r="C80" s="77"/>
      <c r="D80" s="77"/>
      <c r="E80" s="77"/>
      <c r="F80" s="77"/>
      <c r="G80" s="77"/>
      <c r="H80" s="77"/>
      <c r="I80" s="77"/>
      <c r="J80" s="74"/>
    </row>
    <row r="81" spans="2:10">
      <c r="B81" s="78" t="s">
        <v>20</v>
      </c>
      <c r="C81" s="77" t="s">
        <v>27</v>
      </c>
      <c r="D81" s="80">
        <f t="shared" ref="D81:G86" si="2">D91/D$75*1000</f>
        <v>0</v>
      </c>
      <c r="E81" s="80">
        <f t="shared" si="2"/>
        <v>0</v>
      </c>
      <c r="F81" s="80">
        <f t="shared" si="2"/>
        <v>0</v>
      </c>
      <c r="G81" s="80">
        <f t="shared" si="2"/>
        <v>0</v>
      </c>
      <c r="H81" s="80"/>
      <c r="I81" s="77"/>
      <c r="J81" s="74"/>
    </row>
    <row r="82" spans="2:10">
      <c r="B82" s="78" t="s">
        <v>21</v>
      </c>
      <c r="C82" s="77" t="s">
        <v>27</v>
      </c>
      <c r="D82" s="80">
        <f t="shared" si="2"/>
        <v>0</v>
      </c>
      <c r="E82" s="80">
        <f t="shared" si="2"/>
        <v>0</v>
      </c>
      <c r="F82" s="80">
        <f t="shared" si="2"/>
        <v>0</v>
      </c>
      <c r="G82" s="80">
        <f t="shared" si="2"/>
        <v>0</v>
      </c>
      <c r="H82" s="80"/>
      <c r="I82" s="349"/>
      <c r="J82" s="74"/>
    </row>
    <row r="83" spans="2:10">
      <c r="B83" s="78" t="s">
        <v>22</v>
      </c>
      <c r="C83" s="77" t="s">
        <v>27</v>
      </c>
      <c r="D83" s="80">
        <f t="shared" si="2"/>
        <v>0</v>
      </c>
      <c r="E83" s="80">
        <f t="shared" si="2"/>
        <v>0</v>
      </c>
      <c r="F83" s="80">
        <f t="shared" si="2"/>
        <v>0</v>
      </c>
      <c r="G83" s="80">
        <f t="shared" si="2"/>
        <v>0</v>
      </c>
      <c r="H83" s="80"/>
      <c r="I83" s="349"/>
      <c r="J83" s="74"/>
    </row>
    <row r="84" spans="2:10">
      <c r="B84" s="78" t="s">
        <v>23</v>
      </c>
      <c r="C84" s="77" t="s">
        <v>27</v>
      </c>
      <c r="D84" s="80">
        <f t="shared" si="2"/>
        <v>11843.407062964809</v>
      </c>
      <c r="E84" s="80">
        <f t="shared" si="2"/>
        <v>9778.7077258034496</v>
      </c>
      <c r="F84" s="80">
        <f t="shared" si="2"/>
        <v>8037.4308370203489</v>
      </c>
      <c r="G84" s="80">
        <f t="shared" si="2"/>
        <v>8037.4308370203489</v>
      </c>
      <c r="H84" s="80"/>
      <c r="I84" s="349"/>
      <c r="J84" s="74"/>
    </row>
    <row r="85" spans="2:10">
      <c r="B85" s="78" t="s">
        <v>115</v>
      </c>
      <c r="C85" s="77" t="s">
        <v>27</v>
      </c>
      <c r="D85" s="80">
        <f t="shared" si="2"/>
        <v>3072.8867150339329</v>
      </c>
      <c r="E85" s="80">
        <f t="shared" si="2"/>
        <v>2518.3643956932328</v>
      </c>
      <c r="F85" s="80">
        <f t="shared" si="2"/>
        <v>2048.1060050950978</v>
      </c>
      <c r="G85" s="80">
        <f t="shared" si="2"/>
        <v>2048.1060050950978</v>
      </c>
      <c r="H85" s="80"/>
      <c r="I85" s="349"/>
      <c r="J85" s="74"/>
    </row>
    <row r="86" spans="2:10">
      <c r="B86" s="78" t="s">
        <v>24</v>
      </c>
      <c r="C86" s="77" t="s">
        <v>27</v>
      </c>
      <c r="D86" s="80">
        <f t="shared" si="2"/>
        <v>1658.4955652371159</v>
      </c>
      <c r="E86" s="80">
        <f t="shared" si="2"/>
        <v>1366.7615066957399</v>
      </c>
      <c r="F86" s="80">
        <f t="shared" si="2"/>
        <v>1120.3662831923004</v>
      </c>
      <c r="G86" s="80">
        <f t="shared" si="2"/>
        <v>1120.3662831923004</v>
      </c>
      <c r="H86" s="80"/>
      <c r="I86" s="349"/>
      <c r="J86" s="74"/>
    </row>
    <row r="87" spans="2:10" ht="14.4" thickBot="1">
      <c r="B87" s="73"/>
      <c r="C87" s="72"/>
      <c r="D87" s="72"/>
      <c r="E87" s="72"/>
      <c r="F87" s="72"/>
      <c r="G87" s="72"/>
      <c r="H87" s="72"/>
      <c r="I87" s="72"/>
      <c r="J87" s="90"/>
    </row>
    <row r="88" spans="2:10" ht="14.4" thickBot="1">
      <c r="E88" s="188"/>
      <c r="F88" s="188"/>
      <c r="G88" s="188"/>
      <c r="H88" s="188"/>
    </row>
    <row r="89" spans="2:10">
      <c r="B89" s="88" t="s">
        <v>317</v>
      </c>
      <c r="C89" s="85" t="s">
        <v>316</v>
      </c>
      <c r="D89" s="167">
        <v>12.13</v>
      </c>
      <c r="E89" s="167">
        <v>10.022820609842743</v>
      </c>
      <c r="F89" s="167">
        <v>8.2507263305702399</v>
      </c>
      <c r="G89" s="167">
        <v>8.2507263305702399</v>
      </c>
      <c r="H89" s="167"/>
      <c r="I89" s="351" t="s">
        <v>657</v>
      </c>
      <c r="J89" s="83" t="s">
        <v>315</v>
      </c>
    </row>
    <row r="90" spans="2:10">
      <c r="B90" s="78"/>
      <c r="C90" s="77"/>
      <c r="D90" s="77"/>
      <c r="E90" s="77"/>
      <c r="F90" s="77"/>
      <c r="G90" s="77"/>
      <c r="H90" s="77"/>
      <c r="I90" s="77"/>
      <c r="J90" s="74"/>
    </row>
    <row r="91" spans="2:10">
      <c r="B91" s="78" t="s">
        <v>20</v>
      </c>
      <c r="C91" s="77" t="s">
        <v>312</v>
      </c>
      <c r="D91" s="80"/>
      <c r="E91" s="80"/>
      <c r="F91" s="80"/>
      <c r="G91" s="80"/>
      <c r="H91" s="80"/>
      <c r="I91" s="77"/>
      <c r="J91" s="74"/>
    </row>
    <row r="92" spans="2:10">
      <c r="B92" s="78" t="s">
        <v>21</v>
      </c>
      <c r="C92" s="77" t="s">
        <v>312</v>
      </c>
      <c r="D92" s="350"/>
      <c r="E92" s="350"/>
      <c r="F92" s="350"/>
      <c r="G92" s="350"/>
      <c r="H92" s="350"/>
      <c r="I92" s="349"/>
      <c r="J92" s="74"/>
    </row>
    <row r="93" spans="2:10">
      <c r="B93" s="78" t="s">
        <v>22</v>
      </c>
      <c r="C93" s="77" t="s">
        <v>312</v>
      </c>
      <c r="D93" s="350"/>
      <c r="E93" s="350"/>
      <c r="F93" s="350"/>
      <c r="G93" s="350"/>
      <c r="H93" s="350"/>
      <c r="I93" s="349"/>
      <c r="J93" s="74"/>
    </row>
    <row r="94" spans="2:10">
      <c r="B94" s="78" t="s">
        <v>23</v>
      </c>
      <c r="C94" s="77" t="s">
        <v>312</v>
      </c>
      <c r="D94" s="350">
        <v>21.933989880610827</v>
      </c>
      <c r="E94" s="350">
        <v>18.11016670818799</v>
      </c>
      <c r="F94" s="350">
        <v>14.885321910161686</v>
      </c>
      <c r="G94" s="350">
        <v>14.885321910161686</v>
      </c>
      <c r="H94" s="350"/>
      <c r="I94" s="349" t="s">
        <v>657</v>
      </c>
      <c r="J94" s="74" t="s">
        <v>314</v>
      </c>
    </row>
    <row r="95" spans="2:10">
      <c r="B95" s="78" t="s">
        <v>115</v>
      </c>
      <c r="C95" s="77" t="s">
        <v>312</v>
      </c>
      <c r="D95" s="350">
        <v>5.6909861962428439</v>
      </c>
      <c r="E95" s="350">
        <v>4.6640108608238675</v>
      </c>
      <c r="F95" s="350">
        <v>3.7930923214361218</v>
      </c>
      <c r="G95" s="350">
        <v>3.7930923214361218</v>
      </c>
      <c r="H95" s="350"/>
      <c r="I95" s="349" t="s">
        <v>657</v>
      </c>
      <c r="J95" s="74" t="s">
        <v>313</v>
      </c>
    </row>
    <row r="96" spans="2:10">
      <c r="B96" s="78" t="s">
        <v>24</v>
      </c>
      <c r="C96" s="77" t="s">
        <v>312</v>
      </c>
      <c r="D96" s="350">
        <v>3.0715337868191388</v>
      </c>
      <c r="E96" s="350">
        <v>2.5312423104005104</v>
      </c>
      <c r="F96" s="350">
        <v>2.0749183564721405</v>
      </c>
      <c r="G96" s="350">
        <v>2.0749183564721405</v>
      </c>
      <c r="H96" s="350"/>
      <c r="I96" s="349" t="s">
        <v>657</v>
      </c>
      <c r="J96" s="74" t="s">
        <v>311</v>
      </c>
    </row>
    <row r="97" spans="2:10" ht="14.4" thickBot="1">
      <c r="B97" s="73"/>
      <c r="C97" s="72"/>
      <c r="D97" s="72"/>
      <c r="E97" s="72"/>
      <c r="F97" s="72"/>
      <c r="G97" s="72"/>
      <c r="H97" s="72"/>
      <c r="I97" s="72"/>
      <c r="J97" s="90"/>
    </row>
    <row r="99" spans="2:10">
      <c r="H99" s="68"/>
    </row>
    <row r="100" spans="2:10">
      <c r="H100" s="6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'C:\Users\B003920\Desktop\[Kopi af alternativ_drivmiddelmodel_3.0_2.xlsm]Sheet1'!#REF!</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tabColor rgb="FF002060"/>
    <pageSetUpPr fitToPage="1"/>
  </sheetPr>
  <dimension ref="B1:S103"/>
  <sheetViews>
    <sheetView zoomScale="80" zoomScaleNormal="80" workbookViewId="0">
      <selection activeCell="F37" sqref="F37"/>
    </sheetView>
  </sheetViews>
  <sheetFormatPr defaultColWidth="8.88671875" defaultRowHeight="13.8"/>
  <cols>
    <col min="1" max="1" width="2.88671875" style="65" customWidth="1"/>
    <col min="2" max="2" width="35" style="65" customWidth="1"/>
    <col min="3" max="3" width="18" style="65" customWidth="1"/>
    <col min="4" max="4" width="13.44140625" style="65" customWidth="1"/>
    <col min="5" max="8" width="15.88671875" style="65" customWidth="1"/>
    <col min="9" max="9" width="7.10937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347</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346</v>
      </c>
      <c r="C6" s="77"/>
      <c r="D6" s="77"/>
      <c r="E6" s="77"/>
      <c r="F6" s="77"/>
      <c r="G6" s="77"/>
      <c r="H6" s="77"/>
      <c r="I6" s="77"/>
      <c r="J6" s="77"/>
      <c r="K6" s="77"/>
      <c r="L6" s="77"/>
      <c r="M6" s="77"/>
      <c r="N6" s="74"/>
    </row>
    <row r="7" spans="2:19">
      <c r="B7" s="133" t="s">
        <v>345</v>
      </c>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c r="H21" s="106" t="s">
        <v>99</v>
      </c>
      <c r="I21" s="152"/>
      <c r="J21" s="104"/>
    </row>
    <row r="22" spans="2:14">
      <c r="B22" s="128" t="s">
        <v>100</v>
      </c>
      <c r="C22" s="118"/>
      <c r="D22" s="180"/>
      <c r="E22" s="151"/>
      <c r="F22" s="151"/>
      <c r="G22" s="151"/>
      <c r="H22" s="151"/>
      <c r="I22" s="77"/>
      <c r="J22" s="74"/>
    </row>
    <row r="23" spans="2:14">
      <c r="B23" s="145" t="s">
        <v>101</v>
      </c>
      <c r="C23" s="118" t="s">
        <v>197</v>
      </c>
      <c r="D23" s="179">
        <f>D76</f>
        <v>0.32200000000000001</v>
      </c>
      <c r="E23" s="259">
        <f>E76</f>
        <v>0.317</v>
      </c>
      <c r="F23" s="259">
        <f>F76</f>
        <v>0.309</v>
      </c>
      <c r="G23" s="259">
        <f>G76</f>
        <v>0.309</v>
      </c>
      <c r="H23" s="147"/>
      <c r="I23" s="187"/>
      <c r="J23" s="141"/>
    </row>
    <row r="24" spans="2:14">
      <c r="B24" s="145" t="s">
        <v>102</v>
      </c>
      <c r="C24" s="118" t="s">
        <v>197</v>
      </c>
      <c r="D24" s="144">
        <f>D23</f>
        <v>0.32200000000000001</v>
      </c>
      <c r="E24" s="143">
        <f>E23</f>
        <v>0.317</v>
      </c>
      <c r="F24" s="143">
        <f>F23</f>
        <v>0.309</v>
      </c>
      <c r="G24" s="143">
        <f>G23</f>
        <v>0.309</v>
      </c>
      <c r="H24" s="147"/>
      <c r="I24" s="187"/>
      <c r="J24" s="141"/>
    </row>
    <row r="25" spans="2:14">
      <c r="B25" s="145" t="s">
        <v>344</v>
      </c>
      <c r="C25" s="118" t="s">
        <v>104</v>
      </c>
      <c r="D25" s="144">
        <f>D79</f>
        <v>6549.6760259179264</v>
      </c>
      <c r="E25" s="143">
        <f>E79</f>
        <v>5411.8901781008326</v>
      </c>
      <c r="F25" s="143">
        <f>F79</f>
        <v>4455.0358156426773</v>
      </c>
      <c r="G25" s="143">
        <f>G79</f>
        <v>4455.0358156426773</v>
      </c>
      <c r="H25" s="142"/>
      <c r="I25" s="187"/>
      <c r="J25" s="141"/>
    </row>
    <row r="26" spans="2:14">
      <c r="B26" s="145" t="s">
        <v>343</v>
      </c>
      <c r="C26" s="118" t="s">
        <v>104</v>
      </c>
      <c r="D26" s="144"/>
      <c r="E26" s="143"/>
      <c r="F26" s="143"/>
      <c r="G26" s="143"/>
      <c r="H26" s="142"/>
      <c r="I26" s="187"/>
      <c r="J26" s="141"/>
    </row>
    <row r="27" spans="2:14">
      <c r="B27" s="133" t="s">
        <v>106</v>
      </c>
      <c r="C27" s="118" t="s">
        <v>107</v>
      </c>
      <c r="D27" s="140">
        <v>20</v>
      </c>
      <c r="E27" s="125">
        <v>20</v>
      </c>
      <c r="F27" s="125">
        <v>20</v>
      </c>
      <c r="G27" s="365">
        <v>20</v>
      </c>
      <c r="H27" s="125"/>
      <c r="I27" s="349"/>
      <c r="J27" s="74"/>
    </row>
    <row r="28" spans="2:14">
      <c r="B28" s="133" t="s">
        <v>108</v>
      </c>
      <c r="C28" s="118" t="s">
        <v>109</v>
      </c>
      <c r="D28" s="177"/>
      <c r="E28" s="139"/>
      <c r="F28" s="139"/>
      <c r="G28" s="139"/>
      <c r="H28" s="138"/>
      <c r="I28" s="187"/>
      <c r="J28" s="74"/>
    </row>
    <row r="29" spans="2:14">
      <c r="B29" s="78"/>
      <c r="C29" s="137"/>
      <c r="D29" s="134"/>
      <c r="E29" s="98"/>
      <c r="F29" s="98"/>
      <c r="G29" s="98"/>
      <c r="H29" s="98"/>
      <c r="I29" s="77"/>
      <c r="J29" s="74"/>
    </row>
    <row r="30" spans="2:14">
      <c r="B30" s="128" t="s">
        <v>110</v>
      </c>
      <c r="C30" s="118"/>
      <c r="D30" s="134"/>
      <c r="E30" s="98"/>
      <c r="F30" s="98"/>
      <c r="G30" s="98"/>
      <c r="H30" s="98"/>
      <c r="I30" s="77"/>
      <c r="J30" s="74"/>
    </row>
    <row r="31" spans="2:14">
      <c r="B31" s="133" t="s">
        <v>111</v>
      </c>
      <c r="C31" s="118" t="s">
        <v>15</v>
      </c>
      <c r="D31" s="136">
        <v>467820712.70515579</v>
      </c>
      <c r="E31" s="136">
        <v>467820712.70515579</v>
      </c>
      <c r="F31" s="136">
        <v>467820712.70515579</v>
      </c>
      <c r="G31" s="136">
        <v>467820712.70515579</v>
      </c>
      <c r="H31" s="135">
        <v>2011</v>
      </c>
      <c r="I31" s="79"/>
      <c r="J31" s="74"/>
    </row>
    <row r="32" spans="2:14">
      <c r="B32" s="78" t="s">
        <v>16</v>
      </c>
      <c r="C32" s="118" t="s">
        <v>17</v>
      </c>
      <c r="D32" s="136">
        <v>163.28709598412345</v>
      </c>
      <c r="E32" s="136">
        <v>220.80657608304438</v>
      </c>
      <c r="F32" s="136">
        <v>305.75111675568763</v>
      </c>
      <c r="G32" s="136">
        <v>305.75111675568763</v>
      </c>
      <c r="H32" s="135">
        <v>2011</v>
      </c>
      <c r="I32" s="79"/>
      <c r="J32" s="74"/>
    </row>
    <row r="33" spans="2:11">
      <c r="B33" s="129" t="s">
        <v>18</v>
      </c>
      <c r="C33" s="118" t="s">
        <v>17</v>
      </c>
      <c r="D33" s="136">
        <v>107.84710997186711</v>
      </c>
      <c r="E33" s="136">
        <v>145.83731157577168</v>
      </c>
      <c r="F33" s="136">
        <v>201.94109102153388</v>
      </c>
      <c r="G33" s="136">
        <v>201.94109102153388</v>
      </c>
      <c r="H33" s="135">
        <v>2011</v>
      </c>
      <c r="I33" s="79"/>
      <c r="J33" s="74"/>
    </row>
    <row r="34" spans="2:11">
      <c r="B34" s="129" t="s">
        <v>19</v>
      </c>
      <c r="C34" s="118" t="s">
        <v>17</v>
      </c>
      <c r="D34" s="136">
        <v>53.598831432445884</v>
      </c>
      <c r="E34" s="136">
        <v>72.479545179744918</v>
      </c>
      <c r="F34" s="136">
        <v>100.36250855281065</v>
      </c>
      <c r="G34" s="136">
        <v>100.36250855281065</v>
      </c>
      <c r="H34" s="135">
        <v>2011</v>
      </c>
      <c r="I34" s="79"/>
      <c r="J34" s="74"/>
    </row>
    <row r="35" spans="2:11">
      <c r="B35" s="129"/>
      <c r="C35" s="118"/>
      <c r="D35" s="136"/>
      <c r="E35" s="136"/>
      <c r="F35" s="136"/>
      <c r="G35" s="136"/>
      <c r="H35" s="135"/>
      <c r="I35" s="79"/>
      <c r="J35" s="74"/>
    </row>
    <row r="36" spans="2:11">
      <c r="B36" s="129" t="s">
        <v>112</v>
      </c>
      <c r="C36" s="118" t="s">
        <v>17</v>
      </c>
      <c r="D36" s="136">
        <v>0</v>
      </c>
      <c r="E36" s="136">
        <v>0</v>
      </c>
      <c r="F36" s="136">
        <v>0</v>
      </c>
      <c r="G36" s="136">
        <v>0</v>
      </c>
      <c r="H36" s="135">
        <v>2011</v>
      </c>
      <c r="I36" s="79"/>
      <c r="J36" s="74"/>
    </row>
    <row r="37" spans="2:11">
      <c r="B37" s="128"/>
      <c r="C37" s="118"/>
      <c r="D37" s="134"/>
      <c r="E37" s="98"/>
      <c r="F37" s="98"/>
      <c r="G37" s="98"/>
      <c r="H37" s="98"/>
      <c r="I37" s="79"/>
      <c r="J37" s="74"/>
    </row>
    <row r="38" spans="2:11">
      <c r="B38" s="133" t="s">
        <v>111</v>
      </c>
      <c r="C38" s="118" t="s">
        <v>15</v>
      </c>
      <c r="D38" s="176">
        <v>450500000</v>
      </c>
      <c r="E38" s="132">
        <v>450500000</v>
      </c>
      <c r="F38" s="132">
        <v>450500000</v>
      </c>
      <c r="G38" s="132">
        <v>450500000</v>
      </c>
      <c r="H38" s="130">
        <v>2013</v>
      </c>
      <c r="I38" s="187"/>
      <c r="J38" s="74"/>
    </row>
    <row r="39" spans="2:11">
      <c r="B39" s="78" t="s">
        <v>16</v>
      </c>
      <c r="C39" s="118" t="s">
        <v>17</v>
      </c>
      <c r="D39" s="368">
        <f>SUM(D40:D43)</f>
        <v>154.20713236392513</v>
      </c>
      <c r="E39" s="366">
        <f>SUM(E40:E43)</f>
        <v>208.52810627591685</v>
      </c>
      <c r="F39" s="366">
        <f>SUM(F40:F43)</f>
        <v>288.74910566445857</v>
      </c>
      <c r="G39" s="366">
        <f>SUM(G40:G43)</f>
        <v>288.74910566445857</v>
      </c>
      <c r="H39" s="130">
        <v>2012</v>
      </c>
      <c r="I39" s="187"/>
      <c r="J39" s="74"/>
    </row>
    <row r="40" spans="2:11">
      <c r="B40" s="129" t="s">
        <v>18</v>
      </c>
      <c r="C40" s="118" t="s">
        <v>17</v>
      </c>
      <c r="D40" s="175">
        <f>64.653599858769*3387.71478761865/D67</f>
        <v>103.85415122255806</v>
      </c>
      <c r="E40" s="126">
        <f>86.0708792960318*2799.21332181477/E67</f>
        <v>140.43779396807599</v>
      </c>
      <c r="F40" s="126">
        <f>116.174685496639*2304.29576246227/F67</f>
        <v>194.46437285588445</v>
      </c>
      <c r="G40" s="126">
        <f>116.174685496639*2304.29576246227/G67</f>
        <v>194.46437285588445</v>
      </c>
      <c r="H40" s="130">
        <v>2013</v>
      </c>
      <c r="I40" s="187"/>
      <c r="J40" s="74"/>
    </row>
    <row r="41" spans="2:11">
      <c r="B41" s="129" t="s">
        <v>19</v>
      </c>
      <c r="C41" s="118" t="s">
        <v>17</v>
      </c>
      <c r="D41" s="368">
        <f>31.3468595726481*3387.71478761865/D67</f>
        <v>50.35298114136706</v>
      </c>
      <c r="E41" s="366">
        <f>41.7308823094266*2799.21332181477/E67</f>
        <v>68.090312307840861</v>
      </c>
      <c r="F41" s="366">
        <f>56.3265086571321*2304.29576246227/F67</f>
        <v>94.284732808574134</v>
      </c>
      <c r="G41" s="366">
        <f>56.3265086571321*2304.29576246227/G67</f>
        <v>94.284732808574134</v>
      </c>
      <c r="H41" s="130">
        <v>2011</v>
      </c>
      <c r="I41" s="349"/>
      <c r="J41" s="74"/>
      <c r="K41" s="244"/>
    </row>
    <row r="42" spans="2:11">
      <c r="B42" s="129"/>
      <c r="C42" s="118"/>
      <c r="D42" s="134"/>
      <c r="E42" s="98"/>
      <c r="F42" s="98"/>
      <c r="G42" s="98"/>
      <c r="H42" s="130"/>
      <c r="I42" s="187"/>
      <c r="J42" s="74"/>
    </row>
    <row r="43" spans="2:11">
      <c r="B43" s="129" t="s">
        <v>112</v>
      </c>
      <c r="C43" s="118" t="s">
        <v>17</v>
      </c>
      <c r="D43" s="140"/>
      <c r="E43" s="125"/>
      <c r="F43" s="125"/>
      <c r="G43" s="365"/>
      <c r="H43" s="130">
        <v>2011</v>
      </c>
      <c r="I43" s="187"/>
      <c r="J43" s="74"/>
    </row>
    <row r="44" spans="2:11">
      <c r="B44" s="129"/>
      <c r="C44" s="118"/>
      <c r="D44" s="134"/>
      <c r="E44" s="98"/>
      <c r="F44" s="98"/>
      <c r="G44" s="98"/>
      <c r="H44" s="98"/>
      <c r="I44" s="187"/>
      <c r="J44" s="74"/>
    </row>
    <row r="45" spans="2:11">
      <c r="B45" s="128" t="s">
        <v>113</v>
      </c>
      <c r="C45" s="118"/>
      <c r="D45" s="134"/>
      <c r="E45" s="98"/>
      <c r="F45" s="98"/>
      <c r="G45" s="98"/>
      <c r="H45" s="127"/>
      <c r="I45" s="187"/>
      <c r="J45" s="74"/>
    </row>
    <row r="46" spans="2:11">
      <c r="B46" s="123" t="s">
        <v>30</v>
      </c>
      <c r="C46" s="118"/>
      <c r="D46" s="134"/>
      <c r="E46" s="98"/>
      <c r="F46" s="98"/>
      <c r="G46" s="98"/>
      <c r="H46" s="126"/>
      <c r="I46" s="187"/>
      <c r="J46" s="74"/>
    </row>
    <row r="47" spans="2:11">
      <c r="B47" s="78" t="s">
        <v>20</v>
      </c>
      <c r="C47" s="118" t="s">
        <v>342</v>
      </c>
      <c r="D47" s="363"/>
      <c r="E47" s="362"/>
      <c r="F47" s="362"/>
      <c r="G47" s="362"/>
      <c r="H47" s="126"/>
      <c r="I47" s="187"/>
      <c r="J47" s="119" t="s">
        <v>114</v>
      </c>
    </row>
    <row r="48" spans="2:11">
      <c r="B48" s="78" t="s">
        <v>21</v>
      </c>
      <c r="C48" s="118" t="s">
        <v>342</v>
      </c>
      <c r="D48" s="173">
        <f t="shared" ref="D48:G52" si="0">D82/D$79</f>
        <v>0</v>
      </c>
      <c r="E48" s="124">
        <f t="shared" si="0"/>
        <v>0</v>
      </c>
      <c r="F48" s="124">
        <f t="shared" si="0"/>
        <v>0</v>
      </c>
      <c r="G48" s="124">
        <f t="shared" si="0"/>
        <v>0</v>
      </c>
      <c r="H48" s="120"/>
      <c r="I48" s="187"/>
      <c r="J48" s="74"/>
    </row>
    <row r="49" spans="2:10">
      <c r="B49" s="78" t="s">
        <v>22</v>
      </c>
      <c r="C49" s="118" t="s">
        <v>342</v>
      </c>
      <c r="D49" s="173">
        <f t="shared" si="0"/>
        <v>0</v>
      </c>
      <c r="E49" s="124">
        <f t="shared" si="0"/>
        <v>0</v>
      </c>
      <c r="F49" s="124">
        <f t="shared" si="0"/>
        <v>0</v>
      </c>
      <c r="G49" s="124">
        <f t="shared" si="0"/>
        <v>0</v>
      </c>
      <c r="H49" s="98"/>
      <c r="I49" s="187"/>
      <c r="J49" s="74"/>
    </row>
    <row r="50" spans="2:10">
      <c r="B50" s="78" t="s">
        <v>23</v>
      </c>
      <c r="C50" s="118" t="s">
        <v>342</v>
      </c>
      <c r="D50" s="173">
        <f t="shared" si="0"/>
        <v>0.18082431888384828</v>
      </c>
      <c r="E50" s="124">
        <f t="shared" si="0"/>
        <v>0.18068932302752397</v>
      </c>
      <c r="F50" s="124">
        <f t="shared" si="0"/>
        <v>0.18041226085768039</v>
      </c>
      <c r="G50" s="124">
        <f t="shared" si="0"/>
        <v>0.18041226085768039</v>
      </c>
      <c r="H50" s="125"/>
      <c r="I50" s="187"/>
      <c r="J50" s="74"/>
    </row>
    <row r="51" spans="2:10">
      <c r="B51" s="78" t="s">
        <v>115</v>
      </c>
      <c r="C51" s="118" t="s">
        <v>342</v>
      </c>
      <c r="D51" s="173">
        <f t="shared" si="0"/>
        <v>0.46916621568366396</v>
      </c>
      <c r="E51" s="124">
        <f t="shared" si="0"/>
        <v>0.46533915375514712</v>
      </c>
      <c r="F51" s="124">
        <f t="shared" si="0"/>
        <v>0.45972829172410162</v>
      </c>
      <c r="G51" s="124">
        <f t="shared" si="0"/>
        <v>0.45972829172410162</v>
      </c>
      <c r="H51" s="98"/>
      <c r="I51" s="187"/>
      <c r="J51" s="74"/>
    </row>
    <row r="52" spans="2:10">
      <c r="B52" s="78" t="s">
        <v>24</v>
      </c>
      <c r="C52" s="118" t="s">
        <v>342</v>
      </c>
      <c r="D52" s="173">
        <f t="shared" si="0"/>
        <v>9.2415311823227084E-2</v>
      </c>
      <c r="E52" s="124">
        <f t="shared" si="0"/>
        <v>9.2170766907945456E-2</v>
      </c>
      <c r="F52" s="124">
        <f t="shared" si="0"/>
        <v>9.1782158663924182E-2</v>
      </c>
      <c r="G52" s="124">
        <f t="shared" si="0"/>
        <v>9.1782158663924182E-2</v>
      </c>
      <c r="H52" s="98"/>
      <c r="I52" s="187"/>
      <c r="J52" s="74"/>
    </row>
    <row r="53" spans="2:10">
      <c r="B53" s="78"/>
      <c r="C53" s="118"/>
      <c r="D53" s="172"/>
      <c r="E53" s="77"/>
      <c r="F53" s="77"/>
      <c r="G53" s="77"/>
      <c r="H53" s="98"/>
      <c r="I53" s="187"/>
      <c r="J53" s="74"/>
    </row>
    <row r="54" spans="2:10">
      <c r="B54" s="123" t="s">
        <v>31</v>
      </c>
      <c r="C54" s="118"/>
      <c r="D54" s="134"/>
      <c r="E54" s="98"/>
      <c r="F54" s="98"/>
      <c r="G54" s="98"/>
      <c r="H54" s="120"/>
      <c r="I54" s="187"/>
      <c r="J54" s="74"/>
    </row>
    <row r="55" spans="2:10">
      <c r="B55" s="78" t="s">
        <v>20</v>
      </c>
      <c r="C55" s="118" t="s">
        <v>342</v>
      </c>
      <c r="D55" s="363"/>
      <c r="E55" s="362"/>
      <c r="F55" s="362"/>
      <c r="G55" s="362"/>
      <c r="H55" s="197"/>
      <c r="I55" s="187"/>
      <c r="J55" s="119" t="s">
        <v>114</v>
      </c>
    </row>
    <row r="56" spans="2:10">
      <c r="B56" s="78" t="s">
        <v>21</v>
      </c>
      <c r="C56" s="118" t="s">
        <v>342</v>
      </c>
      <c r="D56" s="170">
        <f t="shared" ref="D56:G60" si="1">D48</f>
        <v>0</v>
      </c>
      <c r="E56" s="117">
        <f t="shared" si="1"/>
        <v>0</v>
      </c>
      <c r="F56" s="117">
        <f t="shared" si="1"/>
        <v>0</v>
      </c>
      <c r="G56" s="117">
        <f t="shared" si="1"/>
        <v>0</v>
      </c>
      <c r="H56" s="197"/>
      <c r="I56" s="187"/>
      <c r="J56" s="74"/>
    </row>
    <row r="57" spans="2:10">
      <c r="B57" s="78" t="s">
        <v>22</v>
      </c>
      <c r="C57" s="118" t="s">
        <v>342</v>
      </c>
      <c r="D57" s="170">
        <f t="shared" si="1"/>
        <v>0</v>
      </c>
      <c r="E57" s="117">
        <f t="shared" si="1"/>
        <v>0</v>
      </c>
      <c r="F57" s="117">
        <f t="shared" si="1"/>
        <v>0</v>
      </c>
      <c r="G57" s="117">
        <f t="shared" si="1"/>
        <v>0</v>
      </c>
      <c r="H57" s="197"/>
      <c r="I57" s="187"/>
      <c r="J57" s="74"/>
    </row>
    <row r="58" spans="2:10">
      <c r="B58" s="78" t="s">
        <v>23</v>
      </c>
      <c r="C58" s="118" t="s">
        <v>342</v>
      </c>
      <c r="D58" s="170">
        <f t="shared" si="1"/>
        <v>0.18082431888384828</v>
      </c>
      <c r="E58" s="117">
        <f t="shared" si="1"/>
        <v>0.18068932302752397</v>
      </c>
      <c r="F58" s="117">
        <f t="shared" si="1"/>
        <v>0.18041226085768039</v>
      </c>
      <c r="G58" s="117">
        <f t="shared" si="1"/>
        <v>0.18041226085768039</v>
      </c>
      <c r="H58" s="197"/>
      <c r="I58" s="187"/>
      <c r="J58" s="74"/>
    </row>
    <row r="59" spans="2:10">
      <c r="B59" s="78" t="s">
        <v>115</v>
      </c>
      <c r="C59" s="118" t="s">
        <v>342</v>
      </c>
      <c r="D59" s="170">
        <f t="shared" si="1"/>
        <v>0.46916621568366396</v>
      </c>
      <c r="E59" s="117">
        <f t="shared" si="1"/>
        <v>0.46533915375514712</v>
      </c>
      <c r="F59" s="117">
        <f t="shared" si="1"/>
        <v>0.45972829172410162</v>
      </c>
      <c r="G59" s="117">
        <f t="shared" si="1"/>
        <v>0.45972829172410162</v>
      </c>
      <c r="H59" s="197"/>
      <c r="I59" s="187"/>
      <c r="J59" s="74"/>
    </row>
    <row r="60" spans="2:10">
      <c r="B60" s="78" t="s">
        <v>24</v>
      </c>
      <c r="C60" s="118" t="s">
        <v>342</v>
      </c>
      <c r="D60" s="170">
        <f t="shared" si="1"/>
        <v>9.2415311823227084E-2</v>
      </c>
      <c r="E60" s="117">
        <f t="shared" si="1"/>
        <v>9.2170766907945456E-2</v>
      </c>
      <c r="F60" s="117">
        <f t="shared" si="1"/>
        <v>9.1782158663924182E-2</v>
      </c>
      <c r="G60" s="117">
        <f t="shared" si="1"/>
        <v>9.1782158663924182E-2</v>
      </c>
      <c r="H60" s="135"/>
      <c r="I60" s="187"/>
      <c r="J60" s="74"/>
    </row>
    <row r="61" spans="2:10" ht="14.4" thickBot="1">
      <c r="B61" s="115"/>
      <c r="C61" s="114"/>
      <c r="D61" s="169"/>
      <c r="E61" s="72"/>
      <c r="F61" s="72"/>
      <c r="G61" s="72"/>
      <c r="H61" s="72"/>
      <c r="I61" s="193"/>
      <c r="J61" s="90"/>
    </row>
    <row r="64" spans="2:10" ht="16.2" thickBot="1">
      <c r="B64" s="89" t="s">
        <v>116</v>
      </c>
    </row>
    <row r="65" spans="2:12">
      <c r="B65" s="88"/>
      <c r="C65" s="110"/>
      <c r="D65" s="168"/>
      <c r="E65" s="85"/>
      <c r="F65" s="85"/>
      <c r="G65" s="85"/>
      <c r="H65" s="85"/>
      <c r="I65" s="85" t="s">
        <v>96</v>
      </c>
      <c r="J65" s="83" t="s">
        <v>97</v>
      </c>
    </row>
    <row r="66" spans="2:12">
      <c r="B66" s="109"/>
      <c r="C66" s="108" t="s">
        <v>98</v>
      </c>
      <c r="D66" s="107">
        <v>2015</v>
      </c>
      <c r="E66" s="106">
        <v>2020</v>
      </c>
      <c r="F66" s="106">
        <v>2035</v>
      </c>
      <c r="G66" s="106">
        <v>2050</v>
      </c>
      <c r="H66" s="106"/>
      <c r="I66" s="152"/>
      <c r="J66" s="104"/>
    </row>
    <row r="67" spans="2:12">
      <c r="B67" s="78" t="s">
        <v>341</v>
      </c>
      <c r="C67" s="95" t="s">
        <v>151</v>
      </c>
      <c r="D67" s="179">
        <f>D23*D79</f>
        <v>2108.9956803455725</v>
      </c>
      <c r="E67" s="359">
        <f>E23*E79</f>
        <v>1715.569186457964</v>
      </c>
      <c r="F67" s="359">
        <f>F23*F79</f>
        <v>1376.6060670335874</v>
      </c>
      <c r="G67" s="359">
        <f>G23*G79</f>
        <v>1376.6060670335874</v>
      </c>
      <c r="H67" s="359"/>
      <c r="I67" s="77"/>
      <c r="J67" s="74"/>
    </row>
    <row r="68" spans="2:12">
      <c r="B68" s="78" t="s">
        <v>337</v>
      </c>
      <c r="C68" s="95" t="s">
        <v>339</v>
      </c>
      <c r="D68" s="134">
        <v>11500</v>
      </c>
      <c r="E68" s="98">
        <v>11500</v>
      </c>
      <c r="F68" s="98">
        <v>11500</v>
      </c>
      <c r="G68" s="98">
        <v>11500</v>
      </c>
      <c r="H68" s="98">
        <v>2011</v>
      </c>
      <c r="I68" s="349"/>
      <c r="J68" s="74" t="s">
        <v>332</v>
      </c>
    </row>
    <row r="69" spans="2:12">
      <c r="B69" s="78" t="s">
        <v>337</v>
      </c>
      <c r="C69" s="95" t="s">
        <v>336</v>
      </c>
      <c r="D69" s="356">
        <f>D68/(D74*24)/D72</f>
        <v>34.761967330398598</v>
      </c>
      <c r="E69" s="355">
        <f>E68/(E74*24)/E72</f>
        <v>38.238164063438454</v>
      </c>
      <c r="F69" s="355">
        <f>F68/(F74*24)/F72</f>
        <v>42.486848959376061</v>
      </c>
      <c r="G69" s="355">
        <f>G68/(G74*24)/G72</f>
        <v>42.486848959376061</v>
      </c>
      <c r="H69" s="178"/>
      <c r="I69" s="77"/>
      <c r="J69" s="74"/>
    </row>
    <row r="70" spans="2:12">
      <c r="B70" s="78" t="s">
        <v>334</v>
      </c>
      <c r="C70" s="95" t="s">
        <v>333</v>
      </c>
      <c r="D70" s="356">
        <v>85000000</v>
      </c>
      <c r="E70" s="355">
        <v>85000000</v>
      </c>
      <c r="F70" s="355">
        <v>85000000</v>
      </c>
      <c r="G70" s="355">
        <v>85000000</v>
      </c>
      <c r="H70" s="178"/>
      <c r="I70" s="77"/>
      <c r="J70" s="74"/>
    </row>
    <row r="71" spans="2:12">
      <c r="B71" s="78" t="s">
        <v>331</v>
      </c>
      <c r="C71" s="95" t="s">
        <v>26</v>
      </c>
      <c r="D71" s="356">
        <v>0.08</v>
      </c>
      <c r="E71" s="355">
        <v>0.08</v>
      </c>
      <c r="F71" s="355">
        <v>0.08</v>
      </c>
      <c r="G71" s="355">
        <v>0.08</v>
      </c>
      <c r="H71" s="178"/>
      <c r="I71" s="77" t="s">
        <v>655</v>
      </c>
      <c r="J71" s="74"/>
    </row>
    <row r="72" spans="2:12">
      <c r="B72" s="78" t="s">
        <v>330</v>
      </c>
      <c r="C72" s="95" t="s">
        <v>329</v>
      </c>
      <c r="D72" s="356">
        <f>(24.1/37.9*4+24.1/40.9)/5</f>
        <v>0.62655553476850034</v>
      </c>
      <c r="E72" s="355">
        <f>(24.1/37.9*4+24.1/40.9)/5</f>
        <v>0.62655553476850034</v>
      </c>
      <c r="F72" s="355">
        <f>(24.1/37.9*4+24.1/40.9)/5</f>
        <v>0.62655553476850034</v>
      </c>
      <c r="G72" s="355">
        <f>(24.1/37.9*4+24.1/40.9)/5</f>
        <v>0.62655553476850034</v>
      </c>
      <c r="H72" s="178"/>
      <c r="I72" s="77" t="s">
        <v>655</v>
      </c>
      <c r="J72" s="74"/>
    </row>
    <row r="73" spans="2:12">
      <c r="B73" s="78" t="s">
        <v>328</v>
      </c>
      <c r="C73" s="95" t="s">
        <v>327</v>
      </c>
      <c r="D73" s="356">
        <f>((D70*D71)/(1-(1+D71)^-D27))/(365*24*D74*D72)</f>
        <v>71.697336087990521</v>
      </c>
      <c r="E73" s="355">
        <f>((E70*E71)/(1-(1+E71)^-E27))/(365*24*E74*E72)</f>
        <v>78.867069696789571</v>
      </c>
      <c r="F73" s="355">
        <f>((F70*F71)/(1-(1+F71)^-F27))/(365*24*F74*F72)</f>
        <v>87.630077440877301</v>
      </c>
      <c r="G73" s="355">
        <f>((G70*G71)/(1-(1+G71)^-G27))/(365*24*G74*G72)</f>
        <v>87.630077440877301</v>
      </c>
      <c r="H73" s="178"/>
      <c r="I73" s="77"/>
      <c r="J73" s="74"/>
    </row>
    <row r="74" spans="2:12">
      <c r="B74" s="78" t="s">
        <v>326</v>
      </c>
      <c r="C74" s="95" t="s">
        <v>325</v>
      </c>
      <c r="D74" s="134">
        <v>22</v>
      </c>
      <c r="E74" s="98">
        <v>20</v>
      </c>
      <c r="F74" s="98">
        <v>18</v>
      </c>
      <c r="G74" s="98">
        <v>18</v>
      </c>
      <c r="H74" s="98"/>
      <c r="I74" s="77"/>
      <c r="J74" s="74" t="s">
        <v>324</v>
      </c>
    </row>
    <row r="75" spans="2:12">
      <c r="B75" s="78" t="s">
        <v>322</v>
      </c>
      <c r="C75" s="95" t="s">
        <v>321</v>
      </c>
      <c r="D75" s="96">
        <v>1.8520000000000001</v>
      </c>
      <c r="E75" s="92">
        <v>1.8520000000000001</v>
      </c>
      <c r="F75" s="92">
        <v>1.8520000000000001</v>
      </c>
      <c r="G75" s="92">
        <v>1.8520000000000001</v>
      </c>
      <c r="H75" s="92"/>
      <c r="I75" s="349"/>
      <c r="J75" s="74"/>
    </row>
    <row r="76" spans="2:12" ht="14.4" thickBot="1">
      <c r="B76" s="73" t="s">
        <v>319</v>
      </c>
      <c r="C76" s="72" t="s">
        <v>318</v>
      </c>
      <c r="D76" s="354">
        <v>0.32200000000000001</v>
      </c>
      <c r="E76" s="353">
        <v>0.317</v>
      </c>
      <c r="F76" s="353">
        <v>0.309</v>
      </c>
      <c r="G76" s="353">
        <v>0.309</v>
      </c>
      <c r="H76" s="353"/>
      <c r="I76" s="72" t="s">
        <v>656</v>
      </c>
      <c r="J76" s="90"/>
      <c r="L76" s="188"/>
    </row>
    <row r="78" spans="2:12" ht="16.2" thickBot="1">
      <c r="B78" s="89" t="s">
        <v>125</v>
      </c>
      <c r="D78" s="67"/>
    </row>
    <row r="79" spans="2:12">
      <c r="B79" s="88" t="s">
        <v>317</v>
      </c>
      <c r="C79" s="85" t="s">
        <v>151</v>
      </c>
      <c r="D79" s="352">
        <f>D89/D$75*1000</f>
        <v>6549.6760259179264</v>
      </c>
      <c r="E79" s="352">
        <f>E89/E$75*1000</f>
        <v>5411.8901781008326</v>
      </c>
      <c r="F79" s="352">
        <f>F89/F$75*1000</f>
        <v>4455.0358156426773</v>
      </c>
      <c r="G79" s="352">
        <f>G89/G$75*1000</f>
        <v>4455.0358156426773</v>
      </c>
      <c r="H79" s="352"/>
      <c r="I79" s="351"/>
      <c r="J79" s="83"/>
    </row>
    <row r="80" spans="2:12">
      <c r="B80" s="78"/>
      <c r="C80" s="77"/>
      <c r="D80" s="77"/>
      <c r="E80" s="77"/>
      <c r="F80" s="77"/>
      <c r="G80" s="77"/>
      <c r="H80" s="77"/>
      <c r="I80" s="77"/>
      <c r="J80" s="74"/>
    </row>
    <row r="81" spans="2:10">
      <c r="B81" s="78" t="s">
        <v>20</v>
      </c>
      <c r="C81" s="77" t="s">
        <v>27</v>
      </c>
      <c r="D81" s="80">
        <f t="shared" ref="D81:G86" si="2">D91/D$75*1000</f>
        <v>0</v>
      </c>
      <c r="E81" s="80">
        <f t="shared" si="2"/>
        <v>0</v>
      </c>
      <c r="F81" s="80">
        <f t="shared" si="2"/>
        <v>0</v>
      </c>
      <c r="G81" s="80">
        <f t="shared" si="2"/>
        <v>0</v>
      </c>
      <c r="H81" s="80"/>
      <c r="I81" s="77"/>
      <c r="J81" s="74"/>
    </row>
    <row r="82" spans="2:10">
      <c r="B82" s="78" t="s">
        <v>21</v>
      </c>
      <c r="C82" s="77" t="s">
        <v>27</v>
      </c>
      <c r="D82" s="80">
        <f t="shared" si="2"/>
        <v>0</v>
      </c>
      <c r="E82" s="80">
        <f t="shared" si="2"/>
        <v>0</v>
      </c>
      <c r="F82" s="80">
        <f t="shared" si="2"/>
        <v>0</v>
      </c>
      <c r="G82" s="80">
        <f t="shared" si="2"/>
        <v>0</v>
      </c>
      <c r="H82" s="80"/>
      <c r="I82" s="349"/>
      <c r="J82" s="74"/>
    </row>
    <row r="83" spans="2:10">
      <c r="B83" s="78" t="s">
        <v>22</v>
      </c>
      <c r="C83" s="77" t="s">
        <v>27</v>
      </c>
      <c r="D83" s="80">
        <f t="shared" si="2"/>
        <v>0</v>
      </c>
      <c r="E83" s="80">
        <f t="shared" si="2"/>
        <v>0</v>
      </c>
      <c r="F83" s="80">
        <f t="shared" si="2"/>
        <v>0</v>
      </c>
      <c r="G83" s="80">
        <f t="shared" si="2"/>
        <v>0</v>
      </c>
      <c r="H83" s="80"/>
      <c r="I83" s="349"/>
      <c r="J83" s="74"/>
    </row>
    <row r="84" spans="2:10">
      <c r="B84" s="78" t="s">
        <v>23</v>
      </c>
      <c r="C84" s="77" t="s">
        <v>27</v>
      </c>
      <c r="D84" s="80">
        <f t="shared" si="2"/>
        <v>1184.3407062964793</v>
      </c>
      <c r="E84" s="80">
        <f t="shared" si="2"/>
        <v>977.87077258034549</v>
      </c>
      <c r="F84" s="80">
        <f t="shared" si="2"/>
        <v>803.74308370203562</v>
      </c>
      <c r="G84" s="80">
        <f t="shared" si="2"/>
        <v>803.74308370203562</v>
      </c>
      <c r="H84" s="80"/>
      <c r="I84" s="349"/>
      <c r="J84" s="74"/>
    </row>
    <row r="85" spans="2:10">
      <c r="B85" s="78" t="s">
        <v>115</v>
      </c>
      <c r="C85" s="77" t="s">
        <v>27</v>
      </c>
      <c r="D85" s="80">
        <f t="shared" si="2"/>
        <v>3072.8867150339329</v>
      </c>
      <c r="E85" s="80">
        <f t="shared" si="2"/>
        <v>2518.3643956932337</v>
      </c>
      <c r="F85" s="80">
        <f t="shared" si="2"/>
        <v>2048.1060050950978</v>
      </c>
      <c r="G85" s="80">
        <f t="shared" si="2"/>
        <v>2048.1060050950978</v>
      </c>
      <c r="H85" s="80"/>
      <c r="I85" s="349"/>
      <c r="J85" s="74"/>
    </row>
    <row r="86" spans="2:10">
      <c r="B86" s="78" t="s">
        <v>24</v>
      </c>
      <c r="C86" s="77" t="s">
        <v>27</v>
      </c>
      <c r="D86" s="80">
        <f t="shared" si="2"/>
        <v>605.29035227631994</v>
      </c>
      <c r="E86" s="80">
        <f t="shared" si="2"/>
        <v>498.81806813713126</v>
      </c>
      <c r="F86" s="80">
        <f t="shared" si="2"/>
        <v>408.89280408478106</v>
      </c>
      <c r="G86" s="80">
        <f t="shared" si="2"/>
        <v>408.89280408478106</v>
      </c>
      <c r="H86" s="80"/>
      <c r="I86" s="349"/>
      <c r="J86" s="74"/>
    </row>
    <row r="87" spans="2:10" ht="14.4" thickBot="1">
      <c r="B87" s="73"/>
      <c r="C87" s="72"/>
      <c r="D87" s="72"/>
      <c r="E87" s="72"/>
      <c r="F87" s="72"/>
      <c r="G87" s="72"/>
      <c r="H87" s="72"/>
      <c r="I87" s="72"/>
      <c r="J87" s="90"/>
    </row>
    <row r="88" spans="2:10" ht="14.4" thickBot="1"/>
    <row r="89" spans="2:10">
      <c r="B89" s="88" t="s">
        <v>317</v>
      </c>
      <c r="C89" s="85" t="s">
        <v>316</v>
      </c>
      <c r="D89" s="167">
        <v>12.13</v>
      </c>
      <c r="E89" s="167">
        <v>10.022820609842743</v>
      </c>
      <c r="F89" s="167">
        <v>8.2507263305702399</v>
      </c>
      <c r="G89" s="167">
        <v>8.2507263305702399</v>
      </c>
      <c r="H89" s="167"/>
      <c r="I89" s="351" t="s">
        <v>657</v>
      </c>
      <c r="J89" s="83" t="s">
        <v>315</v>
      </c>
    </row>
    <row r="90" spans="2:10">
      <c r="B90" s="78"/>
      <c r="C90" s="77"/>
      <c r="D90" s="77"/>
      <c r="E90" s="77"/>
      <c r="F90" s="77"/>
      <c r="G90" s="77"/>
      <c r="H90" s="77"/>
      <c r="I90" s="77"/>
      <c r="J90" s="74"/>
    </row>
    <row r="91" spans="2:10">
      <c r="B91" s="78" t="s">
        <v>20</v>
      </c>
      <c r="C91" s="77" t="s">
        <v>312</v>
      </c>
      <c r="D91" s="80"/>
      <c r="E91" s="80"/>
      <c r="F91" s="80"/>
      <c r="G91" s="80"/>
      <c r="H91" s="80"/>
      <c r="I91" s="77"/>
      <c r="J91" s="74"/>
    </row>
    <row r="92" spans="2:10">
      <c r="B92" s="78" t="s">
        <v>21</v>
      </c>
      <c r="C92" s="77" t="s">
        <v>312</v>
      </c>
      <c r="D92" s="350"/>
      <c r="E92" s="350"/>
      <c r="F92" s="350"/>
      <c r="G92" s="350"/>
      <c r="H92" s="350"/>
      <c r="I92" s="349"/>
      <c r="J92" s="74" t="s">
        <v>350</v>
      </c>
    </row>
    <row r="93" spans="2:10">
      <c r="B93" s="78" t="s">
        <v>22</v>
      </c>
      <c r="C93" s="77" t="s">
        <v>312</v>
      </c>
      <c r="D93" s="350"/>
      <c r="E93" s="350"/>
      <c r="F93" s="350"/>
      <c r="G93" s="350"/>
      <c r="H93" s="350"/>
      <c r="I93" s="349"/>
      <c r="J93" s="74"/>
    </row>
    <row r="94" spans="2:10">
      <c r="B94" s="78" t="s">
        <v>23</v>
      </c>
      <c r="C94" s="77" t="s">
        <v>312</v>
      </c>
      <c r="D94" s="350">
        <f>21.9339898806108/10</f>
        <v>2.1933989880610798</v>
      </c>
      <c r="E94" s="350">
        <f>18.110166708188/10</f>
        <v>1.8110166708188</v>
      </c>
      <c r="F94" s="350">
        <f>14.8853219101617/10</f>
        <v>1.48853219101617</v>
      </c>
      <c r="G94" s="350">
        <f>14.8853219101617/10</f>
        <v>1.48853219101617</v>
      </c>
      <c r="H94" s="350"/>
      <c r="I94" s="349" t="s">
        <v>658</v>
      </c>
      <c r="J94" s="74" t="s">
        <v>349</v>
      </c>
    </row>
    <row r="95" spans="2:10">
      <c r="B95" s="78" t="s">
        <v>115</v>
      </c>
      <c r="C95" s="77" t="s">
        <v>312</v>
      </c>
      <c r="D95" s="350">
        <v>5.6909861962428439</v>
      </c>
      <c r="E95" s="350">
        <v>4.6640108608238693</v>
      </c>
      <c r="F95" s="350">
        <v>3.7930923214361218</v>
      </c>
      <c r="G95" s="350">
        <v>3.7930923214361218</v>
      </c>
      <c r="H95" s="350"/>
      <c r="I95" s="349" t="s">
        <v>657</v>
      </c>
      <c r="J95" s="74" t="s">
        <v>313</v>
      </c>
    </row>
    <row r="96" spans="2:10">
      <c r="B96" s="78" t="s">
        <v>24</v>
      </c>
      <c r="C96" s="77" t="s">
        <v>312</v>
      </c>
      <c r="D96" s="350">
        <f>3.07153378681914/2.74</f>
        <v>1.1209977324157445</v>
      </c>
      <c r="E96" s="350">
        <f>2.53124231040051/2.74</f>
        <v>0.92381106218996711</v>
      </c>
      <c r="F96" s="350">
        <f>2.07491835647214/2.74</f>
        <v>0.75726947316501458</v>
      </c>
      <c r="G96" s="350">
        <f>2.07491835647214/2.74</f>
        <v>0.75726947316501458</v>
      </c>
      <c r="H96" s="350"/>
      <c r="I96" s="349" t="s">
        <v>658</v>
      </c>
      <c r="J96" s="74" t="s">
        <v>348</v>
      </c>
    </row>
    <row r="97" spans="2:10" ht="14.4" thickBot="1">
      <c r="B97" s="73"/>
      <c r="C97" s="72"/>
      <c r="D97" s="72"/>
      <c r="E97" s="72"/>
      <c r="F97" s="72"/>
      <c r="G97" s="72"/>
      <c r="H97" s="72"/>
      <c r="I97" s="72"/>
      <c r="J97" s="90"/>
    </row>
    <row r="98" spans="2:10">
      <c r="H98" s="68"/>
    </row>
    <row r="99" spans="2:10">
      <c r="D99" s="188"/>
      <c r="E99" s="188"/>
      <c r="F99" s="188"/>
      <c r="G99" s="188"/>
      <c r="H99" s="68"/>
    </row>
    <row r="100" spans="2:10">
      <c r="D100" s="188"/>
      <c r="E100" s="188"/>
      <c r="F100" s="188"/>
      <c r="G100" s="188"/>
      <c r="H100" s="68"/>
    </row>
    <row r="101" spans="2:10">
      <c r="D101" s="188"/>
      <c r="E101" s="188"/>
      <c r="F101" s="188"/>
      <c r="G101" s="188"/>
    </row>
    <row r="103" spans="2:10">
      <c r="H103" s="185"/>
      <c r="I103" s="185"/>
      <c r="J103" s="185"/>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100-000000000000}">
          <x14:formula1>
            <xm:f>'C:\Users\B003920\Desktop\[Kopi af alternativ_drivmiddelmodel_3.0_2.xlsm]Sheet1'!#REF!</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48">
    <tabColor rgb="FF002060"/>
    <pageSetUpPr fitToPage="1"/>
  </sheetPr>
  <dimension ref="B1:S97"/>
  <sheetViews>
    <sheetView zoomScale="80" zoomScaleNormal="80" workbookViewId="0">
      <selection activeCell="E43" sqref="E43"/>
    </sheetView>
  </sheetViews>
  <sheetFormatPr defaultColWidth="8.88671875" defaultRowHeight="13.8"/>
  <cols>
    <col min="1" max="1" width="2.88671875" style="65" customWidth="1"/>
    <col min="2" max="2" width="35" style="65" customWidth="1"/>
    <col min="3" max="3" width="18" style="65" customWidth="1"/>
    <col min="4" max="4" width="13.44140625" style="65" customWidth="1"/>
    <col min="5" max="8" width="15.88671875" style="65" customWidth="1"/>
    <col min="9" max="9" width="7.10937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354</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346</v>
      </c>
      <c r="C6" s="77"/>
      <c r="D6" s="77"/>
      <c r="E6" s="77"/>
      <c r="F6" s="77"/>
      <c r="G6" s="77"/>
      <c r="H6" s="77"/>
      <c r="I6" s="77"/>
      <c r="J6" s="77"/>
      <c r="K6" s="77"/>
      <c r="L6" s="77"/>
      <c r="M6" s="77"/>
      <c r="N6" s="74"/>
    </row>
    <row r="7" spans="2:19">
      <c r="B7" s="133" t="s">
        <v>345</v>
      </c>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235</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c r="H21" s="106" t="s">
        <v>99</v>
      </c>
      <c r="I21" s="152"/>
      <c r="J21" s="104"/>
    </row>
    <row r="22" spans="2:14">
      <c r="B22" s="128" t="s">
        <v>100</v>
      </c>
      <c r="C22" s="118"/>
      <c r="D22" s="180"/>
      <c r="E22" s="151"/>
      <c r="F22" s="151"/>
      <c r="G22" s="151"/>
      <c r="H22" s="151"/>
      <c r="I22" s="77"/>
      <c r="J22" s="74"/>
    </row>
    <row r="23" spans="2:14">
      <c r="B23" s="145" t="s">
        <v>101</v>
      </c>
      <c r="C23" s="118" t="s">
        <v>197</v>
      </c>
      <c r="D23" s="1296">
        <f>D76</f>
        <v>0.315</v>
      </c>
      <c r="E23" s="259">
        <f>E76</f>
        <v>0.31</v>
      </c>
      <c r="F23" s="259">
        <f>F76</f>
        <v>0.30199999999999999</v>
      </c>
      <c r="G23" s="259">
        <f>G76</f>
        <v>0.30199999999999999</v>
      </c>
      <c r="H23" s="259"/>
      <c r="I23" s="187"/>
      <c r="J23" s="141"/>
    </row>
    <row r="24" spans="2:14">
      <c r="B24" s="145" t="s">
        <v>102</v>
      </c>
      <c r="C24" s="118" t="s">
        <v>197</v>
      </c>
      <c r="D24" s="1297">
        <f>D23</f>
        <v>0.315</v>
      </c>
      <c r="E24" s="143">
        <f>E23</f>
        <v>0.31</v>
      </c>
      <c r="F24" s="143">
        <f>F23</f>
        <v>0.30199999999999999</v>
      </c>
      <c r="G24" s="143">
        <f>G23</f>
        <v>0.30199999999999999</v>
      </c>
      <c r="H24" s="143"/>
      <c r="I24" s="187"/>
      <c r="J24" s="141"/>
    </row>
    <row r="25" spans="2:14">
      <c r="B25" s="145" t="s">
        <v>344</v>
      </c>
      <c r="C25" s="118" t="s">
        <v>104</v>
      </c>
      <c r="D25" s="144">
        <f>D79</f>
        <v>6857.4514038876878</v>
      </c>
      <c r="E25" s="143">
        <f>E79</f>
        <v>5656.1860408671937</v>
      </c>
      <c r="F25" s="143">
        <f>F79</f>
        <v>4644.5644242996386</v>
      </c>
      <c r="G25" s="143">
        <f>G79</f>
        <v>4644.5644242996386</v>
      </c>
      <c r="H25" s="143"/>
      <c r="I25" s="187"/>
      <c r="J25" s="141"/>
    </row>
    <row r="26" spans="2:14">
      <c r="B26" s="145" t="s">
        <v>343</v>
      </c>
      <c r="C26" s="118" t="s">
        <v>104</v>
      </c>
      <c r="D26" s="144">
        <f>D25</f>
        <v>6857.4514038876878</v>
      </c>
      <c r="E26" s="144">
        <f>E25</f>
        <v>5656.1860408671937</v>
      </c>
      <c r="F26" s="144">
        <f>F25</f>
        <v>4644.5644242996386</v>
      </c>
      <c r="G26" s="144">
        <f>G25</f>
        <v>4644.5644242996386</v>
      </c>
      <c r="H26" s="143"/>
      <c r="I26" s="187"/>
      <c r="J26" s="141"/>
    </row>
    <row r="27" spans="2:14">
      <c r="B27" s="133" t="s">
        <v>106</v>
      </c>
      <c r="C27" s="118" t="s">
        <v>107</v>
      </c>
      <c r="D27" s="140">
        <v>20</v>
      </c>
      <c r="E27" s="125">
        <v>20</v>
      </c>
      <c r="F27" s="125">
        <v>20</v>
      </c>
      <c r="G27" s="365">
        <v>20</v>
      </c>
      <c r="H27" s="365"/>
      <c r="I27" s="349"/>
      <c r="J27" s="74"/>
    </row>
    <row r="28" spans="2:14">
      <c r="B28" s="133" t="s">
        <v>108</v>
      </c>
      <c r="C28" s="118" t="s">
        <v>109</v>
      </c>
      <c r="D28" s="177"/>
      <c r="E28" s="139"/>
      <c r="F28" s="139"/>
      <c r="G28" s="139"/>
      <c r="H28" s="139"/>
      <c r="I28" s="187"/>
      <c r="J28" s="74"/>
    </row>
    <row r="29" spans="2:14">
      <c r="B29" s="78"/>
      <c r="C29" s="137"/>
      <c r="D29" s="134"/>
      <c r="E29" s="98"/>
      <c r="F29" s="98"/>
      <c r="G29" s="98"/>
      <c r="H29" s="98"/>
      <c r="I29" s="77"/>
      <c r="J29" s="74"/>
    </row>
    <row r="30" spans="2:14">
      <c r="B30" s="128" t="s">
        <v>110</v>
      </c>
      <c r="C30" s="118"/>
      <c r="D30" s="134"/>
      <c r="E30" s="98"/>
      <c r="F30" s="98"/>
      <c r="G30" s="98"/>
      <c r="H30" s="98"/>
      <c r="I30" s="77"/>
      <c r="J30" s="74"/>
    </row>
    <row r="31" spans="2:14">
      <c r="B31" s="133" t="s">
        <v>111</v>
      </c>
      <c r="C31" s="118" t="s">
        <v>15</v>
      </c>
      <c r="D31" s="136">
        <v>537993819.61092901</v>
      </c>
      <c r="E31" s="136">
        <v>537993819.61092901</v>
      </c>
      <c r="F31" s="136">
        <v>537993819.61092901</v>
      </c>
      <c r="G31" s="136">
        <v>537993819.61092901</v>
      </c>
      <c r="H31" s="98">
        <v>2011</v>
      </c>
      <c r="I31" s="79"/>
      <c r="J31" s="74"/>
    </row>
    <row r="32" spans="2:14">
      <c r="B32" s="78" t="s">
        <v>16</v>
      </c>
      <c r="C32" s="118" t="s">
        <v>17</v>
      </c>
      <c r="D32" s="136">
        <v>164.43267784880112</v>
      </c>
      <c r="E32" s="136">
        <v>222.82746911612955</v>
      </c>
      <c r="F32" s="136">
        <v>309.49929447219432</v>
      </c>
      <c r="G32" s="136">
        <v>309.49929447219432</v>
      </c>
      <c r="H32" s="98">
        <v>2011</v>
      </c>
      <c r="I32" s="79"/>
      <c r="J32" s="74"/>
    </row>
    <row r="33" spans="2:11">
      <c r="B33" s="129" t="s">
        <v>18</v>
      </c>
      <c r="C33" s="118" t="s">
        <v>17</v>
      </c>
      <c r="D33" s="136">
        <v>113.43500797078745</v>
      </c>
      <c r="E33" s="136">
        <v>153.71905430221554</v>
      </c>
      <c r="F33" s="136">
        <v>213.51020608986826</v>
      </c>
      <c r="G33" s="136">
        <v>213.51020608986826</v>
      </c>
      <c r="H33" s="98">
        <v>2011</v>
      </c>
      <c r="I33" s="79"/>
      <c r="J33" s="74"/>
    </row>
    <row r="34" spans="2:11">
      <c r="B34" s="129" t="s">
        <v>19</v>
      </c>
      <c r="C34" s="118" t="s">
        <v>17</v>
      </c>
      <c r="D34" s="136">
        <v>49.02256998538023</v>
      </c>
      <c r="E34" s="136">
        <v>66.43189992596858</v>
      </c>
      <c r="F34" s="136">
        <v>92.271506018045343</v>
      </c>
      <c r="G34" s="136">
        <v>92.271506018045343</v>
      </c>
      <c r="H34" s="98">
        <v>2011</v>
      </c>
      <c r="I34" s="79"/>
      <c r="J34" s="74"/>
    </row>
    <row r="35" spans="2:11">
      <c r="B35" s="129"/>
      <c r="C35" s="118"/>
      <c r="D35" s="136"/>
      <c r="E35" s="136"/>
      <c r="F35" s="136"/>
      <c r="G35" s="136"/>
      <c r="H35" s="98"/>
      <c r="I35" s="79"/>
      <c r="J35" s="74"/>
    </row>
    <row r="36" spans="2:11">
      <c r="B36" s="129" t="s">
        <v>112</v>
      </c>
      <c r="C36" s="118" t="s">
        <v>17</v>
      </c>
      <c r="D36" s="136">
        <v>0</v>
      </c>
      <c r="E36" s="136">
        <v>0</v>
      </c>
      <c r="F36" s="136">
        <v>0</v>
      </c>
      <c r="G36" s="136">
        <v>0</v>
      </c>
      <c r="H36" s="98">
        <v>2011</v>
      </c>
      <c r="I36" s="79"/>
      <c r="J36" s="74"/>
    </row>
    <row r="37" spans="2:11">
      <c r="B37" s="128"/>
      <c r="C37" s="118"/>
      <c r="D37" s="134"/>
      <c r="E37" s="98"/>
      <c r="F37" s="98"/>
      <c r="G37" s="98"/>
      <c r="H37" s="98"/>
      <c r="I37" s="79"/>
      <c r="J37" s="74"/>
    </row>
    <row r="38" spans="2:11">
      <c r="B38" s="133" t="s">
        <v>111</v>
      </c>
      <c r="C38" s="118" t="s">
        <v>15</v>
      </c>
      <c r="D38" s="176">
        <v>518074999.99999988</v>
      </c>
      <c r="E38" s="132">
        <v>518074999.99999988</v>
      </c>
      <c r="F38" s="132">
        <v>518074999.99999988</v>
      </c>
      <c r="G38" s="132">
        <v>518074999.99999988</v>
      </c>
      <c r="H38" s="370">
        <v>2013</v>
      </c>
      <c r="I38" s="187"/>
      <c r="J38" s="74"/>
    </row>
    <row r="39" spans="2:11">
      <c r="B39" s="78" t="s">
        <v>16</v>
      </c>
      <c r="C39" s="118" t="s">
        <v>17</v>
      </c>
      <c r="D39" s="368">
        <f>SUM(D40:D43)</f>
        <v>155.28901145042221</v>
      </c>
      <c r="E39" s="366">
        <f>SUM(E40:E43)</f>
        <v>210.43662279137132</v>
      </c>
      <c r="F39" s="366">
        <f>SUM(F40:F43)</f>
        <v>292.28885712962676</v>
      </c>
      <c r="G39" s="366">
        <f>SUM(G40:G43)</f>
        <v>292.28885712962676</v>
      </c>
      <c r="H39" s="372">
        <v>2012</v>
      </c>
      <c r="I39" s="187"/>
      <c r="J39" s="74"/>
    </row>
    <row r="40" spans="2:11">
      <c r="B40" s="129" t="s">
        <v>18</v>
      </c>
      <c r="C40" s="118" t="s">
        <v>17</v>
      </c>
      <c r="D40" s="175">
        <f>75.9092887761069*3108.42809075859/D67</f>
        <v>109.23516146889183</v>
      </c>
      <c r="E40" s="126">
        <f>101.234061368785*2563.90407171104/E67</f>
        <v>148.02772105302918</v>
      </c>
      <c r="F40" s="126">
        <f>136.9817926374*2105.34405211331/F67</f>
        <v>205.60515007403518</v>
      </c>
      <c r="G40" s="126">
        <f>136.9817926374*2105.34405211331/G67</f>
        <v>205.60515007403518</v>
      </c>
      <c r="H40" s="130">
        <v>2013</v>
      </c>
      <c r="I40" s="187"/>
      <c r="J40" s="74"/>
    </row>
    <row r="41" spans="2:11">
      <c r="B41" s="129" t="s">
        <v>19</v>
      </c>
      <c r="C41" s="118" t="s">
        <v>17</v>
      </c>
      <c r="D41" s="368">
        <f>32.0035687272277*3108.42809075859/D67</f>
        <v>46.053849981530377</v>
      </c>
      <c r="E41" s="366">
        <f>42.6805637727442*2563.90407171104/E67</f>
        <v>62.408901738342145</v>
      </c>
      <c r="F41" s="366">
        <f>57.7519073848807*2105.34405211331/F67</f>
        <v>86.683707055591611</v>
      </c>
      <c r="G41" s="366">
        <f>57.7519073848807*2105.34405211331/G67</f>
        <v>86.683707055591611</v>
      </c>
      <c r="H41" s="372">
        <v>2011</v>
      </c>
      <c r="I41" s="349"/>
      <c r="J41" s="74"/>
      <c r="K41" s="244"/>
    </row>
    <row r="42" spans="2:11">
      <c r="B42" s="129"/>
      <c r="C42" s="118"/>
      <c r="D42" s="134"/>
      <c r="E42" s="98"/>
      <c r="F42" s="98"/>
      <c r="G42" s="98"/>
      <c r="H42" s="371"/>
      <c r="I42" s="187"/>
      <c r="J42" s="74"/>
    </row>
    <row r="43" spans="2:11">
      <c r="B43" s="129" t="s">
        <v>112</v>
      </c>
      <c r="C43" s="118" t="s">
        <v>17</v>
      </c>
      <c r="D43" s="140"/>
      <c r="E43" s="125"/>
      <c r="F43" s="125"/>
      <c r="G43" s="365"/>
      <c r="H43" s="370">
        <v>2011</v>
      </c>
      <c r="I43" s="187"/>
      <c r="J43" s="74"/>
    </row>
    <row r="44" spans="2:11">
      <c r="B44" s="129"/>
      <c r="C44" s="118"/>
      <c r="D44" s="134"/>
      <c r="E44" s="98"/>
      <c r="F44" s="98"/>
      <c r="G44" s="98"/>
      <c r="H44" s="98"/>
      <c r="I44" s="187"/>
      <c r="J44" s="74"/>
    </row>
    <row r="45" spans="2:11">
      <c r="B45" s="128" t="s">
        <v>113</v>
      </c>
      <c r="C45" s="118"/>
      <c r="D45" s="134"/>
      <c r="E45" s="98"/>
      <c r="F45" s="98"/>
      <c r="G45" s="98"/>
      <c r="H45" s="98"/>
      <c r="I45" s="187"/>
      <c r="J45" s="74"/>
    </row>
    <row r="46" spans="2:11">
      <c r="B46" s="123" t="s">
        <v>30</v>
      </c>
      <c r="C46" s="118"/>
      <c r="D46" s="134"/>
      <c r="E46" s="98"/>
      <c r="F46" s="98"/>
      <c r="G46" s="98"/>
      <c r="H46" s="98"/>
      <c r="I46" s="187"/>
      <c r="J46" s="74"/>
    </row>
    <row r="47" spans="2:11">
      <c r="B47" s="78" t="s">
        <v>20</v>
      </c>
      <c r="C47" s="118" t="s">
        <v>342</v>
      </c>
      <c r="D47" s="363"/>
      <c r="E47" s="362"/>
      <c r="F47" s="362"/>
      <c r="G47" s="362"/>
      <c r="H47" s="362"/>
      <c r="I47" s="187"/>
      <c r="J47" s="119" t="s">
        <v>114</v>
      </c>
    </row>
    <row r="48" spans="2:11">
      <c r="B48" s="78" t="s">
        <v>21</v>
      </c>
      <c r="C48" s="118" t="s">
        <v>342</v>
      </c>
      <c r="D48" s="173">
        <f t="shared" ref="D48:G52" si="0">D82/D$79</f>
        <v>0.14308855291576675</v>
      </c>
      <c r="E48" s="124">
        <f t="shared" si="0"/>
        <v>0.14308855291576675</v>
      </c>
      <c r="F48" s="124">
        <f t="shared" si="0"/>
        <v>0.14308855291576672</v>
      </c>
      <c r="G48" s="124">
        <f t="shared" si="0"/>
        <v>0.14308855291576672</v>
      </c>
      <c r="H48" s="124"/>
      <c r="I48" s="187"/>
      <c r="J48" s="74"/>
    </row>
    <row r="49" spans="2:10">
      <c r="B49" s="78" t="s">
        <v>22</v>
      </c>
      <c r="C49" s="118" t="s">
        <v>342</v>
      </c>
      <c r="D49" s="173">
        <f t="shared" si="0"/>
        <v>0</v>
      </c>
      <c r="E49" s="124">
        <f t="shared" si="0"/>
        <v>0</v>
      </c>
      <c r="F49" s="124">
        <f t="shared" si="0"/>
        <v>0</v>
      </c>
      <c r="G49" s="124">
        <f t="shared" si="0"/>
        <v>0</v>
      </c>
      <c r="H49" s="124"/>
      <c r="I49" s="187"/>
      <c r="J49" s="74"/>
    </row>
    <row r="50" spans="2:10">
      <c r="B50" s="78" t="s">
        <v>23</v>
      </c>
      <c r="C50" s="118" t="s">
        <v>342</v>
      </c>
      <c r="D50" s="173">
        <f t="shared" si="0"/>
        <v>0.11023622047244094</v>
      </c>
      <c r="E50" s="124">
        <f t="shared" si="0"/>
        <v>0.11215635587439164</v>
      </c>
      <c r="F50" s="124">
        <f t="shared" si="0"/>
        <v>0.11196180102375106</v>
      </c>
      <c r="G50" s="124">
        <f t="shared" si="0"/>
        <v>0.11196180102375106</v>
      </c>
      <c r="H50" s="124"/>
      <c r="I50" s="187"/>
      <c r="J50" s="74"/>
    </row>
    <row r="51" spans="2:10">
      <c r="B51" s="78" t="s">
        <v>115</v>
      </c>
      <c r="C51" s="118" t="s">
        <v>342</v>
      </c>
      <c r="D51" s="173">
        <f t="shared" si="0"/>
        <v>7.4684858218409991E-2</v>
      </c>
      <c r="E51" s="124">
        <f t="shared" si="0"/>
        <v>7.4206788151871678E-2</v>
      </c>
      <c r="F51" s="124">
        <f t="shared" si="0"/>
        <v>7.3494728389014802E-2</v>
      </c>
      <c r="G51" s="124">
        <f t="shared" si="0"/>
        <v>7.3494728389014802E-2</v>
      </c>
      <c r="H51" s="124"/>
      <c r="I51" s="187"/>
      <c r="J51" s="74"/>
    </row>
    <row r="52" spans="2:10">
      <c r="B52" s="78" t="s">
        <v>24</v>
      </c>
      <c r="C52" s="118" t="s">
        <v>342</v>
      </c>
      <c r="D52" s="173">
        <f t="shared" si="0"/>
        <v>1.3385826771653547E-2</v>
      </c>
      <c r="E52" s="124">
        <f t="shared" si="0"/>
        <v>1.3385410654540119E-2</v>
      </c>
      <c r="F52" s="124">
        <f t="shared" si="0"/>
        <v>1.3362191314446959E-2</v>
      </c>
      <c r="G52" s="124">
        <f t="shared" si="0"/>
        <v>1.3362191314446959E-2</v>
      </c>
      <c r="H52" s="124"/>
      <c r="I52" s="187"/>
      <c r="J52" s="74"/>
    </row>
    <row r="53" spans="2:10">
      <c r="B53" s="78"/>
      <c r="C53" s="118"/>
      <c r="D53" s="172"/>
      <c r="E53" s="77"/>
      <c r="F53" s="77"/>
      <c r="G53" s="77"/>
      <c r="H53" s="77"/>
      <c r="I53" s="187"/>
      <c r="J53" s="74"/>
    </row>
    <row r="54" spans="2:10">
      <c r="B54" s="123" t="s">
        <v>31</v>
      </c>
      <c r="C54" s="118"/>
      <c r="D54" s="134"/>
      <c r="E54" s="98"/>
      <c r="F54" s="98"/>
      <c r="G54" s="98"/>
      <c r="H54" s="98"/>
      <c r="I54" s="187"/>
      <c r="J54" s="74"/>
    </row>
    <row r="55" spans="2:10">
      <c r="B55" s="78" t="s">
        <v>20</v>
      </c>
      <c r="C55" s="118" t="s">
        <v>342</v>
      </c>
      <c r="D55" s="363"/>
      <c r="E55" s="362"/>
      <c r="F55" s="362"/>
      <c r="G55" s="362"/>
      <c r="H55" s="362"/>
      <c r="I55" s="187"/>
      <c r="J55" s="119" t="s">
        <v>114</v>
      </c>
    </row>
    <row r="56" spans="2:10">
      <c r="B56" s="78" t="s">
        <v>21</v>
      </c>
      <c r="C56" s="118" t="s">
        <v>342</v>
      </c>
      <c r="D56" s="170">
        <f t="shared" ref="D56:G60" si="1">D48</f>
        <v>0.14308855291576675</v>
      </c>
      <c r="E56" s="117">
        <f t="shared" si="1"/>
        <v>0.14308855291576675</v>
      </c>
      <c r="F56" s="117">
        <f t="shared" si="1"/>
        <v>0.14308855291576672</v>
      </c>
      <c r="G56" s="117">
        <f t="shared" si="1"/>
        <v>0.14308855291576672</v>
      </c>
      <c r="H56" s="117"/>
      <c r="I56" s="187"/>
      <c r="J56" s="74"/>
    </row>
    <row r="57" spans="2:10">
      <c r="B57" s="78" t="s">
        <v>22</v>
      </c>
      <c r="C57" s="118" t="s">
        <v>342</v>
      </c>
      <c r="D57" s="170">
        <f t="shared" si="1"/>
        <v>0</v>
      </c>
      <c r="E57" s="117">
        <f t="shared" si="1"/>
        <v>0</v>
      </c>
      <c r="F57" s="117">
        <f t="shared" si="1"/>
        <v>0</v>
      </c>
      <c r="G57" s="117">
        <f t="shared" si="1"/>
        <v>0</v>
      </c>
      <c r="H57" s="117"/>
      <c r="I57" s="187"/>
      <c r="J57" s="74"/>
    </row>
    <row r="58" spans="2:10">
      <c r="B58" s="78" t="s">
        <v>23</v>
      </c>
      <c r="C58" s="118" t="s">
        <v>342</v>
      </c>
      <c r="D58" s="170">
        <f t="shared" si="1"/>
        <v>0.11023622047244094</v>
      </c>
      <c r="E58" s="117">
        <f t="shared" si="1"/>
        <v>0.11215635587439164</v>
      </c>
      <c r="F58" s="117">
        <f t="shared" si="1"/>
        <v>0.11196180102375106</v>
      </c>
      <c r="G58" s="117">
        <f t="shared" si="1"/>
        <v>0.11196180102375106</v>
      </c>
      <c r="H58" s="117"/>
      <c r="I58" s="187"/>
      <c r="J58" s="74"/>
    </row>
    <row r="59" spans="2:10">
      <c r="B59" s="78" t="s">
        <v>115</v>
      </c>
      <c r="C59" s="118" t="s">
        <v>342</v>
      </c>
      <c r="D59" s="170">
        <f t="shared" si="1"/>
        <v>7.4684858218409991E-2</v>
      </c>
      <c r="E59" s="117">
        <f t="shared" si="1"/>
        <v>7.4206788151871678E-2</v>
      </c>
      <c r="F59" s="117">
        <f t="shared" si="1"/>
        <v>7.3494728389014802E-2</v>
      </c>
      <c r="G59" s="117">
        <f t="shared" si="1"/>
        <v>7.3494728389014802E-2</v>
      </c>
      <c r="H59" s="117"/>
      <c r="I59" s="187"/>
      <c r="J59" s="74"/>
    </row>
    <row r="60" spans="2:10">
      <c r="B60" s="78" t="s">
        <v>24</v>
      </c>
      <c r="C60" s="118" t="s">
        <v>342</v>
      </c>
      <c r="D60" s="170">
        <f t="shared" si="1"/>
        <v>1.3385826771653547E-2</v>
      </c>
      <c r="E60" s="117">
        <f t="shared" si="1"/>
        <v>1.3385410654540119E-2</v>
      </c>
      <c r="F60" s="117">
        <f t="shared" si="1"/>
        <v>1.3362191314446959E-2</v>
      </c>
      <c r="G60" s="117">
        <f t="shared" si="1"/>
        <v>1.3362191314446959E-2</v>
      </c>
      <c r="H60" s="117"/>
      <c r="I60" s="187"/>
      <c r="J60" s="74"/>
    </row>
    <row r="61" spans="2:10" ht="14.4" thickBot="1">
      <c r="B61" s="115"/>
      <c r="C61" s="114"/>
      <c r="D61" s="169"/>
      <c r="E61" s="72"/>
      <c r="F61" s="72"/>
      <c r="G61" s="72"/>
      <c r="H61" s="72"/>
      <c r="I61" s="193"/>
      <c r="J61" s="90"/>
    </row>
    <row r="64" spans="2:10" ht="16.2" thickBot="1">
      <c r="B64" s="89" t="s">
        <v>116</v>
      </c>
    </row>
    <row r="65" spans="2:12">
      <c r="B65" s="88"/>
      <c r="C65" s="110"/>
      <c r="D65" s="168"/>
      <c r="E65" s="85"/>
      <c r="F65" s="85"/>
      <c r="G65" s="85"/>
      <c r="H65" s="85"/>
      <c r="I65" s="85" t="s">
        <v>96</v>
      </c>
      <c r="J65" s="83" t="s">
        <v>97</v>
      </c>
    </row>
    <row r="66" spans="2:12">
      <c r="B66" s="109"/>
      <c r="C66" s="108" t="s">
        <v>98</v>
      </c>
      <c r="D66" s="107">
        <v>2015</v>
      </c>
      <c r="E66" s="106">
        <v>2020</v>
      </c>
      <c r="F66" s="106">
        <v>2035</v>
      </c>
      <c r="G66" s="106"/>
      <c r="H66" s="106"/>
      <c r="I66" s="152"/>
      <c r="J66" s="104"/>
    </row>
    <row r="67" spans="2:12">
      <c r="B67" s="78" t="s">
        <v>341</v>
      </c>
      <c r="C67" s="95" t="s">
        <v>151</v>
      </c>
      <c r="D67" s="179">
        <f>D23*D79</f>
        <v>2160.0971922246217</v>
      </c>
      <c r="E67" s="359">
        <f>E23*E79</f>
        <v>1753.4176726688299</v>
      </c>
      <c r="F67" s="359">
        <f>F23*F79</f>
        <v>1402.6584561384909</v>
      </c>
      <c r="G67" s="359">
        <f>G23*G79</f>
        <v>1402.6584561384909</v>
      </c>
      <c r="H67" s="359"/>
      <c r="I67" s="77"/>
      <c r="J67" s="74"/>
    </row>
    <row r="68" spans="2:12">
      <c r="B68" s="78" t="s">
        <v>337</v>
      </c>
      <c r="C68" s="95" t="s">
        <v>339</v>
      </c>
      <c r="D68" s="134">
        <v>11500</v>
      </c>
      <c r="E68" s="98">
        <v>11500</v>
      </c>
      <c r="F68" s="98">
        <v>11500</v>
      </c>
      <c r="G68" s="98">
        <v>11500</v>
      </c>
      <c r="H68" s="98">
        <v>2011</v>
      </c>
      <c r="I68" s="349"/>
    </row>
    <row r="69" spans="2:12">
      <c r="B69" s="78" t="s">
        <v>337</v>
      </c>
      <c r="C69" s="95" t="s">
        <v>336</v>
      </c>
      <c r="D69" s="356">
        <f>D68/(D74*24)/D72</f>
        <v>34.761967330398598</v>
      </c>
      <c r="E69" s="355">
        <f>E68/(E74*24)/E72</f>
        <v>38.238164063438454</v>
      </c>
      <c r="F69" s="355">
        <f>F68/(F74*24)/F72</f>
        <v>42.486848959376061</v>
      </c>
      <c r="G69" s="355">
        <f>G68/(G74*24)/G72</f>
        <v>42.486848959376061</v>
      </c>
      <c r="H69" s="178"/>
      <c r="I69" s="77"/>
      <c r="J69" s="74"/>
    </row>
    <row r="70" spans="2:12">
      <c r="B70" s="78" t="s">
        <v>334</v>
      </c>
      <c r="C70" s="95" t="s">
        <v>333</v>
      </c>
      <c r="D70" s="356">
        <f>85000000*1.15</f>
        <v>97749999.999999985</v>
      </c>
      <c r="E70" s="355">
        <f>85000000*1.15</f>
        <v>97749999.999999985</v>
      </c>
      <c r="F70" s="355">
        <f>85000000*1.15</f>
        <v>97749999.999999985</v>
      </c>
      <c r="G70" s="355">
        <f>85000000*1.15</f>
        <v>97749999.999999985</v>
      </c>
      <c r="H70" s="358">
        <v>2013</v>
      </c>
      <c r="I70" s="77"/>
      <c r="J70" s="74" t="s">
        <v>353</v>
      </c>
    </row>
    <row r="71" spans="2:12">
      <c r="B71" s="78" t="s">
        <v>331</v>
      </c>
      <c r="C71" s="95" t="s">
        <v>26</v>
      </c>
      <c r="D71" s="356">
        <v>0.08</v>
      </c>
      <c r="E71" s="355">
        <v>0.08</v>
      </c>
      <c r="F71" s="355">
        <v>0.08</v>
      </c>
      <c r="G71" s="355">
        <v>0.08</v>
      </c>
      <c r="H71" s="357"/>
      <c r="I71" s="77" t="s">
        <v>655</v>
      </c>
      <c r="J71" s="74"/>
    </row>
    <row r="72" spans="2:12">
      <c r="B72" s="78" t="s">
        <v>330</v>
      </c>
      <c r="C72" s="95" t="s">
        <v>329</v>
      </c>
      <c r="D72" s="356">
        <f>(24.1/37.9*4+24.1/40.9)/5</f>
        <v>0.62655553476850034</v>
      </c>
      <c r="E72" s="355">
        <f>(24.1/37.9*4+24.1/40.9)/5</f>
        <v>0.62655553476850034</v>
      </c>
      <c r="F72" s="355">
        <f>(24.1/37.9*4+24.1/40.9)/5</f>
        <v>0.62655553476850034</v>
      </c>
      <c r="G72" s="355">
        <f>(24.1/37.9*4+24.1/40.9)/5</f>
        <v>0.62655553476850034</v>
      </c>
      <c r="H72" s="178"/>
      <c r="I72" s="77" t="s">
        <v>655</v>
      </c>
      <c r="J72" s="74"/>
    </row>
    <row r="73" spans="2:12">
      <c r="B73" s="78" t="s">
        <v>328</v>
      </c>
      <c r="C73" s="95" t="s">
        <v>327</v>
      </c>
      <c r="D73" s="356">
        <f>((D70*D71)/(1-(1+D71)^-D27))/(365*24*D74*D72)</f>
        <v>82.451936501189081</v>
      </c>
      <c r="E73" s="355">
        <f>((E70*E71)/(1-(1+E71)^-E27))/(365*24*E74*E72)</f>
        <v>90.697130151307988</v>
      </c>
      <c r="F73" s="355">
        <f>((F70*F71)/(1-(1+F71)^-F27))/(365*24*F74*F72)</f>
        <v>100.77458905700888</v>
      </c>
      <c r="G73" s="355">
        <f>((G70*G71)/(1-(1+G71)^-G27))/(365*24*G74*G72)</f>
        <v>100.77458905700888</v>
      </c>
      <c r="H73" s="178"/>
      <c r="I73" s="77"/>
      <c r="J73" s="74"/>
    </row>
    <row r="74" spans="2:12">
      <c r="B74" s="78" t="s">
        <v>326</v>
      </c>
      <c r="C74" s="95" t="s">
        <v>325</v>
      </c>
      <c r="D74" s="134">
        <v>22</v>
      </c>
      <c r="E74" s="98">
        <v>20</v>
      </c>
      <c r="F74" s="98">
        <v>18</v>
      </c>
      <c r="G74" s="98">
        <v>18</v>
      </c>
      <c r="H74" s="98"/>
      <c r="I74" s="77"/>
      <c r="J74" s="74" t="s">
        <v>352</v>
      </c>
    </row>
    <row r="75" spans="2:12">
      <c r="B75" s="78" t="s">
        <v>322</v>
      </c>
      <c r="C75" s="95" t="s">
        <v>321</v>
      </c>
      <c r="D75" s="96">
        <v>1.8520000000000001</v>
      </c>
      <c r="E75" s="92">
        <v>1.8520000000000001</v>
      </c>
      <c r="F75" s="92">
        <v>1.8520000000000001</v>
      </c>
      <c r="G75" s="92">
        <v>1.8520000000000001</v>
      </c>
      <c r="H75" s="92"/>
      <c r="I75" s="349"/>
      <c r="J75" s="74"/>
    </row>
    <row r="76" spans="2:12" ht="14.4" thickBot="1">
      <c r="B76" s="73" t="s">
        <v>319</v>
      </c>
      <c r="C76" s="72" t="s">
        <v>318</v>
      </c>
      <c r="D76" s="354">
        <v>0.315</v>
      </c>
      <c r="E76" s="353">
        <v>0.31</v>
      </c>
      <c r="F76" s="353">
        <v>0.30199999999999999</v>
      </c>
      <c r="G76" s="353">
        <v>0.30199999999999999</v>
      </c>
      <c r="H76" s="353"/>
      <c r="I76" s="72" t="s">
        <v>656</v>
      </c>
      <c r="J76" s="90"/>
      <c r="L76" s="188"/>
    </row>
    <row r="78" spans="2:12" ht="16.2" thickBot="1">
      <c r="B78" s="89" t="s">
        <v>125</v>
      </c>
    </row>
    <row r="79" spans="2:12">
      <c r="B79" s="88" t="s">
        <v>317</v>
      </c>
      <c r="C79" s="85" t="s">
        <v>151</v>
      </c>
      <c r="D79" s="352">
        <f>D89/D$75*1000</f>
        <v>6857.4514038876878</v>
      </c>
      <c r="E79" s="352">
        <f>E89/E$75*1000</f>
        <v>5656.1860408671937</v>
      </c>
      <c r="F79" s="352">
        <f>F89/F$75*1000</f>
        <v>4644.5644242996386</v>
      </c>
      <c r="G79" s="352">
        <f>G89/G$75*1000</f>
        <v>4644.5644242996386</v>
      </c>
      <c r="H79" s="352"/>
      <c r="I79" s="351"/>
      <c r="J79" s="83"/>
    </row>
    <row r="80" spans="2:12">
      <c r="B80" s="78"/>
      <c r="C80" s="77"/>
      <c r="D80" s="77"/>
      <c r="E80" s="77"/>
      <c r="F80" s="77"/>
      <c r="G80" s="77"/>
      <c r="H80" s="77"/>
      <c r="I80" s="77"/>
      <c r="J80" s="74"/>
    </row>
    <row r="81" spans="2:10">
      <c r="B81" s="78" t="s">
        <v>20</v>
      </c>
      <c r="C81" s="77" t="s">
        <v>27</v>
      </c>
      <c r="D81" s="80">
        <f t="shared" ref="D81:G86" si="2">D91/D$75*1000</f>
        <v>0</v>
      </c>
      <c r="E81" s="80">
        <f t="shared" si="2"/>
        <v>0</v>
      </c>
      <c r="F81" s="80">
        <f t="shared" si="2"/>
        <v>0</v>
      </c>
      <c r="G81" s="80">
        <f t="shared" si="2"/>
        <v>0</v>
      </c>
      <c r="H81" s="80"/>
      <c r="I81" s="77"/>
      <c r="J81" s="74"/>
    </row>
    <row r="82" spans="2:10">
      <c r="B82" s="78" t="s">
        <v>21</v>
      </c>
      <c r="C82" s="77" t="s">
        <v>27</v>
      </c>
      <c r="D82" s="80">
        <f t="shared" si="2"/>
        <v>981.22279807248231</v>
      </c>
      <c r="E82" s="80">
        <f t="shared" si="2"/>
        <v>809.33547561004661</v>
      </c>
      <c r="F82" s="80">
        <f t="shared" si="2"/>
        <v>664.58400239708646</v>
      </c>
      <c r="G82" s="80">
        <f t="shared" si="2"/>
        <v>664.58400239708646</v>
      </c>
      <c r="H82" s="80"/>
      <c r="I82" s="349"/>
      <c r="J82" s="74"/>
    </row>
    <row r="83" spans="2:10">
      <c r="B83" s="78" t="s">
        <v>22</v>
      </c>
      <c r="C83" s="77" t="s">
        <v>27</v>
      </c>
      <c r="D83" s="80">
        <f t="shared" si="2"/>
        <v>0</v>
      </c>
      <c r="E83" s="80">
        <f t="shared" si="2"/>
        <v>0</v>
      </c>
      <c r="F83" s="80">
        <f t="shared" si="2"/>
        <v>0</v>
      </c>
      <c r="G83" s="80">
        <f t="shared" si="2"/>
        <v>0</v>
      </c>
      <c r="H83" s="80"/>
      <c r="I83" s="349"/>
      <c r="J83" s="74"/>
    </row>
    <row r="84" spans="2:10">
      <c r="B84" s="78" t="s">
        <v>23</v>
      </c>
      <c r="C84" s="77" t="s">
        <v>27</v>
      </c>
      <c r="D84" s="80">
        <f t="shared" si="2"/>
        <v>755.93952483801286</v>
      </c>
      <c r="E84" s="80">
        <f t="shared" si="2"/>
        <v>634.3772144912673</v>
      </c>
      <c r="F84" s="80">
        <f t="shared" si="2"/>
        <v>520.013797915429</v>
      </c>
      <c r="G84" s="80">
        <f t="shared" si="2"/>
        <v>520.013797915429</v>
      </c>
      <c r="H84" s="80"/>
      <c r="I84" s="349"/>
      <c r="J84" s="74"/>
    </row>
    <row r="85" spans="2:10">
      <c r="B85" s="78" t="s">
        <v>115</v>
      </c>
      <c r="C85" s="77" t="s">
        <v>27</v>
      </c>
      <c r="D85" s="80">
        <f t="shared" si="2"/>
        <v>512.14778583898851</v>
      </c>
      <c r="E85" s="80">
        <f t="shared" si="2"/>
        <v>419.72739928220568</v>
      </c>
      <c r="F85" s="80">
        <f t="shared" si="2"/>
        <v>341.35100084918287</v>
      </c>
      <c r="G85" s="80">
        <f t="shared" si="2"/>
        <v>341.35100084918287</v>
      </c>
      <c r="H85" s="80"/>
      <c r="I85" s="349"/>
      <c r="J85" s="74"/>
    </row>
    <row r="86" spans="2:10">
      <c r="B86" s="78" t="s">
        <v>24</v>
      </c>
      <c r="C86" s="77" t="s">
        <v>27</v>
      </c>
      <c r="D86" s="80">
        <f t="shared" si="2"/>
        <v>91.792656587473004</v>
      </c>
      <c r="E86" s="80">
        <f t="shared" si="2"/>
        <v>75.710372895484824</v>
      </c>
      <c r="F86" s="80">
        <f t="shared" si="2"/>
        <v>62.061558409765972</v>
      </c>
      <c r="G86" s="80">
        <f t="shared" si="2"/>
        <v>62.061558409765972</v>
      </c>
      <c r="H86" s="80"/>
      <c r="I86" s="349"/>
      <c r="J86" s="74"/>
    </row>
    <row r="87" spans="2:10" ht="14.4" thickBot="1">
      <c r="B87" s="73"/>
      <c r="C87" s="72"/>
      <c r="D87" s="72"/>
      <c r="E87" s="72"/>
      <c r="F87" s="72"/>
      <c r="G87" s="72"/>
      <c r="H87" s="72"/>
      <c r="I87" s="72"/>
      <c r="J87" s="90"/>
    </row>
    <row r="88" spans="2:10" ht="14.4" thickBot="1"/>
    <row r="89" spans="2:10">
      <c r="B89" s="88" t="s">
        <v>317</v>
      </c>
      <c r="C89" s="85" t="s">
        <v>316</v>
      </c>
      <c r="D89" s="167">
        <v>12.7</v>
      </c>
      <c r="E89" s="167">
        <v>10.475256547686044</v>
      </c>
      <c r="F89" s="167">
        <v>8.6017333138029315</v>
      </c>
      <c r="G89" s="167">
        <v>8.6017333138029315</v>
      </c>
      <c r="H89" s="167"/>
      <c r="I89" s="351" t="s">
        <v>657</v>
      </c>
      <c r="J89" s="83" t="s">
        <v>315</v>
      </c>
    </row>
    <row r="90" spans="2:10">
      <c r="B90" s="78"/>
      <c r="C90" s="77"/>
      <c r="D90" s="77"/>
      <c r="E90" s="77"/>
      <c r="F90" s="77"/>
      <c r="G90" s="77"/>
      <c r="H90" s="77"/>
      <c r="I90" s="77"/>
      <c r="J90" s="74"/>
    </row>
    <row r="91" spans="2:10">
      <c r="B91" s="78" t="s">
        <v>20</v>
      </c>
      <c r="C91" s="77" t="s">
        <v>312</v>
      </c>
      <c r="D91" s="80"/>
      <c r="E91" s="80"/>
      <c r="F91" s="80"/>
      <c r="G91" s="80"/>
      <c r="H91" s="80"/>
      <c r="I91" s="77"/>
      <c r="J91" s="74"/>
    </row>
    <row r="92" spans="2:10">
      <c r="B92" s="78" t="s">
        <v>21</v>
      </c>
      <c r="C92" s="77" t="s">
        <v>312</v>
      </c>
      <c r="D92" s="350">
        <f>(0.17+0.36)/2/1000*D79</f>
        <v>1.8172246220302373</v>
      </c>
      <c r="E92" s="350">
        <f>(0.17+0.36)/2/1000*E79</f>
        <v>1.4988893008298063</v>
      </c>
      <c r="F92" s="350">
        <f>(0.17+0.36)/2/1000*F79</f>
        <v>1.2308095724394041</v>
      </c>
      <c r="G92" s="350">
        <f>(0.17+0.36)/2/1000*G79</f>
        <v>1.2308095724394041</v>
      </c>
      <c r="H92" s="350"/>
      <c r="I92" s="349" t="s">
        <v>658</v>
      </c>
      <c r="J92" s="74"/>
    </row>
    <row r="93" spans="2:10">
      <c r="B93" s="78" t="s">
        <v>22</v>
      </c>
      <c r="C93" s="77" t="s">
        <v>312</v>
      </c>
      <c r="D93" s="350"/>
      <c r="E93" s="350"/>
      <c r="F93" s="350"/>
      <c r="G93" s="350"/>
      <c r="H93" s="350"/>
      <c r="I93" s="349"/>
      <c r="J93" s="74"/>
    </row>
    <row r="94" spans="2:10">
      <c r="B94" s="78" t="s">
        <v>23</v>
      </c>
      <c r="C94" s="77" t="s">
        <v>312</v>
      </c>
      <c r="D94" s="350">
        <v>1.4</v>
      </c>
      <c r="E94" s="350">
        <v>1.174866601237827</v>
      </c>
      <c r="F94" s="350">
        <v>0.96306555373937464</v>
      </c>
      <c r="G94" s="350">
        <v>0.96306555373937464</v>
      </c>
      <c r="H94" s="350"/>
      <c r="I94" s="349" t="s">
        <v>657</v>
      </c>
      <c r="J94" s="74" t="s">
        <v>314</v>
      </c>
    </row>
    <row r="95" spans="2:10">
      <c r="B95" s="78" t="s">
        <v>115</v>
      </c>
      <c r="C95" s="77" t="s">
        <v>312</v>
      </c>
      <c r="D95" s="350">
        <f>5.69098619624284/6</f>
        <v>0.94849769937380668</v>
      </c>
      <c r="E95" s="350">
        <f>4.66401086082387/6</f>
        <v>0.77733514347064503</v>
      </c>
      <c r="F95" s="350">
        <f>3.79309232143612/6</f>
        <v>0.63218205357268664</v>
      </c>
      <c r="G95" s="350">
        <f>3.79309232143612/6</f>
        <v>0.63218205357268664</v>
      </c>
      <c r="H95" s="350"/>
      <c r="I95" s="349" t="s">
        <v>658</v>
      </c>
      <c r="J95" s="74" t="s">
        <v>351</v>
      </c>
    </row>
    <row r="96" spans="2:10">
      <c r="B96" s="78" t="s">
        <v>24</v>
      </c>
      <c r="C96" s="77" t="s">
        <v>312</v>
      </c>
      <c r="D96" s="350">
        <v>0.17</v>
      </c>
      <c r="E96" s="350">
        <v>0.1402156106024379</v>
      </c>
      <c r="F96" s="350">
        <v>0.11493800617488659</v>
      </c>
      <c r="G96" s="350">
        <v>0.11493800617488659</v>
      </c>
      <c r="H96" s="350"/>
      <c r="I96" s="349" t="s">
        <v>657</v>
      </c>
      <c r="J96" s="74" t="s">
        <v>311</v>
      </c>
    </row>
    <row r="97" spans="2:10" ht="14.4" thickBot="1">
      <c r="B97" s="73"/>
      <c r="C97" s="72"/>
      <c r="D97" s="72"/>
      <c r="E97" s="72"/>
      <c r="F97" s="72"/>
      <c r="G97" s="72"/>
      <c r="H97" s="72"/>
      <c r="I97" s="72"/>
      <c r="J97" s="90"/>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'C:\Users\B003920\Desktop\[Kopi af alternativ_drivmiddelmodel_3.0_2.xlsm]Sheet1'!#REF!</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1">
    <tabColor rgb="FF002060"/>
    <pageSetUpPr fitToPage="1"/>
  </sheetPr>
  <dimension ref="B1:S101"/>
  <sheetViews>
    <sheetView topLeftCell="A87" zoomScale="80" zoomScaleNormal="80" workbookViewId="0">
      <selection activeCell="E95" sqref="E95"/>
    </sheetView>
  </sheetViews>
  <sheetFormatPr defaultColWidth="8.88671875" defaultRowHeight="13.8"/>
  <cols>
    <col min="1" max="1" width="2.88671875" style="65" customWidth="1"/>
    <col min="2" max="2" width="35" style="65" customWidth="1"/>
    <col min="3" max="3" width="18" style="65" customWidth="1"/>
    <col min="4" max="4" width="13.44140625" style="65" customWidth="1"/>
    <col min="5" max="8" width="15.88671875" style="65" customWidth="1"/>
    <col min="9" max="9" width="9.664062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347</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367</v>
      </c>
      <c r="C6" s="77"/>
      <c r="D6" s="77"/>
      <c r="E6" s="77"/>
      <c r="F6" s="77"/>
      <c r="G6" s="77"/>
      <c r="H6" s="77"/>
      <c r="I6" s="77"/>
      <c r="J6" s="77"/>
      <c r="K6" s="77"/>
      <c r="L6" s="77"/>
      <c r="M6" s="77"/>
      <c r="N6" s="74"/>
    </row>
    <row r="7" spans="2:19">
      <c r="B7" s="133"/>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c r="H21" s="106" t="s">
        <v>99</v>
      </c>
      <c r="I21" s="152"/>
      <c r="J21" s="104"/>
    </row>
    <row r="22" spans="2:14">
      <c r="B22" s="128" t="s">
        <v>100</v>
      </c>
      <c r="C22" s="118"/>
      <c r="D22" s="180"/>
      <c r="E22" s="151"/>
      <c r="F22" s="151"/>
      <c r="G22" s="151"/>
      <c r="H22" s="151"/>
      <c r="I22" s="77"/>
      <c r="J22" s="74"/>
    </row>
    <row r="23" spans="2:14">
      <c r="B23" s="145" t="s">
        <v>101</v>
      </c>
      <c r="C23" s="118" t="s">
        <v>197</v>
      </c>
      <c r="D23" s="179">
        <f>D77</f>
        <v>0.40147206423553028</v>
      </c>
      <c r="E23" s="259">
        <f>E77</f>
        <v>0.40147206423553028</v>
      </c>
      <c r="F23" s="259">
        <f>F77</f>
        <v>0.40147206423553028</v>
      </c>
      <c r="G23" s="259">
        <f>G77</f>
        <v>0.40147206423553028</v>
      </c>
      <c r="H23" s="147"/>
      <c r="I23" s="187"/>
      <c r="J23" s="141"/>
    </row>
    <row r="24" spans="2:14">
      <c r="B24" s="145" t="s">
        <v>102</v>
      </c>
      <c r="C24" s="118" t="s">
        <v>197</v>
      </c>
      <c r="D24" s="144">
        <f>D23</f>
        <v>0.40147206423553028</v>
      </c>
      <c r="E24" s="143">
        <f>E23</f>
        <v>0.40147206423553028</v>
      </c>
      <c r="F24" s="143">
        <f>F23</f>
        <v>0.40147206423553028</v>
      </c>
      <c r="G24" s="143">
        <f>G23</f>
        <v>0.40147206423553028</v>
      </c>
      <c r="H24" s="147"/>
      <c r="I24" s="187"/>
      <c r="J24" s="141"/>
    </row>
    <row r="25" spans="2:14">
      <c r="B25" s="145" t="s">
        <v>344</v>
      </c>
      <c r="C25" s="118" t="s">
        <v>104</v>
      </c>
      <c r="D25" s="144">
        <f>D80</f>
        <v>4232.181425485961</v>
      </c>
      <c r="E25" s="143">
        <f>E80</f>
        <v>4232.181425485961</v>
      </c>
      <c r="F25" s="143">
        <f>F80</f>
        <v>4232.181425485961</v>
      </c>
      <c r="G25" s="143">
        <f>G80</f>
        <v>4232.181425485961</v>
      </c>
      <c r="H25" s="142"/>
      <c r="I25" s="187"/>
      <c r="J25" s="141"/>
    </row>
    <row r="26" spans="2:14">
      <c r="B26" s="145" t="s">
        <v>343</v>
      </c>
      <c r="C26" s="118" t="s">
        <v>104</v>
      </c>
      <c r="D26" s="144"/>
      <c r="E26" s="143"/>
      <c r="F26" s="143"/>
      <c r="G26" s="143"/>
      <c r="H26" s="142"/>
      <c r="I26" s="187"/>
      <c r="J26" s="141"/>
    </row>
    <row r="27" spans="2:14">
      <c r="B27" s="133" t="s">
        <v>106</v>
      </c>
      <c r="C27" s="118" t="s">
        <v>107</v>
      </c>
      <c r="D27" s="140"/>
      <c r="E27" s="125"/>
      <c r="F27" s="125"/>
      <c r="G27" s="365"/>
      <c r="H27" s="125"/>
      <c r="I27" s="349"/>
      <c r="J27" s="74"/>
    </row>
    <row r="28" spans="2:14">
      <c r="B28" s="133" t="s">
        <v>108</v>
      </c>
      <c r="C28" s="118" t="s">
        <v>109</v>
      </c>
      <c r="D28" s="177"/>
      <c r="E28" s="139"/>
      <c r="F28" s="139"/>
      <c r="G28" s="139"/>
      <c r="H28" s="138"/>
      <c r="I28" s="187"/>
      <c r="J28" s="74"/>
    </row>
    <row r="29" spans="2:14">
      <c r="B29" s="78"/>
      <c r="C29" s="137"/>
      <c r="D29" s="134"/>
      <c r="E29" s="98"/>
      <c r="F29" s="98"/>
      <c r="G29" s="98"/>
      <c r="H29" s="98"/>
      <c r="I29" s="77"/>
      <c r="J29" s="74"/>
    </row>
    <row r="30" spans="2:14">
      <c r="B30" s="128" t="s">
        <v>110</v>
      </c>
      <c r="C30" s="118"/>
      <c r="D30" s="134"/>
      <c r="E30" s="98"/>
      <c r="F30" s="98"/>
      <c r="G30" s="98"/>
      <c r="H30" s="98"/>
      <c r="I30" s="77"/>
      <c r="J30" s="74"/>
    </row>
    <row r="31" spans="2:14">
      <c r="B31" s="133" t="s">
        <v>111</v>
      </c>
      <c r="C31" s="118" t="s">
        <v>15</v>
      </c>
      <c r="D31" s="136">
        <v>0</v>
      </c>
      <c r="E31" s="136">
        <v>0</v>
      </c>
      <c r="F31" s="136">
        <v>0</v>
      </c>
      <c r="G31" s="136">
        <v>0</v>
      </c>
      <c r="H31" s="135">
        <v>2011</v>
      </c>
      <c r="I31" s="79"/>
      <c r="J31" s="74"/>
    </row>
    <row r="32" spans="2:14">
      <c r="B32" s="78" t="s">
        <v>16</v>
      </c>
      <c r="C32" s="118" t="s">
        <v>17</v>
      </c>
      <c r="D32" s="136">
        <v>0</v>
      </c>
      <c r="E32" s="136">
        <v>0</v>
      </c>
      <c r="F32" s="136">
        <v>0</v>
      </c>
      <c r="G32" s="136">
        <v>0</v>
      </c>
      <c r="H32" s="135">
        <v>2011</v>
      </c>
      <c r="I32" s="79"/>
      <c r="J32" s="74"/>
    </row>
    <row r="33" spans="2:13">
      <c r="B33" s="129" t="s">
        <v>18</v>
      </c>
      <c r="C33" s="118" t="s">
        <v>17</v>
      </c>
      <c r="D33" s="136">
        <v>0</v>
      </c>
      <c r="E33" s="136">
        <v>0</v>
      </c>
      <c r="F33" s="136">
        <v>0</v>
      </c>
      <c r="G33" s="136">
        <v>0</v>
      </c>
      <c r="H33" s="135">
        <v>2011</v>
      </c>
      <c r="I33" s="79"/>
      <c r="J33" s="74"/>
    </row>
    <row r="34" spans="2:13">
      <c r="B34" s="129" t="s">
        <v>19</v>
      </c>
      <c r="C34" s="118" t="s">
        <v>17</v>
      </c>
      <c r="D34" s="136">
        <v>0</v>
      </c>
      <c r="E34" s="136">
        <v>0</v>
      </c>
      <c r="F34" s="136">
        <v>0</v>
      </c>
      <c r="G34" s="136">
        <v>0</v>
      </c>
      <c r="H34" s="135">
        <v>2011</v>
      </c>
      <c r="I34" s="79"/>
      <c r="J34" s="74"/>
    </row>
    <row r="35" spans="2:13">
      <c r="B35" s="129"/>
      <c r="C35" s="118"/>
      <c r="D35" s="136"/>
      <c r="E35" s="136"/>
      <c r="F35" s="136"/>
      <c r="G35" s="136"/>
      <c r="H35" s="135"/>
      <c r="I35" s="79"/>
      <c r="J35" s="74"/>
    </row>
    <row r="36" spans="2:13">
      <c r="B36" s="129" t="s">
        <v>112</v>
      </c>
      <c r="C36" s="118" t="s">
        <v>17</v>
      </c>
      <c r="D36" s="136">
        <v>0</v>
      </c>
      <c r="E36" s="136">
        <v>0</v>
      </c>
      <c r="F36" s="136">
        <v>0</v>
      </c>
      <c r="G36" s="136">
        <v>0</v>
      </c>
      <c r="H36" s="135">
        <v>2011</v>
      </c>
      <c r="I36" s="79"/>
      <c r="J36" s="74"/>
    </row>
    <row r="37" spans="2:13">
      <c r="B37" s="128"/>
      <c r="C37" s="118"/>
      <c r="D37" s="134"/>
      <c r="E37" s="98"/>
      <c r="F37" s="98"/>
      <c r="G37" s="98"/>
      <c r="H37" s="98"/>
      <c r="I37" s="79"/>
      <c r="J37" s="74"/>
    </row>
    <row r="38" spans="2:13">
      <c r="B38" s="133" t="s">
        <v>111</v>
      </c>
      <c r="C38" s="118" t="s">
        <v>15</v>
      </c>
      <c r="D38" s="176"/>
      <c r="E38" s="127"/>
      <c r="F38" s="127"/>
      <c r="G38" s="365"/>
      <c r="H38" s="130">
        <v>2011</v>
      </c>
      <c r="I38" s="187"/>
      <c r="J38" s="74"/>
    </row>
    <row r="39" spans="2:13">
      <c r="B39" s="78" t="s">
        <v>16</v>
      </c>
      <c r="C39" s="118" t="s">
        <v>17</v>
      </c>
      <c r="D39" s="368">
        <f>SUM(D40:D43)</f>
        <v>0</v>
      </c>
      <c r="E39" s="366">
        <f>SUM(E40:E43)</f>
        <v>0</v>
      </c>
      <c r="F39" s="366">
        <f>SUM(F40:F43)</f>
        <v>0</v>
      </c>
      <c r="G39" s="366">
        <f>SUM(G40:G43)</f>
        <v>0</v>
      </c>
      <c r="H39" s="130">
        <v>2011</v>
      </c>
      <c r="I39" s="187"/>
      <c r="J39" s="74"/>
    </row>
    <row r="40" spans="2:13">
      <c r="B40" s="129" t="s">
        <v>18</v>
      </c>
      <c r="C40" s="118" t="s">
        <v>17</v>
      </c>
      <c r="D40" s="175"/>
      <c r="E40" s="126"/>
      <c r="F40" s="126"/>
      <c r="G40" s="365"/>
      <c r="H40" s="130">
        <v>2011</v>
      </c>
      <c r="I40" s="187"/>
      <c r="J40" s="74"/>
    </row>
    <row r="41" spans="2:13">
      <c r="B41" s="129" t="s">
        <v>19</v>
      </c>
      <c r="C41" s="118" t="s">
        <v>17</v>
      </c>
      <c r="D41" s="368">
        <v>0</v>
      </c>
      <c r="E41" s="366">
        <v>0</v>
      </c>
      <c r="F41" s="366">
        <v>0</v>
      </c>
      <c r="G41" s="366">
        <v>0</v>
      </c>
      <c r="H41" s="130">
        <v>2011</v>
      </c>
      <c r="I41" s="349"/>
      <c r="J41" s="74"/>
      <c r="K41" s="244"/>
    </row>
    <row r="42" spans="2:13">
      <c r="B42" s="129"/>
      <c r="C42" s="118"/>
      <c r="D42" s="134"/>
      <c r="E42" s="98"/>
      <c r="F42" s="98"/>
      <c r="G42" s="98"/>
      <c r="H42" s="130"/>
      <c r="I42" s="187"/>
      <c r="J42" s="74"/>
    </row>
    <row r="43" spans="2:13">
      <c r="B43" s="129" t="s">
        <v>112</v>
      </c>
      <c r="C43" s="118" t="s">
        <v>17</v>
      </c>
      <c r="D43" s="140"/>
      <c r="E43" s="125"/>
      <c r="F43" s="125"/>
      <c r="G43" s="365"/>
      <c r="H43" s="130">
        <v>2011</v>
      </c>
      <c r="I43" s="187"/>
      <c r="J43" s="74"/>
      <c r="M43" s="188"/>
    </row>
    <row r="44" spans="2:13">
      <c r="B44" s="129"/>
      <c r="C44" s="118"/>
      <c r="D44" s="134"/>
      <c r="E44" s="98"/>
      <c r="F44" s="98"/>
      <c r="G44" s="98"/>
      <c r="H44" s="98"/>
      <c r="I44" s="187"/>
      <c r="J44" s="74"/>
      <c r="M44" s="364"/>
    </row>
    <row r="45" spans="2:13">
      <c r="B45" s="128" t="s">
        <v>113</v>
      </c>
      <c r="C45" s="118"/>
      <c r="D45" s="134"/>
      <c r="E45" s="98"/>
      <c r="F45" s="98"/>
      <c r="G45" s="98"/>
      <c r="H45" s="127"/>
      <c r="I45" s="187"/>
      <c r="J45" s="74"/>
    </row>
    <row r="46" spans="2:13">
      <c r="B46" s="123" t="s">
        <v>30</v>
      </c>
      <c r="C46" s="118"/>
      <c r="D46" s="134"/>
      <c r="E46" s="98"/>
      <c r="F46" s="98"/>
      <c r="G46" s="98"/>
      <c r="H46" s="126"/>
      <c r="I46" s="187"/>
      <c r="J46" s="74"/>
    </row>
    <row r="47" spans="2:13">
      <c r="B47" s="78" t="s">
        <v>20</v>
      </c>
      <c r="C47" s="118" t="s">
        <v>342</v>
      </c>
      <c r="D47" s="363"/>
      <c r="E47" s="362"/>
      <c r="F47" s="362"/>
      <c r="G47" s="362"/>
      <c r="H47" s="126"/>
      <c r="I47" s="187"/>
      <c r="J47" s="119" t="s">
        <v>114</v>
      </c>
    </row>
    <row r="48" spans="2:13">
      <c r="B48" s="78" t="s">
        <v>21</v>
      </c>
      <c r="C48" s="118" t="s">
        <v>342</v>
      </c>
      <c r="D48" s="173">
        <f t="shared" ref="D48:G52" si="0">D83/D$80</f>
        <v>0</v>
      </c>
      <c r="E48" s="124">
        <f t="shared" si="0"/>
        <v>0</v>
      </c>
      <c r="F48" s="124">
        <f t="shared" si="0"/>
        <v>0</v>
      </c>
      <c r="G48" s="124">
        <f t="shared" si="0"/>
        <v>0</v>
      </c>
      <c r="H48" s="120"/>
      <c r="I48" s="187"/>
      <c r="J48" s="74"/>
    </row>
    <row r="49" spans="2:10">
      <c r="B49" s="78" t="s">
        <v>22</v>
      </c>
      <c r="C49" s="118" t="s">
        <v>342</v>
      </c>
      <c r="D49" s="173">
        <f t="shared" si="0"/>
        <v>0</v>
      </c>
      <c r="E49" s="124">
        <f t="shared" si="0"/>
        <v>0</v>
      </c>
      <c r="F49" s="124">
        <f t="shared" si="0"/>
        <v>0</v>
      </c>
      <c r="G49" s="124">
        <f t="shared" si="0"/>
        <v>0</v>
      </c>
      <c r="H49" s="98"/>
      <c r="I49" s="187"/>
      <c r="J49" s="74"/>
    </row>
    <row r="50" spans="2:10">
      <c r="B50" s="78" t="s">
        <v>23</v>
      </c>
      <c r="C50" s="118" t="s">
        <v>342</v>
      </c>
      <c r="D50" s="173">
        <f t="shared" si="0"/>
        <v>0.18082431888384828</v>
      </c>
      <c r="E50" s="124">
        <f t="shared" si="0"/>
        <v>0.18068932302752394</v>
      </c>
      <c r="F50" s="124">
        <f t="shared" si="0"/>
        <v>0.18041226085768036</v>
      </c>
      <c r="G50" s="124">
        <f t="shared" si="0"/>
        <v>0.18041226085768036</v>
      </c>
      <c r="H50" s="125"/>
      <c r="I50" s="187"/>
      <c r="J50" s="74"/>
    </row>
    <row r="51" spans="2:10">
      <c r="B51" s="78" t="s">
        <v>115</v>
      </c>
      <c r="C51" s="118" t="s">
        <v>342</v>
      </c>
      <c r="D51" s="173">
        <f t="shared" si="0"/>
        <v>0.46916621568366396</v>
      </c>
      <c r="E51" s="124">
        <f t="shared" si="0"/>
        <v>0.46533915375514712</v>
      </c>
      <c r="F51" s="124">
        <f t="shared" si="0"/>
        <v>0.45972829172410168</v>
      </c>
      <c r="G51" s="124">
        <f t="shared" si="0"/>
        <v>0.45972829172410168</v>
      </c>
      <c r="H51" s="98"/>
      <c r="I51" s="187"/>
      <c r="J51" s="74"/>
    </row>
    <row r="52" spans="2:10">
      <c r="B52" s="78" t="s">
        <v>24</v>
      </c>
      <c r="C52" s="118" t="s">
        <v>342</v>
      </c>
      <c r="D52" s="173">
        <f t="shared" si="0"/>
        <v>9.2415311823227084E-2</v>
      </c>
      <c r="E52" s="124">
        <f t="shared" si="0"/>
        <v>9.2170766907945456E-2</v>
      </c>
      <c r="F52" s="124">
        <f t="shared" si="0"/>
        <v>9.1782158663924168E-2</v>
      </c>
      <c r="G52" s="124">
        <f t="shared" si="0"/>
        <v>9.1782158663924168E-2</v>
      </c>
      <c r="H52" s="98"/>
      <c r="I52" s="187"/>
      <c r="J52" s="74"/>
    </row>
    <row r="53" spans="2:10">
      <c r="B53" s="78"/>
      <c r="C53" s="118"/>
      <c r="D53" s="172"/>
      <c r="E53" s="77"/>
      <c r="F53" s="77"/>
      <c r="G53" s="77"/>
      <c r="H53" s="98"/>
      <c r="I53" s="187"/>
      <c r="J53" s="74"/>
    </row>
    <row r="54" spans="2:10">
      <c r="B54" s="123" t="s">
        <v>31</v>
      </c>
      <c r="C54" s="118"/>
      <c r="D54" s="134"/>
      <c r="E54" s="98"/>
      <c r="F54" s="98"/>
      <c r="G54" s="98"/>
      <c r="H54" s="120"/>
      <c r="I54" s="187"/>
      <c r="J54" s="74"/>
    </row>
    <row r="55" spans="2:10">
      <c r="B55" s="78" t="s">
        <v>20</v>
      </c>
      <c r="C55" s="118" t="s">
        <v>342</v>
      </c>
      <c r="D55" s="363"/>
      <c r="E55" s="362"/>
      <c r="F55" s="362"/>
      <c r="G55" s="362"/>
      <c r="H55" s="197"/>
      <c r="I55" s="187"/>
      <c r="J55" s="119" t="s">
        <v>114</v>
      </c>
    </row>
    <row r="56" spans="2:10">
      <c r="B56" s="78" t="s">
        <v>21</v>
      </c>
      <c r="C56" s="118" t="s">
        <v>342</v>
      </c>
      <c r="D56" s="170">
        <f t="shared" ref="D56:G60" si="1">D48</f>
        <v>0</v>
      </c>
      <c r="E56" s="117">
        <f t="shared" si="1"/>
        <v>0</v>
      </c>
      <c r="F56" s="117">
        <f t="shared" si="1"/>
        <v>0</v>
      </c>
      <c r="G56" s="117">
        <f t="shared" si="1"/>
        <v>0</v>
      </c>
      <c r="H56" s="197"/>
      <c r="I56" s="187"/>
      <c r="J56" s="74"/>
    </row>
    <row r="57" spans="2:10">
      <c r="B57" s="78" t="s">
        <v>22</v>
      </c>
      <c r="C57" s="118" t="s">
        <v>342</v>
      </c>
      <c r="D57" s="170">
        <f t="shared" si="1"/>
        <v>0</v>
      </c>
      <c r="E57" s="117">
        <f t="shared" si="1"/>
        <v>0</v>
      </c>
      <c r="F57" s="117">
        <f t="shared" si="1"/>
        <v>0</v>
      </c>
      <c r="G57" s="117">
        <f t="shared" si="1"/>
        <v>0</v>
      </c>
      <c r="H57" s="197"/>
      <c r="I57" s="187"/>
      <c r="J57" s="74"/>
    </row>
    <row r="58" spans="2:10">
      <c r="B58" s="78" t="s">
        <v>23</v>
      </c>
      <c r="C58" s="118" t="s">
        <v>342</v>
      </c>
      <c r="D58" s="170">
        <f t="shared" si="1"/>
        <v>0.18082431888384828</v>
      </c>
      <c r="E58" s="117">
        <f t="shared" si="1"/>
        <v>0.18068932302752394</v>
      </c>
      <c r="F58" s="117">
        <f t="shared" si="1"/>
        <v>0.18041226085768036</v>
      </c>
      <c r="G58" s="117">
        <f t="shared" si="1"/>
        <v>0.18041226085768036</v>
      </c>
      <c r="H58" s="197"/>
      <c r="I58" s="187"/>
      <c r="J58" s="74"/>
    </row>
    <row r="59" spans="2:10">
      <c r="B59" s="78" t="s">
        <v>115</v>
      </c>
      <c r="C59" s="118" t="s">
        <v>342</v>
      </c>
      <c r="D59" s="170">
        <f t="shared" si="1"/>
        <v>0.46916621568366396</v>
      </c>
      <c r="E59" s="117">
        <f t="shared" si="1"/>
        <v>0.46533915375514712</v>
      </c>
      <c r="F59" s="117">
        <f t="shared" si="1"/>
        <v>0.45972829172410168</v>
      </c>
      <c r="G59" s="117">
        <f t="shared" si="1"/>
        <v>0.45972829172410168</v>
      </c>
      <c r="H59" s="197"/>
      <c r="I59" s="361"/>
      <c r="J59" s="74"/>
    </row>
    <row r="60" spans="2:10">
      <c r="B60" s="78" t="s">
        <v>24</v>
      </c>
      <c r="C60" s="118" t="s">
        <v>342</v>
      </c>
      <c r="D60" s="170">
        <f t="shared" si="1"/>
        <v>9.2415311823227084E-2</v>
      </c>
      <c r="E60" s="117">
        <f t="shared" si="1"/>
        <v>9.2170766907945456E-2</v>
      </c>
      <c r="F60" s="117">
        <f t="shared" si="1"/>
        <v>9.1782158663924168E-2</v>
      </c>
      <c r="G60" s="117">
        <f t="shared" si="1"/>
        <v>9.1782158663924168E-2</v>
      </c>
      <c r="H60" s="135"/>
      <c r="I60" s="187"/>
      <c r="J60" s="74"/>
    </row>
    <row r="61" spans="2:10" ht="14.4" thickBot="1">
      <c r="B61" s="115"/>
      <c r="C61" s="114"/>
      <c r="D61" s="169"/>
      <c r="E61" s="72"/>
      <c r="F61" s="72"/>
      <c r="G61" s="72"/>
      <c r="H61" s="72"/>
      <c r="I61" s="193"/>
      <c r="J61" s="90"/>
    </row>
    <row r="64" spans="2:10" ht="16.2" thickBot="1">
      <c r="B64" s="89" t="s">
        <v>116</v>
      </c>
    </row>
    <row r="65" spans="2:12">
      <c r="B65" s="88"/>
      <c r="C65" s="110"/>
      <c r="D65" s="168"/>
      <c r="E65" s="85"/>
      <c r="F65" s="85"/>
      <c r="G65" s="85"/>
      <c r="H65" s="85"/>
      <c r="I65" s="85" t="s">
        <v>96</v>
      </c>
      <c r="J65" s="83" t="s">
        <v>97</v>
      </c>
    </row>
    <row r="66" spans="2:12">
      <c r="B66" s="109"/>
      <c r="C66" s="108" t="s">
        <v>98</v>
      </c>
      <c r="D66" s="107">
        <v>2015</v>
      </c>
      <c r="E66" s="106">
        <v>2020</v>
      </c>
      <c r="F66" s="106">
        <v>2035</v>
      </c>
      <c r="G66" s="106"/>
      <c r="H66" s="106"/>
      <c r="I66" s="152"/>
      <c r="J66" s="104"/>
    </row>
    <row r="67" spans="2:12">
      <c r="B67" s="78" t="s">
        <v>341</v>
      </c>
      <c r="C67" s="95" t="s">
        <v>151</v>
      </c>
      <c r="D67" s="179">
        <f>D23*D80</f>
        <v>1699.1026131091178</v>
      </c>
      <c r="E67" s="359">
        <f>E23*E80</f>
        <v>1699.1026131091178</v>
      </c>
      <c r="F67" s="359">
        <f>F23*F80</f>
        <v>1699.1026131091178</v>
      </c>
      <c r="G67" s="359">
        <f>G23*G80</f>
        <v>1699.1026131091178</v>
      </c>
      <c r="H67" s="359"/>
      <c r="I67" s="77"/>
      <c r="J67" s="74"/>
    </row>
    <row r="68" spans="2:12">
      <c r="B68" s="78" t="s">
        <v>366</v>
      </c>
      <c r="C68" s="95" t="s">
        <v>339</v>
      </c>
      <c r="D68" s="134"/>
      <c r="E68" s="98"/>
      <c r="F68" s="98"/>
      <c r="G68" s="98"/>
      <c r="H68" s="98"/>
      <c r="I68" s="349"/>
      <c r="J68" s="74"/>
    </row>
    <row r="69" spans="2:12">
      <c r="B69" s="78" t="s">
        <v>366</v>
      </c>
      <c r="C69" s="95" t="s">
        <v>336</v>
      </c>
      <c r="D69" s="179">
        <f>D68/(D70*24)</f>
        <v>0</v>
      </c>
      <c r="E69" s="178">
        <f>E68/(E70*24)</f>
        <v>0</v>
      </c>
      <c r="F69" s="178">
        <f>F68/(F70*24)</f>
        <v>0</v>
      </c>
      <c r="G69" s="178">
        <f>G68/(G70*24)</f>
        <v>0</v>
      </c>
      <c r="H69" s="178"/>
      <c r="I69" s="77"/>
      <c r="J69" s="74"/>
    </row>
    <row r="70" spans="2:12">
      <c r="B70" s="78" t="s">
        <v>326</v>
      </c>
      <c r="C70" s="95" t="s">
        <v>325</v>
      </c>
      <c r="D70" s="134">
        <v>38</v>
      </c>
      <c r="E70" s="98">
        <v>38</v>
      </c>
      <c r="F70" s="98">
        <v>38</v>
      </c>
      <c r="G70" s="98">
        <v>38</v>
      </c>
      <c r="H70" s="98"/>
      <c r="I70" s="77" t="s">
        <v>658</v>
      </c>
      <c r="J70" s="74"/>
    </row>
    <row r="71" spans="2:12">
      <c r="B71" s="78" t="s">
        <v>322</v>
      </c>
      <c r="C71" s="95" t="s">
        <v>321</v>
      </c>
      <c r="D71" s="96">
        <v>1.8520000000000001</v>
      </c>
      <c r="E71" s="92">
        <v>1.8520000000000001</v>
      </c>
      <c r="F71" s="92">
        <v>1.8520000000000001</v>
      </c>
      <c r="G71" s="92">
        <v>1.8520000000000001</v>
      </c>
      <c r="H71" s="92"/>
      <c r="I71" s="77"/>
      <c r="J71" s="74"/>
    </row>
    <row r="72" spans="2:12">
      <c r="B72" s="78" t="s">
        <v>365</v>
      </c>
      <c r="C72" s="95" t="s">
        <v>364</v>
      </c>
      <c r="D72" s="94"/>
      <c r="E72" s="377">
        <f>-(E90/$D$90-1)</f>
        <v>0</v>
      </c>
      <c r="F72" s="377">
        <f>-(F90/$D$90-1)</f>
        <v>0</v>
      </c>
      <c r="G72" s="377">
        <f>-(G90/$D$90-1)</f>
        <v>0</v>
      </c>
      <c r="H72" s="377"/>
      <c r="I72" s="349"/>
      <c r="J72" s="74"/>
    </row>
    <row r="73" spans="2:12">
      <c r="B73" s="78" t="s">
        <v>363</v>
      </c>
      <c r="C73" s="77" t="s">
        <v>242</v>
      </c>
      <c r="D73" s="376">
        <v>0.21</v>
      </c>
      <c r="E73" s="376">
        <v>0.21</v>
      </c>
      <c r="F73" s="376">
        <v>0.21</v>
      </c>
      <c r="G73" s="376">
        <v>0.21</v>
      </c>
      <c r="H73" s="376"/>
      <c r="I73" s="77" t="s">
        <v>658</v>
      </c>
      <c r="J73" s="74"/>
      <c r="L73" s="67"/>
    </row>
    <row r="74" spans="2:12">
      <c r="B74" s="78" t="s">
        <v>359</v>
      </c>
      <c r="C74" s="77" t="s">
        <v>193</v>
      </c>
      <c r="D74" s="375">
        <v>42.7</v>
      </c>
      <c r="E74" s="375">
        <v>42.7</v>
      </c>
      <c r="F74" s="375">
        <v>42.7</v>
      </c>
      <c r="G74" s="375">
        <v>42.7</v>
      </c>
      <c r="H74" s="375"/>
      <c r="I74" s="349" t="s">
        <v>657</v>
      </c>
      <c r="J74" s="74" t="s">
        <v>362</v>
      </c>
    </row>
    <row r="75" spans="2:12">
      <c r="B75" s="78" t="s">
        <v>361</v>
      </c>
      <c r="C75" s="77" t="s">
        <v>360</v>
      </c>
      <c r="D75" s="179">
        <f>D73/3600000</f>
        <v>5.8333333333333333E-8</v>
      </c>
      <c r="E75" s="178">
        <f>E73/3600000</f>
        <v>5.8333333333333333E-8</v>
      </c>
      <c r="F75" s="178">
        <f>F73/3600000</f>
        <v>5.8333333333333333E-8</v>
      </c>
      <c r="G75" s="178">
        <f>G73/3600000</f>
        <v>5.8333333333333333E-8</v>
      </c>
      <c r="H75" s="178"/>
      <c r="I75" s="77"/>
      <c r="J75" s="74"/>
    </row>
    <row r="76" spans="2:12">
      <c r="B76" s="78" t="s">
        <v>359</v>
      </c>
      <c r="C76" s="77" t="s">
        <v>358</v>
      </c>
      <c r="D76" s="374">
        <f>D74*1000000</f>
        <v>42700000</v>
      </c>
      <c r="E76" s="358">
        <f>E74*1000000</f>
        <v>42700000</v>
      </c>
      <c r="F76" s="358">
        <f>F74*1000000</f>
        <v>42700000</v>
      </c>
      <c r="G76" s="358">
        <f>G74*1000000</f>
        <v>42700000</v>
      </c>
      <c r="H76" s="358"/>
      <c r="I76" s="77"/>
      <c r="J76" s="74"/>
    </row>
    <row r="77" spans="2:12" ht="14.4" thickBot="1">
      <c r="B77" s="73" t="s">
        <v>357</v>
      </c>
      <c r="C77" s="72" t="s">
        <v>356</v>
      </c>
      <c r="D77" s="354">
        <f>1/(D76*D75)</f>
        <v>0.40147206423553028</v>
      </c>
      <c r="E77" s="353">
        <f>1/(E76*E75)</f>
        <v>0.40147206423553028</v>
      </c>
      <c r="F77" s="353">
        <f>1/(F76*F75)</f>
        <v>0.40147206423553028</v>
      </c>
      <c r="G77" s="353">
        <f>1/(G76*G75)</f>
        <v>0.40147206423553028</v>
      </c>
      <c r="H77" s="353"/>
      <c r="I77" s="72"/>
      <c r="J77" s="90"/>
      <c r="L77" s="188"/>
    </row>
    <row r="79" spans="2:12" ht="16.2" thickBot="1">
      <c r="B79" s="89" t="s">
        <v>125</v>
      </c>
      <c r="E79" s="65">
        <f>E80*(1-E$72)</f>
        <v>4232.181425485961</v>
      </c>
      <c r="F79" s="65">
        <f>F80*(1-F$72)</f>
        <v>4232.181425485961</v>
      </c>
      <c r="G79" s="65">
        <f>G80*(1-G$72)</f>
        <v>4232.181425485961</v>
      </c>
    </row>
    <row r="80" spans="2:12">
      <c r="B80" s="88" t="s">
        <v>317</v>
      </c>
      <c r="C80" s="85" t="s">
        <v>151</v>
      </c>
      <c r="D80" s="352">
        <f>D90/D$71*1000</f>
        <v>4232.181425485961</v>
      </c>
      <c r="E80" s="352">
        <f>E90/E$71*1000</f>
        <v>4232.181425485961</v>
      </c>
      <c r="F80" s="352">
        <f>F90/F$71*1000</f>
        <v>4232.181425485961</v>
      </c>
      <c r="G80" s="352">
        <f>G90/G$71*1000</f>
        <v>4232.181425485961</v>
      </c>
      <c r="H80" s="352"/>
      <c r="I80" s="351"/>
      <c r="J80" s="83"/>
    </row>
    <row r="81" spans="2:10">
      <c r="B81" s="78"/>
      <c r="C81" s="77"/>
      <c r="D81" s="77"/>
      <c r="E81" s="77"/>
      <c r="F81" s="77"/>
      <c r="G81" s="77"/>
      <c r="H81" s="77"/>
      <c r="I81" s="77"/>
      <c r="J81" s="74"/>
    </row>
    <row r="82" spans="2:10">
      <c r="B82" s="78" t="s">
        <v>20</v>
      </c>
      <c r="C82" s="77" t="s">
        <v>27</v>
      </c>
      <c r="D82" s="80">
        <f t="shared" ref="D82:G87" si="2">D92/D$71*1000</f>
        <v>0</v>
      </c>
      <c r="E82" s="80">
        <f t="shared" si="2"/>
        <v>0</v>
      </c>
      <c r="F82" s="80">
        <f t="shared" si="2"/>
        <v>0</v>
      </c>
      <c r="G82" s="80">
        <f t="shared" si="2"/>
        <v>0</v>
      </c>
      <c r="H82" s="80"/>
      <c r="I82" s="77"/>
      <c r="J82" s="74"/>
    </row>
    <row r="83" spans="2:10">
      <c r="B83" s="78" t="s">
        <v>21</v>
      </c>
      <c r="C83" s="77" t="s">
        <v>27</v>
      </c>
      <c r="D83" s="80">
        <f t="shared" si="2"/>
        <v>0</v>
      </c>
      <c r="E83" s="80">
        <f t="shared" si="2"/>
        <v>0</v>
      </c>
      <c r="F83" s="80">
        <f t="shared" si="2"/>
        <v>0</v>
      </c>
      <c r="G83" s="80">
        <f t="shared" si="2"/>
        <v>0</v>
      </c>
      <c r="H83" s="80"/>
      <c r="I83" s="349"/>
      <c r="J83" s="74"/>
    </row>
    <row r="84" spans="2:10">
      <c r="B84" s="78" t="s">
        <v>22</v>
      </c>
      <c r="C84" s="77" t="s">
        <v>27</v>
      </c>
      <c r="D84" s="80">
        <f t="shared" si="2"/>
        <v>0</v>
      </c>
      <c r="E84" s="80">
        <f t="shared" si="2"/>
        <v>0</v>
      </c>
      <c r="F84" s="80">
        <f t="shared" si="2"/>
        <v>0</v>
      </c>
      <c r="G84" s="80">
        <f t="shared" si="2"/>
        <v>0</v>
      </c>
      <c r="H84" s="80"/>
      <c r="I84" s="349"/>
      <c r="J84" s="74"/>
    </row>
    <row r="85" spans="2:10">
      <c r="B85" s="78" t="s">
        <v>23</v>
      </c>
      <c r="C85" s="77" t="s">
        <v>27</v>
      </c>
      <c r="D85" s="80">
        <f t="shared" si="2"/>
        <v>765.28132365637305</v>
      </c>
      <c r="E85" s="80">
        <f t="shared" si="2"/>
        <v>764.70999670071956</v>
      </c>
      <c r="F85" s="80">
        <f t="shared" si="2"/>
        <v>763.53741933180277</v>
      </c>
      <c r="G85" s="80">
        <f t="shared" si="2"/>
        <v>763.53741933180277</v>
      </c>
      <c r="H85" s="80"/>
      <c r="I85" s="349"/>
      <c r="J85" s="74"/>
    </row>
    <row r="86" spans="2:10">
      <c r="B86" s="78" t="s">
        <v>115</v>
      </c>
      <c r="C86" s="77" t="s">
        <v>27</v>
      </c>
      <c r="D86" s="80">
        <f t="shared" si="2"/>
        <v>1985.5965434819427</v>
      </c>
      <c r="E86" s="80">
        <f t="shared" si="2"/>
        <v>1969.3997230738894</v>
      </c>
      <c r="F86" s="80">
        <f t="shared" si="2"/>
        <v>1945.6535370051342</v>
      </c>
      <c r="G86" s="80">
        <f t="shared" si="2"/>
        <v>1945.6535370051342</v>
      </c>
      <c r="H86" s="80"/>
      <c r="I86" s="349"/>
      <c r="J86" s="74"/>
    </row>
    <row r="87" spans="2:10">
      <c r="B87" s="78" t="s">
        <v>24</v>
      </c>
      <c r="C87" s="77" t="s">
        <v>27</v>
      </c>
      <c r="D87" s="80">
        <f t="shared" si="2"/>
        <v>391.11836612875476</v>
      </c>
      <c r="E87" s="80">
        <f t="shared" si="2"/>
        <v>390.08340768060282</v>
      </c>
      <c r="F87" s="80">
        <f t="shared" si="2"/>
        <v>388.43874708846522</v>
      </c>
      <c r="G87" s="80">
        <f t="shared" si="2"/>
        <v>388.43874708846522</v>
      </c>
      <c r="H87" s="80"/>
      <c r="I87" s="349"/>
      <c r="J87" s="74"/>
    </row>
    <row r="88" spans="2:10" ht="14.4" thickBot="1">
      <c r="B88" s="73"/>
      <c r="C88" s="72"/>
      <c r="D88" s="72"/>
      <c r="E88" s="72"/>
      <c r="F88" s="72"/>
      <c r="G88" s="72"/>
      <c r="H88" s="72"/>
      <c r="I88" s="72"/>
      <c r="J88" s="90"/>
    </row>
    <row r="89" spans="2:10" ht="14.4" thickBot="1">
      <c r="E89" s="188"/>
      <c r="F89" s="188"/>
      <c r="G89" s="188"/>
      <c r="H89" s="188"/>
    </row>
    <row r="90" spans="2:10">
      <c r="B90" s="88" t="s">
        <v>317</v>
      </c>
      <c r="C90" s="85" t="s">
        <v>316</v>
      </c>
      <c r="D90" s="167">
        <v>7.8380000000000001</v>
      </c>
      <c r="E90" s="167">
        <v>7.8380000000000001</v>
      </c>
      <c r="F90" s="167">
        <v>7.8380000000000001</v>
      </c>
      <c r="G90" s="167">
        <v>7.8380000000000001</v>
      </c>
      <c r="H90" s="167"/>
      <c r="I90" s="77" t="s">
        <v>658</v>
      </c>
      <c r="J90" s="83"/>
    </row>
    <row r="91" spans="2:10">
      <c r="B91" s="78"/>
      <c r="C91" s="77"/>
      <c r="D91" s="77"/>
      <c r="E91" s="77"/>
      <c r="F91" s="77"/>
      <c r="G91" s="77"/>
      <c r="H91" s="77"/>
      <c r="I91" s="77"/>
      <c r="J91" s="74"/>
    </row>
    <row r="92" spans="2:10">
      <c r="B92" s="78" t="s">
        <v>20</v>
      </c>
      <c r="C92" s="77" t="s">
        <v>312</v>
      </c>
      <c r="D92" s="80"/>
      <c r="E92" s="80"/>
      <c r="F92" s="80"/>
      <c r="G92" s="80"/>
      <c r="H92" s="80"/>
      <c r="I92" s="77"/>
      <c r="J92" s="74"/>
    </row>
    <row r="93" spans="2:10">
      <c r="B93" s="78" t="s">
        <v>21</v>
      </c>
      <c r="C93" s="77" t="s">
        <v>312</v>
      </c>
      <c r="D93" s="350"/>
      <c r="E93" s="350"/>
      <c r="F93" s="350"/>
      <c r="G93" s="350"/>
      <c r="H93" s="350"/>
      <c r="I93" s="349"/>
      <c r="J93" s="74" t="s">
        <v>350</v>
      </c>
    </row>
    <row r="94" spans="2:10">
      <c r="B94" s="78" t="s">
        <v>22</v>
      </c>
      <c r="C94" s="77" t="s">
        <v>312</v>
      </c>
      <c r="D94" s="350"/>
      <c r="E94" s="350"/>
      <c r="F94" s="350"/>
      <c r="G94" s="350"/>
      <c r="H94" s="350"/>
      <c r="I94" s="349"/>
      <c r="J94" s="74"/>
    </row>
    <row r="95" spans="2:10">
      <c r="B95" s="78" t="s">
        <v>23</v>
      </c>
      <c r="C95" s="77" t="s">
        <v>312</v>
      </c>
      <c r="D95" s="373">
        <f>'EU 9000 TEU Diesel'!D94/'EU 9000 TEU Diesel'!D$89*D$90</f>
        <v>1.4173010114116029</v>
      </c>
      <c r="E95" s="373">
        <f>'EU 9000 TEU Diesel'!E94/'EU 9000 TEU Diesel'!E$89*E$90</f>
        <v>1.4162429138897328</v>
      </c>
      <c r="F95" s="373">
        <f>'EU 9000 TEU Diesel'!F94/'EU 9000 TEU Diesel'!F$89*F$90</f>
        <v>1.4140713006024987</v>
      </c>
      <c r="G95" s="373">
        <f>'EU 9000 TEU Diesel'!G94/'EU 9000 TEU Diesel'!G$89*G$90</f>
        <v>1.4140713006024987</v>
      </c>
      <c r="H95" s="350"/>
      <c r="I95" s="349"/>
      <c r="J95" s="74" t="s">
        <v>355</v>
      </c>
    </row>
    <row r="96" spans="2:10">
      <c r="B96" s="78" t="s">
        <v>115</v>
      </c>
      <c r="C96" s="77" t="s">
        <v>312</v>
      </c>
      <c r="D96" s="373">
        <f>'EU 9000 TEU Diesel'!D95/'EU 9000 TEU Diesel'!D$89*D$90</f>
        <v>3.677324798528558</v>
      </c>
      <c r="E96" s="373">
        <f>'EU 9000 TEU Diesel'!E95/'EU 9000 TEU Diesel'!E$89*E$90</f>
        <v>3.6473282871328432</v>
      </c>
      <c r="F96" s="373">
        <f>'EU 9000 TEU Diesel'!F95/'EU 9000 TEU Diesel'!F$89*F$90</f>
        <v>3.6033503505335087</v>
      </c>
      <c r="G96" s="373">
        <f>'EU 9000 TEU Diesel'!G95/'EU 9000 TEU Diesel'!G$89*G$90</f>
        <v>3.6033503505335087</v>
      </c>
      <c r="H96" s="350"/>
      <c r="I96" s="349"/>
      <c r="J96" s="74" t="s">
        <v>355</v>
      </c>
    </row>
    <row r="97" spans="2:10">
      <c r="B97" s="78" t="s">
        <v>24</v>
      </c>
      <c r="C97" s="77" t="s">
        <v>312</v>
      </c>
      <c r="D97" s="373">
        <f>'EU 9000 TEU Diesel'!D96/'EU 9000 TEU Diesel'!D$89*D$90</f>
        <v>0.72435121407045389</v>
      </c>
      <c r="E97" s="373">
        <f>'EU 9000 TEU Diesel'!E96/'EU 9000 TEU Diesel'!E$89*E$90</f>
        <v>0.72243447102447644</v>
      </c>
      <c r="F97" s="373">
        <f>'EU 9000 TEU Diesel'!F96/'EU 9000 TEU Diesel'!F$89*F$90</f>
        <v>0.71938855960783765</v>
      </c>
      <c r="G97" s="373">
        <f>'EU 9000 TEU Diesel'!G96/'EU 9000 TEU Diesel'!G$89*G$90</f>
        <v>0.71938855960783765</v>
      </c>
      <c r="H97" s="350"/>
      <c r="I97" s="349"/>
      <c r="J97" s="74" t="s">
        <v>355</v>
      </c>
    </row>
    <row r="98" spans="2:10" ht="14.4" thickBot="1">
      <c r="B98" s="73"/>
      <c r="C98" s="72"/>
      <c r="D98" s="72"/>
      <c r="E98" s="72"/>
      <c r="F98" s="72"/>
      <c r="G98" s="72"/>
      <c r="H98" s="72"/>
      <c r="I98" s="72"/>
      <c r="J98" s="90"/>
    </row>
    <row r="100" spans="2:10">
      <c r="H100" s="68"/>
    </row>
    <row r="101" spans="2:10">
      <c r="H101" s="6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2300-000000000000}">
          <x14:formula1>
            <xm:f>'C:\Users\B003920\Desktop\[Kopi af alternativ_drivmiddelmodel_3.0_2.xlsm]Sheet1'!#REF!</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E71"/>
  <sheetViews>
    <sheetView topLeftCell="A41" zoomScale="80" zoomScaleNormal="80" workbookViewId="0">
      <selection activeCell="F61" sqref="F61"/>
    </sheetView>
  </sheetViews>
  <sheetFormatPr defaultRowHeight="13.2"/>
  <cols>
    <col min="3" max="3" width="15.44140625" bestFit="1" customWidth="1"/>
    <col min="4" max="4" width="52.33203125" bestFit="1" customWidth="1"/>
    <col min="5" max="5" width="22.6640625" customWidth="1"/>
    <col min="6" max="6" width="13" customWidth="1"/>
    <col min="11" max="11" width="11.77734375" customWidth="1"/>
    <col min="12" max="12" width="8.109375" style="570" customWidth="1"/>
    <col min="13" max="13" width="5.109375" bestFit="1" customWidth="1"/>
    <col min="14" max="14" width="9.6640625" customWidth="1"/>
    <col min="15" max="15" width="8.77734375" customWidth="1"/>
    <col min="16" max="16" width="8.21875" customWidth="1"/>
    <col min="17" max="18" width="10.44140625" style="570" customWidth="1"/>
    <col min="19" max="19" width="11.44140625" bestFit="1" customWidth="1"/>
    <col min="20" max="20" width="12" style="498" bestFit="1" customWidth="1"/>
    <col min="21" max="21" width="8.88671875" style="498"/>
    <col min="22" max="22" width="14.44140625" bestFit="1" customWidth="1"/>
  </cols>
  <sheetData>
    <row r="1" spans="1:24">
      <c r="A1" s="3"/>
      <c r="B1" s="3"/>
      <c r="T1"/>
    </row>
    <row r="2" spans="1:24">
      <c r="A2" s="3"/>
      <c r="B2" s="3"/>
      <c r="H2" s="2" t="s">
        <v>0</v>
      </c>
      <c r="K2" s="5"/>
      <c r="L2" s="573"/>
      <c r="T2"/>
    </row>
    <row r="3" spans="1:24" ht="27.6">
      <c r="A3" s="3"/>
      <c r="B3" s="3"/>
      <c r="C3" s="6" t="s">
        <v>1</v>
      </c>
      <c r="D3" s="17" t="s">
        <v>8</v>
      </c>
      <c r="E3" s="6" t="s">
        <v>2</v>
      </c>
      <c r="F3" s="6" t="s">
        <v>3</v>
      </c>
      <c r="G3" s="6" t="s">
        <v>28</v>
      </c>
      <c r="H3" s="6" t="s">
        <v>218</v>
      </c>
      <c r="I3" s="6" t="s">
        <v>87</v>
      </c>
      <c r="J3" s="495" t="s">
        <v>230</v>
      </c>
      <c r="K3" s="495" t="s">
        <v>523</v>
      </c>
      <c r="L3" s="6" t="s">
        <v>89</v>
      </c>
      <c r="M3" s="6" t="s">
        <v>10</v>
      </c>
      <c r="N3" s="8" t="s">
        <v>6</v>
      </c>
      <c r="O3" s="6" t="s">
        <v>7</v>
      </c>
      <c r="P3" s="43" t="s">
        <v>1531</v>
      </c>
      <c r="Q3" s="43" t="s">
        <v>717</v>
      </c>
      <c r="R3" s="43" t="s">
        <v>571</v>
      </c>
      <c r="T3" s="43" t="s">
        <v>533</v>
      </c>
    </row>
    <row r="4" spans="1:24" ht="33" customHeight="1" thickBot="1">
      <c r="A4" s="3"/>
      <c r="B4" s="3"/>
      <c r="C4" s="4" t="s">
        <v>11</v>
      </c>
      <c r="D4" s="20" t="s">
        <v>72</v>
      </c>
      <c r="E4" s="4"/>
      <c r="F4" s="4"/>
      <c r="G4" s="4"/>
      <c r="H4" s="4" t="s">
        <v>217</v>
      </c>
      <c r="I4" s="4" t="s">
        <v>13</v>
      </c>
      <c r="J4" s="494"/>
      <c r="K4" s="494" t="s">
        <v>524</v>
      </c>
      <c r="L4" s="572" t="s">
        <v>642</v>
      </c>
      <c r="M4" s="4" t="s">
        <v>14</v>
      </c>
      <c r="N4" s="4" t="s">
        <v>83</v>
      </c>
      <c r="O4" s="4" t="s">
        <v>12</v>
      </c>
      <c r="P4" s="572" t="s">
        <v>12</v>
      </c>
      <c r="Q4" s="977" t="s">
        <v>1543</v>
      </c>
      <c r="T4"/>
    </row>
    <row r="5" spans="1:24">
      <c r="A5" s="3"/>
      <c r="B5" s="3"/>
      <c r="C5" s="491" t="s">
        <v>1573</v>
      </c>
      <c r="D5" s="22" t="s">
        <v>592</v>
      </c>
      <c r="E5" s="60" t="s">
        <v>602</v>
      </c>
      <c r="F5" s="553" t="s">
        <v>704</v>
      </c>
      <c r="G5" s="486" t="str">
        <f>'EU Diesel IC-reg.tog'!$D$21</f>
        <v>2015</v>
      </c>
      <c r="H5" t="s">
        <v>525</v>
      </c>
      <c r="I5" s="49">
        <v>2012</v>
      </c>
      <c r="J5" s="49">
        <v>2019</v>
      </c>
      <c r="K5" s="570">
        <f>'EU SAS avg. airplane adjusted'!$D$72</f>
        <v>168</v>
      </c>
      <c r="L5" s="526">
        <f>'EU SAS avg. airplane adjusted'!$D$30</f>
        <v>3.1328320802005014</v>
      </c>
      <c r="M5" s="490">
        <v>30</v>
      </c>
      <c r="N5" s="1469">
        <f>'EU SAS avg. airplane adjusted'!D93*TRA_Airplane!W6</f>
        <v>4.0971295478940781E-2</v>
      </c>
      <c r="O5" s="520">
        <f>80*6.6/$W$6</f>
        <v>528000</v>
      </c>
      <c r="Q5" s="549">
        <f>$AM$38</f>
        <v>1750000</v>
      </c>
      <c r="R5" s="1243">
        <f t="shared" ref="R5:R28" si="0">$AM$42</f>
        <v>1E-3</v>
      </c>
      <c r="T5">
        <v>24</v>
      </c>
      <c r="V5" s="1485" t="s">
        <v>84</v>
      </c>
      <c r="W5" s="1486"/>
      <c r="X5" s="1487"/>
    </row>
    <row r="6" spans="1:24">
      <c r="A6" s="3"/>
      <c r="B6" s="3"/>
      <c r="C6" s="491" t="s">
        <v>1573</v>
      </c>
      <c r="D6" s="516" t="s">
        <v>592</v>
      </c>
      <c r="E6" s="60" t="s">
        <v>603</v>
      </c>
      <c r="F6" s="553" t="s">
        <v>704</v>
      </c>
      <c r="G6" s="56">
        <f>'EU Diesel IC-reg.tog'!$E$21</f>
        <v>2020</v>
      </c>
      <c r="H6" s="498" t="s">
        <v>525</v>
      </c>
      <c r="I6" s="16">
        <v>2020</v>
      </c>
      <c r="J6" s="514">
        <v>2034</v>
      </c>
      <c r="K6" s="570">
        <f>'EU SAS avg. airplane adjusted'!$E$72</f>
        <v>168</v>
      </c>
      <c r="L6" s="526">
        <f>'EU SAS avg. airplane adjusted'!$E$30</f>
        <v>3.2526671870934165</v>
      </c>
      <c r="M6" s="490">
        <v>30</v>
      </c>
      <c r="N6" s="1469">
        <f>'EU SAS avg. airplane adjusted'!E93*TRA_Airplane!W6</f>
        <v>4.1834458405846153E-2</v>
      </c>
      <c r="O6" s="520">
        <f t="shared" ref="O6:O7" si="1">80*6.6/$W$6</f>
        <v>528000</v>
      </c>
      <c r="Q6" s="549">
        <f>$AM$38</f>
        <v>1750000</v>
      </c>
      <c r="R6" s="1243">
        <f t="shared" si="0"/>
        <v>1E-3</v>
      </c>
      <c r="T6"/>
      <c r="V6" s="29" t="s">
        <v>85</v>
      </c>
      <c r="W6" s="53">
        <f>10^-3</f>
        <v>1E-3</v>
      </c>
      <c r="X6" s="54" t="s">
        <v>12</v>
      </c>
    </row>
    <row r="7" spans="1:24">
      <c r="A7" s="3"/>
      <c r="B7" s="3"/>
      <c r="C7" s="491" t="s">
        <v>1573</v>
      </c>
      <c r="D7" s="516" t="s">
        <v>592</v>
      </c>
      <c r="E7" s="60" t="s">
        <v>604</v>
      </c>
      <c r="F7" s="553" t="s">
        <v>704</v>
      </c>
      <c r="G7" s="56">
        <f>'EU Diesel IC-reg.tog'!$F$21</f>
        <v>2035</v>
      </c>
      <c r="H7" s="498" t="s">
        <v>525</v>
      </c>
      <c r="I7" s="16">
        <v>2035</v>
      </c>
      <c r="J7" s="514"/>
      <c r="K7" s="570">
        <f>'EU SAS avg. airplane adjusted'!$F$72</f>
        <v>168</v>
      </c>
      <c r="L7" s="526">
        <f>'EU SAS avg. airplane adjusted'!$F$30</f>
        <v>3.5857716580608145</v>
      </c>
      <c r="M7" s="490">
        <v>30</v>
      </c>
      <c r="N7" s="1469">
        <f>'EU SAS avg. airplane adjusted'!F93*TRA_Airplane!W6</f>
        <v>4.4069859681072784E-2</v>
      </c>
      <c r="O7" s="520">
        <f t="shared" si="1"/>
        <v>528000</v>
      </c>
      <c r="Q7" s="549">
        <f>$AM$38</f>
        <v>1750000</v>
      </c>
      <c r="R7" s="1243">
        <f t="shared" si="0"/>
        <v>1E-3</v>
      </c>
      <c r="T7"/>
    </row>
    <row r="8" spans="1:24">
      <c r="A8" s="3"/>
      <c r="B8" s="3"/>
      <c r="C8" s="491" t="s">
        <v>1573</v>
      </c>
      <c r="D8" s="22" t="s">
        <v>593</v>
      </c>
      <c r="E8" s="574" t="s">
        <v>707</v>
      </c>
      <c r="F8" s="553" t="s">
        <v>704</v>
      </c>
      <c r="G8" s="486" t="str">
        <f>'EU Diesel IC-reg.tog'!$D$21</f>
        <v>2015</v>
      </c>
      <c r="H8" s="498" t="s">
        <v>525</v>
      </c>
      <c r="I8" s="49">
        <v>2012</v>
      </c>
      <c r="J8" s="49">
        <v>2019</v>
      </c>
      <c r="K8" s="27">
        <v>2.2641140000000002</v>
      </c>
      <c r="L8" s="526">
        <f>'EU SAS avg. airplane adjusted'!$D$23/'EU SAS avg. airplane adjusted'!$D$23*$W$12</f>
        <v>111.69218451209601</v>
      </c>
      <c r="M8" s="490">
        <v>30</v>
      </c>
      <c r="N8" s="1469">
        <f>N5*O8/O5</f>
        <v>1.0242823869735195E-3</v>
      </c>
      <c r="O8" s="520">
        <f>2/$W$6*6.6</f>
        <v>13200</v>
      </c>
      <c r="Q8" s="549">
        <f>$AM$39</f>
        <v>8145.1797176742502</v>
      </c>
      <c r="R8" s="1243">
        <f t="shared" si="0"/>
        <v>1E-3</v>
      </c>
      <c r="T8" s="498">
        <v>2.2641</v>
      </c>
    </row>
    <row r="9" spans="1:24">
      <c r="A9" s="3"/>
      <c r="B9" s="3"/>
      <c r="C9" s="491" t="s">
        <v>1573</v>
      </c>
      <c r="D9" s="516" t="s">
        <v>594</v>
      </c>
      <c r="E9" s="574" t="s">
        <v>707</v>
      </c>
      <c r="F9" s="553" t="s">
        <v>704</v>
      </c>
      <c r="G9" s="56">
        <f>'EU Diesel IC-reg.tog'!$E$21</f>
        <v>2020</v>
      </c>
      <c r="H9" s="498" t="s">
        <v>525</v>
      </c>
      <c r="I9" s="514">
        <v>2020</v>
      </c>
      <c r="J9" s="573">
        <v>2034</v>
      </c>
      <c r="K9" s="518">
        <v>2.2641140000000002</v>
      </c>
      <c r="L9" s="526">
        <f>'EU SAS avg. airplane adjusted'!$E$23/'EU SAS avg. airplane adjusted'!$D$23*$W$12</f>
        <v>115.20163839703891</v>
      </c>
      <c r="M9" s="490">
        <v>30</v>
      </c>
      <c r="N9" s="1469">
        <f t="shared" ref="N9:N10" si="2">N6*O9/O6</f>
        <v>1.0458614601461537E-3</v>
      </c>
      <c r="O9" s="520">
        <f t="shared" ref="O9:O10" si="3">2/$W$6*6.6</f>
        <v>13200</v>
      </c>
      <c r="Q9" s="549">
        <f>$AM$39</f>
        <v>8145.1797176742502</v>
      </c>
      <c r="R9" s="1243">
        <f t="shared" si="0"/>
        <v>1E-3</v>
      </c>
      <c r="T9"/>
      <c r="V9" s="577"/>
      <c r="W9" s="578" t="s">
        <v>580</v>
      </c>
      <c r="X9" t="s">
        <v>1485</v>
      </c>
    </row>
    <row r="10" spans="1:24">
      <c r="A10" s="3"/>
      <c r="B10" s="3"/>
      <c r="C10" s="491" t="s">
        <v>1573</v>
      </c>
      <c r="D10" s="516" t="s">
        <v>595</v>
      </c>
      <c r="E10" s="574" t="s">
        <v>707</v>
      </c>
      <c r="F10" s="553" t="s">
        <v>704</v>
      </c>
      <c r="G10" s="56">
        <f>'EU Diesel IC-reg.tog'!$F$21</f>
        <v>2035</v>
      </c>
      <c r="H10" s="498" t="s">
        <v>525</v>
      </c>
      <c r="I10" s="514">
        <v>2035</v>
      </c>
      <c r="J10" s="573"/>
      <c r="K10" s="518">
        <v>2.2641140000000002</v>
      </c>
      <c r="L10" s="526">
        <f>'EU SAS avg. airplane adjusted'!$F$23/'EU SAS avg. airplane adjusted'!$D$23*$W$12</f>
        <v>123.21464631793724</v>
      </c>
      <c r="M10" s="490">
        <v>30</v>
      </c>
      <c r="N10" s="1469">
        <f t="shared" si="2"/>
        <v>1.1017464920268197E-3</v>
      </c>
      <c r="O10" s="520">
        <f t="shared" si="3"/>
        <v>13200</v>
      </c>
      <c r="Q10" s="549">
        <f>$AM$39</f>
        <v>8145.1797176742502</v>
      </c>
      <c r="R10" s="1243">
        <f t="shared" si="0"/>
        <v>1E-3</v>
      </c>
      <c r="T10"/>
      <c r="V10" s="579" t="s">
        <v>577</v>
      </c>
      <c r="W10" s="580">
        <v>10.536825612205099</v>
      </c>
      <c r="X10" s="570">
        <v>24</v>
      </c>
    </row>
    <row r="11" spans="1:24">
      <c r="A11" s="3"/>
      <c r="B11" s="3"/>
      <c r="C11" s="491" t="s">
        <v>1573</v>
      </c>
      <c r="D11" s="22" t="s">
        <v>596</v>
      </c>
      <c r="E11" s="60" t="s">
        <v>602</v>
      </c>
      <c r="F11" s="553" t="s">
        <v>705</v>
      </c>
      <c r="G11" s="486" t="str">
        <f>'EU Diesel IC-reg.tog'!$D$21</f>
        <v>2015</v>
      </c>
      <c r="H11" s="498" t="s">
        <v>525</v>
      </c>
      <c r="I11" s="49">
        <v>2012</v>
      </c>
      <c r="J11" s="49">
        <v>2019</v>
      </c>
      <c r="K11">
        <f>'EU SAS avg. airplane adjusted'!$D$72</f>
        <v>168</v>
      </c>
      <c r="L11" s="526">
        <f>'EU SAS avg. airplane adjusted'!$D$28</f>
        <v>6.4614661654135341</v>
      </c>
      <c r="M11" s="490">
        <v>30</v>
      </c>
      <c r="N11" s="1469">
        <f>N5</f>
        <v>4.0971295478940781E-2</v>
      </c>
      <c r="O11" s="520">
        <f>90*6.6/$W$6</f>
        <v>594000</v>
      </c>
      <c r="Q11" s="549">
        <f t="shared" ref="Q11:Q16" si="4">$AM$40</f>
        <v>2800000</v>
      </c>
      <c r="R11" s="1243">
        <f t="shared" si="0"/>
        <v>1E-3</v>
      </c>
      <c r="T11" s="498">
        <v>85.522999999999996</v>
      </c>
      <c r="V11" s="579" t="s">
        <v>578</v>
      </c>
      <c r="W11" s="580">
        <v>12.291119937558401</v>
      </c>
      <c r="X11" s="570">
        <v>2.2641</v>
      </c>
    </row>
    <row r="12" spans="1:24">
      <c r="A12" s="3"/>
      <c r="B12" s="3"/>
      <c r="C12" s="491" t="s">
        <v>1573</v>
      </c>
      <c r="D12" s="516" t="s">
        <v>597</v>
      </c>
      <c r="E12" s="60" t="s">
        <v>603</v>
      </c>
      <c r="F12" s="553" t="s">
        <v>705</v>
      </c>
      <c r="G12" s="56">
        <f>'EU Diesel IC-reg.tog'!$E$21</f>
        <v>2020</v>
      </c>
      <c r="H12" s="498" t="s">
        <v>525</v>
      </c>
      <c r="I12" s="514">
        <v>2020</v>
      </c>
      <c r="J12" s="514">
        <v>2034</v>
      </c>
      <c r="K12" s="570">
        <f>'EU SAS avg. airplane adjusted'!$E$72</f>
        <v>168</v>
      </c>
      <c r="L12" s="526">
        <f>'EU SAS avg. airplane adjusted'!$E$28</f>
        <v>6.7086260733801719</v>
      </c>
      <c r="M12" s="490">
        <v>30</v>
      </c>
      <c r="N12" s="1469">
        <f>'EU SAS avg. airplane adjusted'!E93*TRA_Airplane!W6</f>
        <v>4.1834458405846153E-2</v>
      </c>
      <c r="O12" s="520">
        <f t="shared" ref="O12:O13" si="5">90*6.6/$W$6</f>
        <v>594000</v>
      </c>
      <c r="Q12" s="549">
        <f t="shared" si="4"/>
        <v>2800000</v>
      </c>
      <c r="R12" s="1243">
        <f t="shared" si="0"/>
        <v>1E-3</v>
      </c>
      <c r="T12"/>
      <c r="V12" s="581" t="s">
        <v>579</v>
      </c>
      <c r="W12" s="580">
        <v>111.69218451209601</v>
      </c>
      <c r="X12" s="570">
        <v>85.522999999999996</v>
      </c>
    </row>
    <row r="13" spans="1:24">
      <c r="A13" s="3"/>
      <c r="B13" s="3"/>
      <c r="C13" s="491" t="s">
        <v>1573</v>
      </c>
      <c r="D13" s="516" t="s">
        <v>598</v>
      </c>
      <c r="E13" s="60" t="s">
        <v>604</v>
      </c>
      <c r="F13" s="553" t="s">
        <v>705</v>
      </c>
      <c r="G13" s="56">
        <f>'EU Diesel IC-reg.tog'!$F$21</f>
        <v>2035</v>
      </c>
      <c r="H13" s="498" t="s">
        <v>525</v>
      </c>
      <c r="I13" s="514">
        <v>2035</v>
      </c>
      <c r="J13" s="514"/>
      <c r="K13" s="570">
        <f>'EU SAS avg. airplane adjusted'!$F$72</f>
        <v>168</v>
      </c>
      <c r="L13" s="526">
        <f>'EU SAS avg. airplane adjusted'!$F$28</f>
        <v>7.3956540447504313</v>
      </c>
      <c r="M13" s="490">
        <v>30</v>
      </c>
      <c r="N13" s="1470">
        <f>'EU SAS avg. airplane adjusted'!F93*TRA_Airplane!W6</f>
        <v>4.4069859681072784E-2</v>
      </c>
      <c r="O13" s="520">
        <f t="shared" si="5"/>
        <v>594000</v>
      </c>
      <c r="Q13" s="549">
        <f t="shared" si="4"/>
        <v>2800000</v>
      </c>
      <c r="R13" s="1243">
        <f t="shared" si="0"/>
        <v>1E-3</v>
      </c>
      <c r="T13"/>
      <c r="V13" s="582" t="s">
        <v>581</v>
      </c>
      <c r="W13" s="583">
        <v>37.610827008928801</v>
      </c>
      <c r="X13" s="570">
        <v>80</v>
      </c>
    </row>
    <row r="14" spans="1:24">
      <c r="A14" s="3"/>
      <c r="B14" s="3"/>
      <c r="C14" s="491" t="s">
        <v>1573</v>
      </c>
      <c r="D14" s="22" t="s">
        <v>599</v>
      </c>
      <c r="E14" s="60" t="s">
        <v>602</v>
      </c>
      <c r="F14" s="553" t="s">
        <v>706</v>
      </c>
      <c r="G14" s="486" t="str">
        <f>'EU Diesel IC-reg.tog'!$D$21</f>
        <v>2015</v>
      </c>
      <c r="H14" s="498" t="s">
        <v>525</v>
      </c>
      <c r="I14" s="49">
        <v>2012</v>
      </c>
      <c r="J14" s="49">
        <v>2019</v>
      </c>
      <c r="K14">
        <v>80</v>
      </c>
      <c r="L14" s="526">
        <f>'EU SAS avg. airplane adjusted'!$D$23/'EU SAS avg. airplane adjusted'!$D$23*W13</f>
        <v>37.610827008928801</v>
      </c>
      <c r="M14" s="490">
        <v>30</v>
      </c>
      <c r="N14" s="1469">
        <f>N5</f>
        <v>4.0971295478940781E-2</v>
      </c>
      <c r="O14" s="520">
        <f>80*6.6/$W$6</f>
        <v>528000</v>
      </c>
      <c r="Q14" s="549">
        <f t="shared" si="4"/>
        <v>2800000</v>
      </c>
      <c r="R14" s="1243">
        <f t="shared" si="0"/>
        <v>1E-3</v>
      </c>
      <c r="T14" s="498">
        <v>80</v>
      </c>
    </row>
    <row r="15" spans="1:24">
      <c r="A15" s="3"/>
      <c r="B15" s="3"/>
      <c r="C15" s="491" t="s">
        <v>1573</v>
      </c>
      <c r="D15" s="516" t="s">
        <v>600</v>
      </c>
      <c r="E15" s="60" t="s">
        <v>603</v>
      </c>
      <c r="F15" s="553" t="s">
        <v>706</v>
      </c>
      <c r="G15" s="56">
        <f>'EU Diesel IC-reg.tog'!$E$21</f>
        <v>2020</v>
      </c>
      <c r="H15" s="498" t="s">
        <v>525</v>
      </c>
      <c r="I15" s="514">
        <v>2020</v>
      </c>
      <c r="J15" s="514">
        <v>2034</v>
      </c>
      <c r="K15" s="512">
        <v>80</v>
      </c>
      <c r="L15" s="526">
        <f>'EU SAS avg. airplane adjusted'!$E$23/'EU SAS avg. airplane adjusted'!$D$23*W13</f>
        <v>38.792587966859621</v>
      </c>
      <c r="M15" s="490">
        <v>30</v>
      </c>
      <c r="N15" s="1469">
        <f>'EU SAS avg. airplane adjusted'!E93*TRA_Airplane!W6</f>
        <v>4.1834458405846153E-2</v>
      </c>
      <c r="O15" s="520">
        <f t="shared" ref="O15:O16" si="6">80*6.6/$W$6</f>
        <v>528000</v>
      </c>
      <c r="Q15" s="549">
        <f t="shared" si="4"/>
        <v>2800000</v>
      </c>
      <c r="R15" s="1243">
        <f t="shared" si="0"/>
        <v>1E-3</v>
      </c>
      <c r="T15"/>
    </row>
    <row r="16" spans="1:24">
      <c r="A16" s="3"/>
      <c r="B16" s="3"/>
      <c r="C16" s="491" t="s">
        <v>1573</v>
      </c>
      <c r="D16" s="516" t="s">
        <v>601</v>
      </c>
      <c r="E16" s="60" t="s">
        <v>604</v>
      </c>
      <c r="F16" s="553" t="s">
        <v>706</v>
      </c>
      <c r="G16" s="56">
        <f>'EU Diesel IC-reg.tog'!$F$21</f>
        <v>2035</v>
      </c>
      <c r="H16" s="498" t="s">
        <v>525</v>
      </c>
      <c r="I16" s="514">
        <v>2035</v>
      </c>
      <c r="J16" s="514"/>
      <c r="K16" s="512">
        <v>80</v>
      </c>
      <c r="L16" s="526">
        <f>'EU SAS avg. airplane adjusted'!$F$23/'EU SAS avg. airplane adjusted'!$D$23*$W$13</f>
        <v>41.490859614518598</v>
      </c>
      <c r="M16" s="490">
        <v>30</v>
      </c>
      <c r="N16" s="1469">
        <f>'EU SAS avg. airplane adjusted'!F93*TRA_Airplane!W6</f>
        <v>4.4069859681072784E-2</v>
      </c>
      <c r="O16" s="520">
        <f t="shared" si="6"/>
        <v>528000</v>
      </c>
      <c r="Q16" s="549">
        <f t="shared" si="4"/>
        <v>2800000</v>
      </c>
      <c r="R16" s="1243">
        <f t="shared" si="0"/>
        <v>1E-3</v>
      </c>
      <c r="T16"/>
    </row>
    <row r="17" spans="1:57" s="493" customFormat="1" ht="17.100000000000001" customHeight="1">
      <c r="A17" s="3"/>
      <c r="B17" s="571"/>
      <c r="C17" s="491" t="str">
        <f>LEFT(F5,4)&amp;RIGHT(E5,5)&amp;"N"</f>
        <v>TPANKEBL2N</v>
      </c>
      <c r="D17" s="567" t="s">
        <v>592</v>
      </c>
      <c r="E17" s="574" t="s">
        <v>1493</v>
      </c>
      <c r="F17" s="553" t="s">
        <v>704</v>
      </c>
      <c r="G17" s="486" t="str">
        <f>'EU Diesel IC-reg.tog'!$D$21</f>
        <v>2015</v>
      </c>
      <c r="H17" s="570" t="s">
        <v>525</v>
      </c>
      <c r="I17" s="49">
        <v>2012</v>
      </c>
      <c r="J17" s="49">
        <v>2019</v>
      </c>
      <c r="K17" s="570">
        <f>'EU SAS avg. airplane adjusted'!$D$72</f>
        <v>168</v>
      </c>
      <c r="L17" s="526">
        <f>'EU SAS avg. airplane adjusted'!$D$30</f>
        <v>3.1328320802005014</v>
      </c>
      <c r="M17" s="490">
        <v>30</v>
      </c>
      <c r="N17" s="1469">
        <f>'EU SAS avg. airplane adjusted'!D93*TRA_Airplane!W6</f>
        <v>4.0971295478940781E-2</v>
      </c>
      <c r="O17" s="520">
        <f>80*6.6/$W$6</f>
        <v>528000</v>
      </c>
      <c r="P17" s="570"/>
      <c r="Q17" s="549">
        <f>$AM$38</f>
        <v>1750000</v>
      </c>
      <c r="R17" s="1243">
        <f t="shared" si="0"/>
        <v>1E-3</v>
      </c>
      <c r="T17"/>
      <c r="U17" s="498"/>
      <c r="Y17" s="570"/>
    </row>
    <row r="18" spans="1:57" s="493" customFormat="1">
      <c r="A18" s="3"/>
      <c r="B18" s="571"/>
      <c r="C18" s="491" t="str">
        <f>LEFT(F6,4)&amp;RIGHT(E6,5)&amp;"N"</f>
        <v>TPANKEBL3N</v>
      </c>
      <c r="D18" s="567" t="s">
        <v>1507</v>
      </c>
      <c r="E18" s="574" t="s">
        <v>1494</v>
      </c>
      <c r="F18" s="553" t="s">
        <v>704</v>
      </c>
      <c r="G18" s="56">
        <f>'EU Diesel IC-reg.tog'!$E$21</f>
        <v>2020</v>
      </c>
      <c r="H18" s="570" t="s">
        <v>525</v>
      </c>
      <c r="I18" s="573">
        <v>2020</v>
      </c>
      <c r="J18" s="573">
        <v>2034</v>
      </c>
      <c r="K18" s="570">
        <f>'EU SAS avg. airplane adjusted'!$E$72</f>
        <v>168</v>
      </c>
      <c r="L18" s="526">
        <f>'EU SAS avg. airplane adjusted'!$E$30</f>
        <v>3.2526671870934165</v>
      </c>
      <c r="M18" s="490">
        <v>30</v>
      </c>
      <c r="N18" s="1469">
        <f>'EU SAS avg. airplane adjusted'!E93*TRA_Airplane!W6</f>
        <v>4.1834458405846153E-2</v>
      </c>
      <c r="O18" s="520">
        <f t="shared" ref="O18:O19" si="7">80*6.6/$W$6</f>
        <v>528000</v>
      </c>
      <c r="P18" s="570"/>
      <c r="Q18" s="549">
        <f>$AM$38</f>
        <v>1750000</v>
      </c>
      <c r="R18" s="1243">
        <f t="shared" si="0"/>
        <v>1E-3</v>
      </c>
      <c r="T18"/>
      <c r="U18" s="498"/>
      <c r="V18" s="493" t="s">
        <v>1519</v>
      </c>
      <c r="Y18" s="570"/>
    </row>
    <row r="19" spans="1:57">
      <c r="A19" s="3"/>
      <c r="B19" s="571"/>
      <c r="C19" s="491" t="str">
        <f>LEFT(F7,4)&amp;RIGHT(E7,5)&amp;"N"</f>
        <v>TPANKEBL4N</v>
      </c>
      <c r="D19" s="567" t="s">
        <v>1508</v>
      </c>
      <c r="E19" s="574" t="s">
        <v>1495</v>
      </c>
      <c r="F19" s="553" t="s">
        <v>704</v>
      </c>
      <c r="G19" s="56">
        <f>'EU Diesel IC-reg.tog'!$F$21</f>
        <v>2035</v>
      </c>
      <c r="H19" s="570" t="s">
        <v>525</v>
      </c>
      <c r="I19" s="573">
        <v>2035</v>
      </c>
      <c r="J19" s="573"/>
      <c r="K19" s="570">
        <f>'EU SAS avg. airplane adjusted'!$F$72</f>
        <v>168</v>
      </c>
      <c r="L19" s="526">
        <f>'EU SAS avg. airplane adjusted'!$F$30</f>
        <v>3.5857716580608145</v>
      </c>
      <c r="M19" s="490">
        <v>30</v>
      </c>
      <c r="N19" s="1469">
        <f>'EU SAS avg. airplane adjusted'!F93*TRA_Airplane!W6</f>
        <v>4.4069859681072784E-2</v>
      </c>
      <c r="O19" s="520">
        <f t="shared" si="7"/>
        <v>528000</v>
      </c>
      <c r="P19" s="570"/>
      <c r="Q19" s="549">
        <f>$AM$38</f>
        <v>1750000</v>
      </c>
      <c r="R19" s="1243">
        <f t="shared" si="0"/>
        <v>1E-3</v>
      </c>
      <c r="S19" s="1230"/>
      <c r="T19"/>
      <c r="V19" s="570"/>
      <c r="W19" s="570"/>
      <c r="X19" s="570"/>
      <c r="Y19" s="1458" t="s">
        <v>1521</v>
      </c>
      <c r="Z19" s="570"/>
      <c r="AA19" s="570"/>
      <c r="AB19" s="570"/>
      <c r="AC19" s="570"/>
      <c r="AD19" s="570"/>
      <c r="AE19" s="570"/>
      <c r="AF19" s="570"/>
      <c r="AG19" s="570"/>
      <c r="AH19" s="570"/>
      <c r="AI19" s="570"/>
      <c r="AJ19" s="1459" t="s">
        <v>1522</v>
      </c>
      <c r="AK19" s="570"/>
      <c r="AL19" s="570"/>
      <c r="AM19" s="570"/>
      <c r="AN19" s="570"/>
      <c r="AO19" s="570"/>
      <c r="AP19" s="570"/>
      <c r="AQ19" s="570"/>
      <c r="AR19" s="1459" t="s">
        <v>1523</v>
      </c>
      <c r="AS19" s="570"/>
      <c r="AT19" s="570"/>
      <c r="AU19" s="570"/>
      <c r="AV19" s="570"/>
      <c r="AW19" s="570"/>
      <c r="AX19" s="570"/>
      <c r="AY19" s="570"/>
      <c r="AZ19" s="570"/>
      <c r="BA19" s="1459" t="s">
        <v>1524</v>
      </c>
      <c r="BB19" s="570"/>
      <c r="BC19" s="570"/>
      <c r="BD19" s="570"/>
      <c r="BE19" s="570"/>
    </row>
    <row r="20" spans="1:57" ht="24" thickBot="1">
      <c r="A20" s="3"/>
      <c r="B20" s="571"/>
      <c r="C20" s="491" t="str">
        <f>LEFT(F20,5)&amp;RIGHT(E20,5)&amp;"N"</f>
        <v>TPAISKEIN2N</v>
      </c>
      <c r="D20" s="567" t="s">
        <v>1501</v>
      </c>
      <c r="E20" s="574" t="s">
        <v>1496</v>
      </c>
      <c r="F20" s="553" t="s">
        <v>1500</v>
      </c>
      <c r="G20" s="486" t="str">
        <f>'EU Diesel IC-reg.tog'!$D$21</f>
        <v>2015</v>
      </c>
      <c r="H20" s="570" t="s">
        <v>525</v>
      </c>
      <c r="I20" s="49">
        <v>2012</v>
      </c>
      <c r="J20" s="49">
        <v>2019</v>
      </c>
      <c r="K20" s="570">
        <f>'EU SAS avg. airplane adjusted'!$D$72</f>
        <v>168</v>
      </c>
      <c r="L20" s="526">
        <f>'EU SAS avg. airplane adjusted'!$D$28</f>
        <v>6.4614661654135341</v>
      </c>
      <c r="M20" s="490">
        <v>30</v>
      </c>
      <c r="N20" s="1469">
        <f t="shared" ref="N20:N25" si="8">N17</f>
        <v>4.0971295478940781E-2</v>
      </c>
      <c r="O20" s="520">
        <f>90*6.6/$W$6</f>
        <v>594000</v>
      </c>
      <c r="P20" s="570"/>
      <c r="Q20" s="549">
        <f t="shared" ref="Q20:Q28" si="9">$AM$40</f>
        <v>2800000</v>
      </c>
      <c r="R20" s="1243">
        <f t="shared" si="0"/>
        <v>1E-3</v>
      </c>
      <c r="S20" s="570"/>
      <c r="T20"/>
      <c r="V20" s="1460" t="s">
        <v>1</v>
      </c>
      <c r="W20" s="1460" t="s">
        <v>64</v>
      </c>
      <c r="X20" s="1460" t="s">
        <v>2</v>
      </c>
      <c r="Y20" s="1460" t="s">
        <v>3</v>
      </c>
      <c r="Z20" s="1460" t="s">
        <v>5</v>
      </c>
      <c r="AA20" s="1460" t="s">
        <v>1520</v>
      </c>
      <c r="AB20" s="1460" t="s">
        <v>10</v>
      </c>
      <c r="AC20" s="1460">
        <v>2015</v>
      </c>
      <c r="AD20" s="1460">
        <v>2020</v>
      </c>
      <c r="AE20" s="1460">
        <v>2030</v>
      </c>
      <c r="AF20" s="1460">
        <v>2040</v>
      </c>
      <c r="AG20" s="1460">
        <v>2050</v>
      </c>
      <c r="AH20" s="1461">
        <v>2080</v>
      </c>
      <c r="AI20" s="570"/>
      <c r="AJ20" s="1462" t="s">
        <v>1</v>
      </c>
      <c r="AK20" s="1463">
        <v>2015</v>
      </c>
      <c r="AL20" s="1463">
        <v>2020</v>
      </c>
      <c r="AM20" s="1463">
        <v>2030</v>
      </c>
      <c r="AN20" s="1463">
        <v>2040</v>
      </c>
      <c r="AO20" s="1463">
        <v>2050</v>
      </c>
      <c r="AP20" s="1464">
        <v>2080</v>
      </c>
      <c r="AQ20" s="570"/>
      <c r="AR20" s="1462" t="s">
        <v>1</v>
      </c>
      <c r="AS20" s="1463">
        <v>2015</v>
      </c>
      <c r="AT20" s="1463">
        <v>2020</v>
      </c>
      <c r="AU20" s="1463">
        <v>2030</v>
      </c>
      <c r="AV20" s="1463">
        <v>2040</v>
      </c>
      <c r="AW20" s="1463">
        <v>2050</v>
      </c>
      <c r="AX20" s="1464">
        <v>2080</v>
      </c>
      <c r="AY20" s="570"/>
      <c r="AZ20" s="1462" t="s">
        <v>1</v>
      </c>
      <c r="BA20" s="1460" t="s">
        <v>2</v>
      </c>
      <c r="BB20" s="1465">
        <v>2015</v>
      </c>
      <c r="BC20" s="1463">
        <v>2030</v>
      </c>
      <c r="BD20" s="1463">
        <v>2050</v>
      </c>
      <c r="BE20" s="1464">
        <v>2070</v>
      </c>
    </row>
    <row r="21" spans="1:57">
      <c r="A21" s="3"/>
      <c r="B21" s="571"/>
      <c r="C21" s="491" t="str">
        <f t="shared" ref="C21:C25" si="10">LEFT(F21,5)&amp;RIGHT(E21,5)&amp;"N"</f>
        <v>TPAISKEIN3N</v>
      </c>
      <c r="D21" s="567" t="s">
        <v>1502</v>
      </c>
      <c r="E21" s="574" t="s">
        <v>1497</v>
      </c>
      <c r="F21" s="553" t="s">
        <v>1500</v>
      </c>
      <c r="G21" s="56">
        <f>'EU Diesel IC-reg.tog'!$E$21</f>
        <v>2020</v>
      </c>
      <c r="H21" s="570" t="s">
        <v>525</v>
      </c>
      <c r="I21" s="573">
        <v>2020</v>
      </c>
      <c r="J21" s="573">
        <v>2034</v>
      </c>
      <c r="K21" s="570">
        <f>'EU SAS avg. airplane adjusted'!$E$72</f>
        <v>168</v>
      </c>
      <c r="L21" s="526">
        <f>'EU SAS avg. airplane adjusted'!$E$28</f>
        <v>6.7086260733801719</v>
      </c>
      <c r="M21" s="490">
        <v>30</v>
      </c>
      <c r="N21" s="1469">
        <f t="shared" si="8"/>
        <v>4.1834458405846153E-2</v>
      </c>
      <c r="O21" s="520">
        <f t="shared" ref="O21:O25" si="11">90*6.6/$W$6</f>
        <v>594000</v>
      </c>
      <c r="P21" s="570"/>
      <c r="Q21" s="549">
        <f t="shared" si="9"/>
        <v>2800000</v>
      </c>
      <c r="R21" s="1243">
        <f t="shared" si="0"/>
        <v>1E-3</v>
      </c>
      <c r="S21" s="570"/>
      <c r="T21"/>
      <c r="V21" s="1454" t="s">
        <v>1509</v>
      </c>
      <c r="W21" s="1454" t="s">
        <v>1510</v>
      </c>
      <c r="X21" s="1454" t="s">
        <v>1511</v>
      </c>
      <c r="Y21" s="1455" t="s">
        <v>1512</v>
      </c>
      <c r="Z21" s="1455">
        <v>2030</v>
      </c>
      <c r="AA21" s="1455">
        <v>1</v>
      </c>
      <c r="AB21" s="1455">
        <v>30</v>
      </c>
      <c r="AC21" s="1454"/>
      <c r="AD21" s="1454"/>
      <c r="AE21" s="1456">
        <v>1.75</v>
      </c>
      <c r="AF21" s="1456">
        <v>2.15</v>
      </c>
      <c r="AG21" s="1456">
        <v>2.4500000000000002</v>
      </c>
      <c r="AH21" s="1454">
        <v>2.7</v>
      </c>
      <c r="AI21" s="570"/>
      <c r="AJ21" s="1457" t="str">
        <f t="shared" ref="AJ21:AJ23" si="12">$C21</f>
        <v>TPAISKEIN3N</v>
      </c>
      <c r="AK21" s="1454"/>
      <c r="AL21" s="1454"/>
      <c r="AM21" s="1454"/>
      <c r="AN21" s="1454">
        <v>135</v>
      </c>
      <c r="AO21" s="1454"/>
      <c r="AP21" s="1454"/>
      <c r="AQ21" s="570"/>
      <c r="AR21" s="1457" t="str">
        <f t="shared" ref="AR21:AR23" si="13">$C21</f>
        <v>TPAISKEIN3N</v>
      </c>
      <c r="AS21" s="1454">
        <v>1.3</v>
      </c>
      <c r="AT21" s="1454"/>
      <c r="AU21" s="1454"/>
      <c r="AV21" s="1455"/>
      <c r="AW21" s="1454"/>
      <c r="AX21" s="1454"/>
    </row>
    <row r="22" spans="1:57">
      <c r="A22" s="3"/>
      <c r="B22" s="571"/>
      <c r="C22" s="491" t="str">
        <f t="shared" si="10"/>
        <v>TPAISKEIN4N</v>
      </c>
      <c r="D22" s="567" t="s">
        <v>1503</v>
      </c>
      <c r="E22" s="574" t="s">
        <v>1498</v>
      </c>
      <c r="F22" s="553" t="s">
        <v>1500</v>
      </c>
      <c r="G22" s="56">
        <f>'EU Diesel IC-reg.tog'!$F$21</f>
        <v>2035</v>
      </c>
      <c r="H22" s="570" t="s">
        <v>525</v>
      </c>
      <c r="I22" s="573">
        <v>2035</v>
      </c>
      <c r="J22" s="573"/>
      <c r="K22" s="570">
        <f>'EU SAS avg. airplane adjusted'!$F$72</f>
        <v>168</v>
      </c>
      <c r="L22" s="526">
        <f>'EU SAS avg. airplane adjusted'!$F$28</f>
        <v>7.3956540447504313</v>
      </c>
      <c r="M22" s="490">
        <v>30</v>
      </c>
      <c r="N22" s="1469">
        <f t="shared" si="8"/>
        <v>4.4069859681072784E-2</v>
      </c>
      <c r="O22" s="520">
        <f t="shared" si="11"/>
        <v>594000</v>
      </c>
      <c r="P22" s="570"/>
      <c r="Q22" s="549">
        <f t="shared" si="9"/>
        <v>2800000</v>
      </c>
      <c r="R22" s="1243">
        <f t="shared" si="0"/>
        <v>1E-3</v>
      </c>
      <c r="S22" s="570"/>
      <c r="T22"/>
      <c r="V22" s="1454" t="s">
        <v>1513</v>
      </c>
      <c r="W22" s="1454" t="s">
        <v>1514</v>
      </c>
      <c r="X22" s="1454" t="s">
        <v>1511</v>
      </c>
      <c r="Y22" s="1455" t="s">
        <v>1515</v>
      </c>
      <c r="Z22" s="1455">
        <v>2030</v>
      </c>
      <c r="AA22" s="1455">
        <v>1</v>
      </c>
      <c r="AB22" s="1455">
        <v>30</v>
      </c>
      <c r="AC22" s="1454"/>
      <c r="AD22" s="1454"/>
      <c r="AE22" s="1456">
        <v>1.75</v>
      </c>
      <c r="AF22" s="1456">
        <v>2.15</v>
      </c>
      <c r="AG22" s="1456">
        <v>2.4500000000000002</v>
      </c>
      <c r="AH22" s="1454">
        <v>2.7</v>
      </c>
      <c r="AI22" s="570"/>
      <c r="AJ22" s="1457" t="str">
        <f t="shared" si="12"/>
        <v>TPAISKEIN4N</v>
      </c>
      <c r="AK22" s="1454"/>
      <c r="AL22" s="1454"/>
      <c r="AM22" s="1454"/>
      <c r="AN22" s="1454">
        <v>150</v>
      </c>
      <c r="AO22" s="1454"/>
      <c r="AP22" s="1454"/>
      <c r="AQ22" s="570"/>
      <c r="AR22" s="1457" t="str">
        <f t="shared" si="13"/>
        <v>TPAISKEIN4N</v>
      </c>
      <c r="AS22" s="1454">
        <v>1.5</v>
      </c>
      <c r="AT22" s="1454"/>
      <c r="AU22" s="1454"/>
      <c r="AV22" s="1455"/>
      <c r="AW22" s="1454"/>
      <c r="AX22" s="1454"/>
    </row>
    <row r="23" spans="1:57">
      <c r="A23" s="3"/>
      <c r="B23" s="571"/>
      <c r="C23" s="491" t="str">
        <f t="shared" si="10"/>
        <v>TPAILKEIN2N</v>
      </c>
      <c r="D23" s="567" t="s">
        <v>1504</v>
      </c>
      <c r="E23" s="574" t="s">
        <v>1496</v>
      </c>
      <c r="F23" s="553" t="s">
        <v>1499</v>
      </c>
      <c r="G23" s="486" t="str">
        <f>'EU Diesel IC-reg.tog'!$D$21</f>
        <v>2015</v>
      </c>
      <c r="H23" s="570" t="s">
        <v>525</v>
      </c>
      <c r="I23" s="49">
        <v>2012</v>
      </c>
      <c r="J23" s="49">
        <v>2019</v>
      </c>
      <c r="K23" s="570">
        <f>'EU SAS avg. airplane adjusted'!$D$72</f>
        <v>168</v>
      </c>
      <c r="L23" s="526">
        <f>'EU SAS avg. airplane adjusted'!$D$28</f>
        <v>6.4614661654135341</v>
      </c>
      <c r="M23" s="490">
        <v>30</v>
      </c>
      <c r="N23" s="1469">
        <f t="shared" si="8"/>
        <v>4.0971295478940781E-2</v>
      </c>
      <c r="O23" s="520">
        <f>90*6.6/$W$6</f>
        <v>594000</v>
      </c>
      <c r="P23" s="570"/>
      <c r="Q23" s="549">
        <f t="shared" si="9"/>
        <v>2800000</v>
      </c>
      <c r="R23" s="1243">
        <f t="shared" si="0"/>
        <v>1E-3</v>
      </c>
      <c r="S23" s="570"/>
      <c r="T23"/>
      <c r="V23" s="1454" t="s">
        <v>1516</v>
      </c>
      <c r="W23" s="1454" t="s">
        <v>1517</v>
      </c>
      <c r="X23" s="1454" t="s">
        <v>1518</v>
      </c>
      <c r="Y23" s="1455" t="s">
        <v>1515</v>
      </c>
      <c r="Z23" s="1455">
        <v>2030</v>
      </c>
      <c r="AA23" s="1455">
        <v>1</v>
      </c>
      <c r="AB23" s="1455">
        <v>25</v>
      </c>
      <c r="AC23" s="1454"/>
      <c r="AD23" s="1454"/>
      <c r="AE23" s="1454">
        <v>2.65</v>
      </c>
      <c r="AF23" s="1454">
        <v>2.85</v>
      </c>
      <c r="AG23" s="1454">
        <v>3.05</v>
      </c>
      <c r="AH23" s="1454">
        <v>3.15</v>
      </c>
      <c r="AI23" s="570"/>
      <c r="AJ23" s="1457" t="str">
        <f t="shared" si="12"/>
        <v>TPAILKEIN2N</v>
      </c>
      <c r="AK23" s="1454"/>
      <c r="AL23" s="1454"/>
      <c r="AM23" s="1454">
        <v>200</v>
      </c>
      <c r="AN23" s="1454">
        <v>190</v>
      </c>
      <c r="AO23" s="1454">
        <v>180</v>
      </c>
      <c r="AP23" s="1454"/>
      <c r="AQ23" s="570"/>
      <c r="AR23" s="1457" t="str">
        <f t="shared" si="13"/>
        <v>TPAILKEIN2N</v>
      </c>
      <c r="AS23" s="1454">
        <v>1.8</v>
      </c>
      <c r="AT23" s="1454"/>
      <c r="AU23" s="1454"/>
      <c r="AV23" s="1455"/>
      <c r="AW23" s="1454"/>
      <c r="AX23" s="1454"/>
    </row>
    <row r="24" spans="1:57">
      <c r="A24" s="3"/>
      <c r="B24" s="571"/>
      <c r="C24" s="491" t="str">
        <f t="shared" si="10"/>
        <v>TPAILKEIN3N</v>
      </c>
      <c r="D24" s="567" t="s">
        <v>1505</v>
      </c>
      <c r="E24" s="574" t="s">
        <v>1497</v>
      </c>
      <c r="F24" s="553" t="s">
        <v>1499</v>
      </c>
      <c r="G24" s="56">
        <f>'EU Diesel IC-reg.tog'!$E$21</f>
        <v>2020</v>
      </c>
      <c r="H24" s="570" t="s">
        <v>525</v>
      </c>
      <c r="I24" s="573">
        <v>2020</v>
      </c>
      <c r="J24" s="573">
        <v>2034</v>
      </c>
      <c r="K24" s="570">
        <f>'EU SAS avg. airplane adjusted'!$E$72</f>
        <v>168</v>
      </c>
      <c r="L24" s="526">
        <f>'EU SAS avg. airplane adjusted'!$E$28</f>
        <v>6.7086260733801719</v>
      </c>
      <c r="M24" s="490">
        <v>30</v>
      </c>
      <c r="N24" s="1469">
        <f t="shared" si="8"/>
        <v>4.1834458405846153E-2</v>
      </c>
      <c r="O24" s="520">
        <f t="shared" si="11"/>
        <v>594000</v>
      </c>
      <c r="P24" s="570"/>
      <c r="Q24" s="549">
        <f t="shared" si="9"/>
        <v>2800000</v>
      </c>
      <c r="R24" s="1243">
        <f t="shared" si="0"/>
        <v>1E-3</v>
      </c>
      <c r="S24" s="570"/>
      <c r="T24" s="570"/>
      <c r="U24" s="570"/>
    </row>
    <row r="25" spans="1:57">
      <c r="A25" s="3"/>
      <c r="B25" s="571"/>
      <c r="C25" s="491" t="str">
        <f t="shared" si="10"/>
        <v>TPAILKEIN4N</v>
      </c>
      <c r="D25" s="567" t="s">
        <v>1506</v>
      </c>
      <c r="E25" s="574" t="s">
        <v>1498</v>
      </c>
      <c r="F25" s="553" t="s">
        <v>1499</v>
      </c>
      <c r="G25" s="56">
        <f>'EU Diesel IC-reg.tog'!$F$21</f>
        <v>2035</v>
      </c>
      <c r="H25" s="570" t="s">
        <v>525</v>
      </c>
      <c r="I25" s="573">
        <v>2035</v>
      </c>
      <c r="J25" s="573"/>
      <c r="K25" s="570">
        <f>'EU SAS avg. airplane adjusted'!$F$72</f>
        <v>168</v>
      </c>
      <c r="L25" s="526">
        <f>'EU SAS avg. airplane adjusted'!$F$28</f>
        <v>7.3956540447504313</v>
      </c>
      <c r="M25" s="490">
        <v>30</v>
      </c>
      <c r="N25" s="1469">
        <f t="shared" si="8"/>
        <v>4.4069859681072784E-2</v>
      </c>
      <c r="O25" s="520">
        <f t="shared" si="11"/>
        <v>594000</v>
      </c>
      <c r="P25" s="570"/>
      <c r="Q25" s="549">
        <f t="shared" si="9"/>
        <v>2800000</v>
      </c>
      <c r="R25" s="1243">
        <f t="shared" si="0"/>
        <v>1E-3</v>
      </c>
      <c r="S25" s="570"/>
      <c r="V25" s="1454" t="s">
        <v>1530</v>
      </c>
      <c r="AJ25" s="570"/>
      <c r="AK25" s="570"/>
      <c r="AL25" s="548"/>
      <c r="AN25" s="548"/>
    </row>
    <row r="26" spans="1:57" s="570" customFormat="1">
      <c r="A26" s="571"/>
      <c r="B26" s="571"/>
      <c r="C26" s="491" t="str">
        <f>LEFT(F26,4)&amp;RIGHT(E26,5)&amp;"N"</f>
        <v>TFAIKEIN2N</v>
      </c>
      <c r="D26" s="567" t="s">
        <v>599</v>
      </c>
      <c r="E26" s="574" t="str">
        <f>E23</f>
        <v>TRAKEIN2</v>
      </c>
      <c r="F26" s="553" t="s">
        <v>706</v>
      </c>
      <c r="G26" s="486" t="str">
        <f>'EU Diesel IC-reg.tog'!$D$21</f>
        <v>2015</v>
      </c>
      <c r="H26" s="570" t="s">
        <v>525</v>
      </c>
      <c r="I26" s="49">
        <v>2012</v>
      </c>
      <c r="J26" s="49">
        <v>2019</v>
      </c>
      <c r="K26" s="570">
        <v>80</v>
      </c>
      <c r="L26" s="526">
        <f>L14</f>
        <v>37.610827008928801</v>
      </c>
      <c r="M26" s="1294">
        <v>30</v>
      </c>
      <c r="N26" s="1468">
        <f>N14</f>
        <v>4.0971295478940781E-2</v>
      </c>
      <c r="O26" s="520">
        <f>80*6.6/$W$6</f>
        <v>528000</v>
      </c>
      <c r="Q26" s="549">
        <f t="shared" si="9"/>
        <v>2800000</v>
      </c>
      <c r="R26" s="1243">
        <f t="shared" si="0"/>
        <v>1E-3</v>
      </c>
      <c r="V26" s="498">
        <v>0.13400000000000001</v>
      </c>
      <c r="W26" s="498" t="s">
        <v>1527</v>
      </c>
      <c r="AN26" s="548"/>
    </row>
    <row r="27" spans="1:57" s="570" customFormat="1">
      <c r="A27" s="571"/>
      <c r="B27" s="571"/>
      <c r="C27" s="491" t="str">
        <f t="shared" ref="C27" si="14">LEFT(F27,4)&amp;RIGHT(E27,5)&amp;"N"</f>
        <v>TFAIKEIN3N</v>
      </c>
      <c r="D27" s="567" t="s">
        <v>600</v>
      </c>
      <c r="E27" s="574" t="str">
        <f>E24</f>
        <v>TRAKEIN3</v>
      </c>
      <c r="F27" s="553" t="s">
        <v>706</v>
      </c>
      <c r="G27" s="56">
        <f>'EU Diesel IC-reg.tog'!$E$21</f>
        <v>2020</v>
      </c>
      <c r="H27" s="570" t="s">
        <v>525</v>
      </c>
      <c r="I27" s="573">
        <v>2020</v>
      </c>
      <c r="J27" s="573">
        <v>2034</v>
      </c>
      <c r="K27" s="570">
        <v>80</v>
      </c>
      <c r="L27" s="526">
        <f>L15</f>
        <v>38.792587966859621</v>
      </c>
      <c r="M27" s="1294">
        <f>M15</f>
        <v>30</v>
      </c>
      <c r="N27" s="1468">
        <f>N15</f>
        <v>4.1834458405846153E-2</v>
      </c>
      <c r="O27" s="520">
        <f t="shared" ref="O27:O28" si="15">80*6.6/$W$6</f>
        <v>528000</v>
      </c>
      <c r="Q27" s="549">
        <f t="shared" si="9"/>
        <v>2800000</v>
      </c>
      <c r="R27" s="1243">
        <f t="shared" si="0"/>
        <v>1E-3</v>
      </c>
      <c r="V27" s="498">
        <v>1.0840000000000001</v>
      </c>
      <c r="W27" s="498" t="s">
        <v>1528</v>
      </c>
      <c r="AN27" s="548"/>
    </row>
    <row r="28" spans="1:57" s="570" customFormat="1">
      <c r="A28" s="571"/>
      <c r="B28" s="571"/>
      <c r="C28" s="491" t="str">
        <f>LEFT(F28,4)&amp;RIGHT(E28,5)&amp;"N"</f>
        <v>TFAIKEIN4N</v>
      </c>
      <c r="D28" s="567" t="s">
        <v>601</v>
      </c>
      <c r="E28" s="574" t="str">
        <f>E25</f>
        <v>TRAKEIN4</v>
      </c>
      <c r="F28" s="553" t="s">
        <v>706</v>
      </c>
      <c r="G28" s="56">
        <f>'EU Diesel IC-reg.tog'!$F$21</f>
        <v>2035</v>
      </c>
      <c r="H28" s="570" t="s">
        <v>525</v>
      </c>
      <c r="I28" s="573">
        <v>2035</v>
      </c>
      <c r="J28" s="573"/>
      <c r="K28" s="570">
        <v>80</v>
      </c>
      <c r="L28" s="526">
        <f>L16</f>
        <v>41.490859614518598</v>
      </c>
      <c r="M28" s="1294">
        <v>30</v>
      </c>
      <c r="N28" s="1468">
        <f>N16</f>
        <v>4.4069859681072784E-2</v>
      </c>
      <c r="O28" s="520">
        <f t="shared" si="15"/>
        <v>528000</v>
      </c>
      <c r="Q28" s="549">
        <f t="shared" si="9"/>
        <v>2800000</v>
      </c>
      <c r="R28" s="1243">
        <f t="shared" si="0"/>
        <v>1E-3</v>
      </c>
      <c r="V28" s="1221">
        <f>V26/V27</f>
        <v>0.12361623616236163</v>
      </c>
      <c r="W28" s="498" t="s">
        <v>1529</v>
      </c>
      <c r="AL28" s="548"/>
      <c r="AN28" s="548"/>
    </row>
    <row r="29" spans="1:57" s="570" customFormat="1">
      <c r="A29" s="571"/>
      <c r="B29" s="571"/>
      <c r="C29" s="491" t="str">
        <f>LEFT(F29,5)&amp;RIGHT(E29,3)&amp;"N"</f>
        <v>TPANVELCN</v>
      </c>
      <c r="D29" s="567" t="s">
        <v>1526</v>
      </c>
      <c r="E29" s="574" t="s">
        <v>80</v>
      </c>
      <c r="F29" s="491" t="str">
        <f>F18</f>
        <v>TPANV</v>
      </c>
      <c r="G29" s="56">
        <v>2035</v>
      </c>
      <c r="H29" s="491" t="s">
        <v>525</v>
      </c>
      <c r="I29" s="558">
        <v>2035</v>
      </c>
      <c r="J29" s="573"/>
      <c r="K29" s="549">
        <f>K33</f>
        <v>168</v>
      </c>
      <c r="L29" s="526">
        <f>L19*AE23</f>
        <v>9.5022948938611584</v>
      </c>
      <c r="M29" s="549">
        <f>M33</f>
        <v>30</v>
      </c>
      <c r="N29" s="1472">
        <f>N19</f>
        <v>4.4069859681072784E-2</v>
      </c>
      <c r="O29" s="520">
        <f>AM23/$V$28*$V$32+O19</f>
        <v>1140542.0721845317</v>
      </c>
      <c r="P29" s="520">
        <f>AS23/$V$28*$V$32</f>
        <v>5512.8786496607854</v>
      </c>
      <c r="Q29" s="549">
        <f>Q33</f>
        <v>2800000</v>
      </c>
      <c r="R29" s="570">
        <f>R33</f>
        <v>1E-3</v>
      </c>
      <c r="AN29" s="548"/>
    </row>
    <row r="30" spans="1:57" s="570" customFormat="1">
      <c r="A30" s="571"/>
      <c r="B30" s="571"/>
      <c r="C30" s="491"/>
      <c r="D30" s="567"/>
      <c r="E30" s="574"/>
      <c r="F30" s="491"/>
      <c r="G30" s="56">
        <v>2040</v>
      </c>
      <c r="H30" s="491" t="s">
        <v>525</v>
      </c>
      <c r="I30" s="558"/>
      <c r="J30" s="573"/>
      <c r="K30" s="549"/>
      <c r="L30" s="526"/>
      <c r="M30" s="549"/>
      <c r="N30" s="1472"/>
      <c r="O30" s="520">
        <f>AN23/$V$28*$V$32+O19</f>
        <v>1109914.9685753051</v>
      </c>
      <c r="P30" s="520"/>
      <c r="Q30" s="549"/>
      <c r="V30" s="1230">
        <f>1/(K33*L22)*(K33*Q33)/1000</f>
        <v>378.60072727272723</v>
      </c>
      <c r="W30" s="498"/>
      <c r="AN30" s="872"/>
    </row>
    <row r="31" spans="1:57" s="570" customFormat="1">
      <c r="A31" s="571"/>
      <c r="B31" s="571"/>
      <c r="C31" s="491"/>
      <c r="D31" s="567"/>
      <c r="E31" s="574"/>
      <c r="F31" s="491"/>
      <c r="G31" s="56">
        <v>2050</v>
      </c>
      <c r="H31" s="491" t="s">
        <v>525</v>
      </c>
      <c r="I31" s="558"/>
      <c r="J31" s="573"/>
      <c r="K31" s="549"/>
      <c r="L31" s="526"/>
      <c r="M31" s="549"/>
      <c r="N31" s="1472"/>
      <c r="O31" s="520">
        <f>AO23/$V$28*$V$32+O19</f>
        <v>1079287.8649660787</v>
      </c>
      <c r="P31" s="520"/>
      <c r="Q31" s="549"/>
      <c r="V31" s="570">
        <f>(V34*1000000)/(K33*Q33)/1000</f>
        <v>8.5034013605442188E-2</v>
      </c>
      <c r="W31" s="548" t="s">
        <v>1541</v>
      </c>
      <c r="AG31" s="548" t="s">
        <v>1546</v>
      </c>
      <c r="AN31" s="548"/>
    </row>
    <row r="32" spans="1:57" s="570" customFormat="1">
      <c r="A32" s="571"/>
      <c r="B32" s="571"/>
      <c r="C32" s="491" t="str">
        <f>LEFT(F32,5)&amp;RIGHT(E32,3)&amp;"N"</f>
        <v>TPANVH2GN</v>
      </c>
      <c r="D32" s="567" t="s">
        <v>1545</v>
      </c>
      <c r="E32" s="574" t="s">
        <v>668</v>
      </c>
      <c r="F32" s="491" t="str">
        <f>F19</f>
        <v>TPANV</v>
      </c>
      <c r="G32" s="56">
        <v>2035</v>
      </c>
      <c r="H32" s="491" t="s">
        <v>525</v>
      </c>
      <c r="I32" s="558">
        <v>2035</v>
      </c>
      <c r="J32" s="573"/>
      <c r="K32" s="570">
        <f>K22</f>
        <v>168</v>
      </c>
      <c r="L32" s="526">
        <f>L19*AE22</f>
        <v>6.2751004016064256</v>
      </c>
      <c r="M32" s="490">
        <v>30</v>
      </c>
      <c r="N32" s="1469">
        <f>N19</f>
        <v>4.4069859681072784E-2</v>
      </c>
      <c r="O32" s="520">
        <f>AN22/$V$28*$V$32+O19</f>
        <v>987406.55413839873</v>
      </c>
      <c r="P32" s="520">
        <f>AS22/$V$28*$V$32</f>
        <v>4594.0655413839877</v>
      </c>
      <c r="Q32" s="549">
        <f>$AM$40</f>
        <v>2800000</v>
      </c>
      <c r="R32" s="1243">
        <f>$AM$42</f>
        <v>1E-3</v>
      </c>
      <c r="V32" s="1471">
        <f>(V36/V31)</f>
        <v>378.60072727272717</v>
      </c>
      <c r="W32" s="548" t="s">
        <v>1542</v>
      </c>
    </row>
    <row r="33" spans="1:44">
      <c r="A33" s="3"/>
      <c r="B33" s="571"/>
      <c r="C33" s="491" t="str">
        <f>LEFT(F33,5)&amp;RIGHT(E33,3)&amp;"N"</f>
        <v>TPAISELCN</v>
      </c>
      <c r="D33" s="567" t="s">
        <v>1525</v>
      </c>
      <c r="E33" s="574" t="s">
        <v>80</v>
      </c>
      <c r="F33" s="491" t="str">
        <f>F22</f>
        <v>TPAIS</v>
      </c>
      <c r="G33" s="56">
        <v>2035</v>
      </c>
      <c r="H33" s="491" t="s">
        <v>525</v>
      </c>
      <c r="I33" s="558">
        <v>2035</v>
      </c>
      <c r="J33" s="573"/>
      <c r="K33" s="570">
        <f>K20</f>
        <v>168</v>
      </c>
      <c r="L33" s="526">
        <f>L22*AE23</f>
        <v>19.598483218588644</v>
      </c>
      <c r="M33" s="490">
        <v>30</v>
      </c>
      <c r="N33" s="1469">
        <f>N22</f>
        <v>4.4069859681072784E-2</v>
      </c>
      <c r="O33" s="520">
        <f>AM23/$V$28*$V$32+O22</f>
        <v>1206542.0721845317</v>
      </c>
      <c r="P33" s="520">
        <f>AS23/$V$28*$V$32</f>
        <v>5512.8786496607854</v>
      </c>
      <c r="Q33" s="549">
        <f>$AM$40</f>
        <v>2800000</v>
      </c>
      <c r="R33" s="1243">
        <f>$AM$42</f>
        <v>1E-3</v>
      </c>
      <c r="S33" s="570"/>
      <c r="V33" s="498">
        <f>V34*1000000</f>
        <v>40000000000</v>
      </c>
      <c r="W33" s="498" t="s">
        <v>1540</v>
      </c>
      <c r="AG33" t="s">
        <v>940</v>
      </c>
      <c r="AH33" t="s">
        <v>939</v>
      </c>
      <c r="AI33" t="s">
        <v>942</v>
      </c>
      <c r="AJ33" t="s">
        <v>193</v>
      </c>
      <c r="AK33" t="s">
        <v>941</v>
      </c>
      <c r="AL33" s="570" t="s">
        <v>943</v>
      </c>
      <c r="AN33" t="s">
        <v>944</v>
      </c>
      <c r="AO33" t="s">
        <v>151</v>
      </c>
      <c r="AP33" t="s">
        <v>946</v>
      </c>
      <c r="AQ33" t="s">
        <v>945</v>
      </c>
    </row>
    <row r="34" spans="1:44">
      <c r="A34" s="3"/>
      <c r="B34" s="571"/>
      <c r="C34" s="491"/>
      <c r="D34" s="567"/>
      <c r="E34" s="574"/>
      <c r="F34" s="491"/>
      <c r="G34" s="56">
        <v>2040</v>
      </c>
      <c r="H34" s="491" t="s">
        <v>525</v>
      </c>
      <c r="I34" s="558"/>
      <c r="J34" s="573"/>
      <c r="K34" s="570"/>
      <c r="L34" s="526"/>
      <c r="M34" s="490"/>
      <c r="N34" s="1469"/>
      <c r="O34" s="520">
        <f>AN23/$V$28*$V$32+O22</f>
        <v>1175914.9685753051</v>
      </c>
      <c r="P34" s="520"/>
      <c r="Q34" s="549"/>
      <c r="R34" s="1243"/>
      <c r="V34" s="570">
        <f>40000</f>
        <v>40000</v>
      </c>
      <c r="W34" s="570" t="s">
        <v>1537</v>
      </c>
      <c r="AG34">
        <v>9</v>
      </c>
      <c r="AH34">
        <v>5.66</v>
      </c>
      <c r="AI34">
        <f>AJ34*AL34</f>
        <v>30.808499999999995</v>
      </c>
      <c r="AJ34">
        <v>44.65</v>
      </c>
      <c r="AK34">
        <v>690</v>
      </c>
      <c r="AL34">
        <f>AK34/1000</f>
        <v>0.69</v>
      </c>
      <c r="AN34">
        <f>AI34*AH34</f>
        <v>174.37610999999998</v>
      </c>
      <c r="AO34">
        <f>AN34/100</f>
        <v>1.7437610999999997</v>
      </c>
      <c r="AP34">
        <f>AG34/AO34</f>
        <v>5.1612574681245045</v>
      </c>
      <c r="AQ34">
        <f>AP34*(0.000001/0.000000001)</f>
        <v>5161.2574681245042</v>
      </c>
    </row>
    <row r="35" spans="1:44">
      <c r="A35" s="3"/>
      <c r="B35" s="571"/>
      <c r="C35" s="491"/>
      <c r="D35" s="567"/>
      <c r="E35" s="574"/>
      <c r="F35" s="491"/>
      <c r="G35" s="56">
        <v>2050</v>
      </c>
      <c r="H35" s="491" t="s">
        <v>525</v>
      </c>
      <c r="I35" s="558"/>
      <c r="J35" s="573"/>
      <c r="K35" s="570"/>
      <c r="L35" s="526"/>
      <c r="M35" s="490"/>
      <c r="N35" s="1469"/>
      <c r="O35" s="520">
        <f>AO23/$V$28*$V$32+O22</f>
        <v>1145287.8649660787</v>
      </c>
      <c r="P35" s="520"/>
      <c r="Q35" s="549"/>
      <c r="R35" s="1243"/>
      <c r="V35" s="498">
        <f>V34/K33</f>
        <v>238.0952380952381</v>
      </c>
      <c r="W35" s="498" t="s">
        <v>1538</v>
      </c>
      <c r="AG35">
        <v>78</v>
      </c>
      <c r="AH35">
        <f>(3.6+2.71)/2</f>
        <v>3.1550000000000002</v>
      </c>
      <c r="AI35" s="570">
        <f>AJ35*AL35</f>
        <v>34.56</v>
      </c>
      <c r="AJ35">
        <v>43.2</v>
      </c>
      <c r="AK35">
        <v>800</v>
      </c>
      <c r="AL35" s="570">
        <f>AK35/1000</f>
        <v>0.8</v>
      </c>
      <c r="AN35" s="570">
        <f>AI35*AH35</f>
        <v>109.03680000000001</v>
      </c>
      <c r="AO35" s="570">
        <f>AN35/100</f>
        <v>1.0903680000000002</v>
      </c>
    </row>
    <row r="36" spans="1:44">
      <c r="A36" s="3"/>
      <c r="B36" s="571"/>
      <c r="C36" s="491" t="str">
        <f>LEFT(F36,5)&amp;RIGHT(E36,3)&amp;"N"</f>
        <v>TPAISH2GN</v>
      </c>
      <c r="D36" s="567" t="s">
        <v>1544</v>
      </c>
      <c r="E36" s="574" t="s">
        <v>668</v>
      </c>
      <c r="F36" s="491" t="str">
        <f>F33</f>
        <v>TPAIS</v>
      </c>
      <c r="G36" s="56">
        <v>2035</v>
      </c>
      <c r="H36" s="491" t="s">
        <v>525</v>
      </c>
      <c r="I36" s="558">
        <v>2035</v>
      </c>
      <c r="J36" s="573"/>
      <c r="K36" s="570">
        <f>K21</f>
        <v>168</v>
      </c>
      <c r="L36" s="526">
        <f>L22*AE22</f>
        <v>12.942394578313255</v>
      </c>
      <c r="M36" s="490">
        <v>30</v>
      </c>
      <c r="N36" s="1469">
        <f>N22</f>
        <v>4.4069859681072784E-2</v>
      </c>
      <c r="O36" s="520">
        <f>AN21/$V$28*$V$32+O22</f>
        <v>1007465.8987245589</v>
      </c>
      <c r="P36" s="520">
        <f>AS21/$V$28*$V$32</f>
        <v>3981.523469199456</v>
      </c>
      <c r="Q36" s="549">
        <f>$AM$40</f>
        <v>2800000</v>
      </c>
      <c r="R36" s="1243">
        <f>$AM$42</f>
        <v>1E-3</v>
      </c>
      <c r="V36" s="570">
        <f>V35/L22</f>
        <v>32.193939393939388</v>
      </c>
      <c r="W36" s="498" t="s">
        <v>1539</v>
      </c>
    </row>
    <row r="37" spans="1:44">
      <c r="A37" s="3"/>
      <c r="B37" s="3"/>
      <c r="N37" s="1472"/>
    </row>
    <row r="38" spans="1:44">
      <c r="B38" s="3"/>
      <c r="E38" s="493"/>
      <c r="P38" s="493"/>
      <c r="AI38" s="1466" t="s">
        <v>527</v>
      </c>
      <c r="AJ38" s="1466"/>
      <c r="AK38" s="1466"/>
      <c r="AL38" s="1466"/>
      <c r="AM38" s="1467">
        <f>[16]TRA_TFILL!$G$133</f>
        <v>1750000</v>
      </c>
      <c r="AN38" s="1467">
        <f>[16]TRA_TFILL!$H$133</f>
        <v>1750000</v>
      </c>
      <c r="AO38" s="1467" t="s">
        <v>1532</v>
      </c>
      <c r="AP38" s="1466"/>
      <c r="AQ38" s="1466"/>
      <c r="AR38" s="1466" t="s">
        <v>1533</v>
      </c>
    </row>
    <row r="39" spans="1:44">
      <c r="B39" s="3"/>
      <c r="AI39" s="570" t="s">
        <v>527</v>
      </c>
      <c r="AJ39" s="570"/>
      <c r="AK39" s="570"/>
      <c r="AL39" s="570"/>
      <c r="AM39" s="549">
        <f>[16]TRA_TFILL!$G$134</f>
        <v>8145.1797176742502</v>
      </c>
      <c r="AN39" s="549">
        <f>[16]TRA_TFILL!$H$134</f>
        <v>8113.5513846326403</v>
      </c>
      <c r="AO39" s="549" t="s">
        <v>1534</v>
      </c>
      <c r="AP39" s="570"/>
      <c r="AQ39" s="570"/>
      <c r="AR39" s="570"/>
    </row>
    <row r="40" spans="1:44">
      <c r="B40" s="3"/>
      <c r="P40" s="42"/>
      <c r="Q40" s="42"/>
      <c r="R40" s="42"/>
      <c r="AI40" s="570" t="s">
        <v>527</v>
      </c>
      <c r="AJ40" s="570"/>
      <c r="AK40" s="570"/>
      <c r="AL40" s="570"/>
      <c r="AM40" s="549">
        <f>[16]TRA_TFILL!$G$143</f>
        <v>2800000</v>
      </c>
      <c r="AN40" s="549">
        <f>[16]TRA_TFILL!$H$143</f>
        <v>2800000</v>
      </c>
      <c r="AO40" s="549" t="s">
        <v>1535</v>
      </c>
      <c r="AP40" s="570"/>
      <c r="AQ40" s="570"/>
      <c r="AR40" s="570"/>
    </row>
    <row r="41" spans="1:44">
      <c r="B41" s="18" t="s">
        <v>62</v>
      </c>
      <c r="C41" s="18"/>
      <c r="D41" s="19"/>
      <c r="E41" s="19"/>
      <c r="F41" s="19"/>
      <c r="G41" s="19"/>
      <c r="H41" s="19"/>
      <c r="I41" s="19"/>
      <c r="AI41" s="570" t="s">
        <v>527</v>
      </c>
      <c r="AJ41" s="570"/>
      <c r="AK41" s="570"/>
      <c r="AL41" s="570"/>
      <c r="AM41" s="549">
        <f>[16]TRA_TFILL!$G$143</f>
        <v>2800000</v>
      </c>
      <c r="AN41" s="549">
        <f>[16]TRA_TFILL!$H$143</f>
        <v>2800000</v>
      </c>
      <c r="AO41" s="549" t="s">
        <v>1536</v>
      </c>
      <c r="AP41" s="570"/>
      <c r="AQ41" s="570"/>
      <c r="AR41" s="570"/>
    </row>
    <row r="42" spans="1:44" ht="27.6">
      <c r="B42" s="17" t="s">
        <v>63</v>
      </c>
      <c r="C42" s="17" t="s">
        <v>1</v>
      </c>
      <c r="D42" s="17" t="s">
        <v>64</v>
      </c>
      <c r="E42" s="17" t="s">
        <v>65</v>
      </c>
      <c r="F42" s="17" t="s">
        <v>66</v>
      </c>
      <c r="G42" s="17" t="s">
        <v>67</v>
      </c>
      <c r="H42" s="17" t="s">
        <v>68</v>
      </c>
      <c r="I42" s="17" t="s">
        <v>69</v>
      </c>
      <c r="AI42" s="570" t="s">
        <v>571</v>
      </c>
      <c r="AJ42" s="570"/>
      <c r="AK42" s="570"/>
      <c r="AL42" s="570"/>
      <c r="AM42" s="1243">
        <f>[16]TRA_TFILL!$G$138</f>
        <v>1E-3</v>
      </c>
      <c r="AN42" s="1243">
        <f>[16]TRA_TFILL!$H$138</f>
        <v>1E-3</v>
      </c>
      <c r="AO42" s="549" t="s">
        <v>1532</v>
      </c>
      <c r="AP42" s="570"/>
      <c r="AQ42" s="570"/>
      <c r="AR42" s="570"/>
    </row>
    <row r="43" spans="1:44" ht="41.4" thickBot="1">
      <c r="B43" s="20" t="s">
        <v>70</v>
      </c>
      <c r="C43" s="20" t="s">
        <v>71</v>
      </c>
      <c r="D43" s="20" t="s">
        <v>72</v>
      </c>
      <c r="E43" s="20" t="s">
        <v>73</v>
      </c>
      <c r="F43" s="20" t="s">
        <v>74</v>
      </c>
      <c r="G43" s="20" t="s">
        <v>75</v>
      </c>
      <c r="H43" s="20" t="s">
        <v>76</v>
      </c>
      <c r="I43" s="20" t="s">
        <v>77</v>
      </c>
      <c r="AI43" s="570" t="s">
        <v>571</v>
      </c>
      <c r="AJ43" s="570"/>
      <c r="AK43" s="570"/>
      <c r="AL43" s="570"/>
      <c r="AM43" s="1243">
        <f>[16]TRA_TFILL!$G$138</f>
        <v>1E-3</v>
      </c>
      <c r="AN43" s="1243">
        <f>[16]TRA_TFILL!$H$138</f>
        <v>1E-3</v>
      </c>
      <c r="AO43" s="549" t="s">
        <v>1534</v>
      </c>
      <c r="AP43" s="570"/>
      <c r="AQ43" s="570"/>
      <c r="AR43" s="570"/>
    </row>
    <row r="44" spans="1:44">
      <c r="B44" s="21" t="s">
        <v>78</v>
      </c>
      <c r="C44" s="575" t="str">
        <f t="shared" ref="C44:D53" si="16">C20</f>
        <v>TPAISKEIN2N</v>
      </c>
      <c r="D44" s="575" t="str">
        <f t="shared" si="16"/>
        <v>Transport Passengers Air Short International - Biokerosene 2 - New</v>
      </c>
      <c r="E44" s="566" t="s">
        <v>81</v>
      </c>
      <c r="F44" s="568" t="s">
        <v>82</v>
      </c>
      <c r="G44" s="21"/>
      <c r="H44" s="21"/>
      <c r="I44" s="24"/>
      <c r="P44" s="570"/>
      <c r="AI44" s="570" t="s">
        <v>571</v>
      </c>
      <c r="AJ44" s="570"/>
      <c r="AK44" s="570"/>
      <c r="AL44" s="570"/>
      <c r="AM44" s="1243">
        <f>[16]TRA_TFILL!$G$138</f>
        <v>1E-3</v>
      </c>
      <c r="AN44" s="1243">
        <f>[16]TRA_TFILL!$H$138</f>
        <v>1E-3</v>
      </c>
      <c r="AO44" s="570" t="s">
        <v>1535</v>
      </c>
      <c r="AP44" s="570"/>
      <c r="AQ44" s="570"/>
      <c r="AR44" s="570"/>
    </row>
    <row r="45" spans="1:44">
      <c r="B45" s="21"/>
      <c r="C45" s="575" t="str">
        <f t="shared" si="16"/>
        <v>TPAISKEIN3N</v>
      </c>
      <c r="D45" s="575" t="str">
        <f t="shared" si="16"/>
        <v>Transport Passengers Air Short International - Biokerosene 3 - New</v>
      </c>
      <c r="E45" s="566" t="s">
        <v>81</v>
      </c>
      <c r="F45" s="568" t="s">
        <v>82</v>
      </c>
      <c r="G45" s="21"/>
      <c r="H45" s="21"/>
      <c r="I45" s="24"/>
      <c r="AI45" s="570" t="s">
        <v>571</v>
      </c>
      <c r="AJ45" s="570"/>
      <c r="AK45" s="570"/>
      <c r="AL45" s="570"/>
      <c r="AM45" s="1243">
        <f>[16]TRA_TFILL!$G$138</f>
        <v>1E-3</v>
      </c>
      <c r="AN45" s="1243">
        <f>[16]TRA_TFILL!$H$138</f>
        <v>1E-3</v>
      </c>
      <c r="AO45" s="1149" t="s">
        <v>1536</v>
      </c>
      <c r="AP45" s="570"/>
      <c r="AQ45" s="570"/>
      <c r="AR45" s="570"/>
    </row>
    <row r="46" spans="1:44">
      <c r="B46" s="21"/>
      <c r="C46" s="575" t="str">
        <f t="shared" si="16"/>
        <v>TPAISKEIN4N</v>
      </c>
      <c r="D46" s="575" t="str">
        <f t="shared" si="16"/>
        <v>Transport Passengers Air Short International - Biokerosene 4 - New</v>
      </c>
      <c r="E46" s="566" t="s">
        <v>81</v>
      </c>
      <c r="F46" s="568" t="s">
        <v>82</v>
      </c>
      <c r="G46" s="21"/>
      <c r="H46" s="21"/>
      <c r="I46" s="24"/>
    </row>
    <row r="47" spans="1:44">
      <c r="B47" s="58"/>
      <c r="C47" s="575" t="str">
        <f t="shared" si="16"/>
        <v>TPAILKEIN2N</v>
      </c>
      <c r="D47" s="575" t="str">
        <f t="shared" si="16"/>
        <v>Transport Passengers Air Long International - Biokerosene 2 - New</v>
      </c>
      <c r="E47" s="566" t="s">
        <v>81</v>
      </c>
      <c r="F47" s="568" t="s">
        <v>82</v>
      </c>
      <c r="G47" s="21"/>
      <c r="H47" s="21"/>
      <c r="I47" s="24"/>
    </row>
    <row r="48" spans="1:44">
      <c r="B48" s="58"/>
      <c r="C48" s="575" t="str">
        <f t="shared" si="16"/>
        <v>TPAILKEIN3N</v>
      </c>
      <c r="D48" s="575" t="str">
        <f t="shared" si="16"/>
        <v>Transport Passengers Air Long International - Biokerosene 3 - New</v>
      </c>
      <c r="E48" s="566" t="s">
        <v>81</v>
      </c>
      <c r="F48" s="568" t="s">
        <v>82</v>
      </c>
      <c r="G48" s="21"/>
      <c r="H48" s="21"/>
      <c r="I48" s="24"/>
    </row>
    <row r="49" spans="2:15">
      <c r="C49" s="575" t="str">
        <f t="shared" si="16"/>
        <v>TPAILKEIN4N</v>
      </c>
      <c r="D49" s="575" t="str">
        <f t="shared" si="16"/>
        <v>Transport Passengers Air Long International - Biokerosene 4 - New</v>
      </c>
      <c r="E49" s="566" t="s">
        <v>81</v>
      </c>
      <c r="F49" s="568" t="s">
        <v>82</v>
      </c>
    </row>
    <row r="50" spans="2:15">
      <c r="B50" s="19"/>
      <c r="C50" s="575" t="str">
        <f t="shared" si="16"/>
        <v>TFAIKEIN2N</v>
      </c>
      <c r="D50" s="575" t="str">
        <f t="shared" si="16"/>
        <v>Transport Freight Air International - Biokerosene 2 - New</v>
      </c>
      <c r="E50" s="566" t="s">
        <v>81</v>
      </c>
      <c r="F50" s="568" t="s">
        <v>82</v>
      </c>
      <c r="G50" s="21"/>
      <c r="H50" s="23"/>
    </row>
    <row r="51" spans="2:15">
      <c r="C51" s="575" t="str">
        <f t="shared" si="16"/>
        <v>TFAIKEIN3N</v>
      </c>
      <c r="D51" s="575" t="str">
        <f t="shared" si="16"/>
        <v>Transport Freight Air International - Biokerosene 3 - New</v>
      </c>
      <c r="E51" s="566" t="s">
        <v>81</v>
      </c>
      <c r="F51" s="568" t="s">
        <v>82</v>
      </c>
    </row>
    <row r="52" spans="2:15">
      <c r="C52" s="575" t="str">
        <f t="shared" si="16"/>
        <v>TFAIKEIN4N</v>
      </c>
      <c r="D52" s="575" t="str">
        <f t="shared" si="16"/>
        <v>Transport Freight Air International - Biokerosene 4 - New</v>
      </c>
      <c r="E52" s="566" t="s">
        <v>81</v>
      </c>
      <c r="F52" s="568" t="s">
        <v>82</v>
      </c>
    </row>
    <row r="53" spans="2:15">
      <c r="C53" s="575" t="str">
        <f t="shared" si="16"/>
        <v>TPANVELCN</v>
      </c>
      <c r="D53" s="575" t="str">
        <f t="shared" si="16"/>
        <v>Transport Passengers Air National - Battery - New</v>
      </c>
      <c r="E53" s="566" t="s">
        <v>81</v>
      </c>
      <c r="F53" s="568" t="s">
        <v>82</v>
      </c>
    </row>
    <row r="54" spans="2:15">
      <c r="C54" s="575" t="str">
        <f>C32</f>
        <v>TPANVH2GN</v>
      </c>
      <c r="D54" s="575" t="str">
        <f>D32</f>
        <v>Transport Passengers Air National - Hydrogen - New</v>
      </c>
      <c r="E54" s="566" t="s">
        <v>81</v>
      </c>
      <c r="F54" s="568" t="s">
        <v>82</v>
      </c>
    </row>
    <row r="55" spans="2:15">
      <c r="C55" s="575" t="str">
        <f>C33</f>
        <v>TPAISELCN</v>
      </c>
      <c r="D55" s="575" t="str">
        <f>D33</f>
        <v>Transport Passengers Air Short International - Battery - New</v>
      </c>
      <c r="E55" s="566" t="s">
        <v>81</v>
      </c>
      <c r="F55" s="568" t="s">
        <v>82</v>
      </c>
      <c r="O55" s="514"/>
    </row>
    <row r="56" spans="2:15">
      <c r="C56" s="575" t="str">
        <f>C36</f>
        <v>TPAISH2GN</v>
      </c>
      <c r="D56" s="575" t="str">
        <f>D36</f>
        <v>Transport Passengers Air Short International - Hydrogen - New</v>
      </c>
      <c r="E56" s="566" t="s">
        <v>81</v>
      </c>
      <c r="F56" s="568" t="s">
        <v>82</v>
      </c>
      <c r="G56" s="517"/>
    </row>
    <row r="57" spans="2:15">
      <c r="B57" s="570"/>
      <c r="C57" s="575" t="str">
        <f t="shared" ref="C57:D59" si="17">C17</f>
        <v>TPANKEBL2N</v>
      </c>
      <c r="D57" s="575" t="str">
        <f t="shared" si="17"/>
        <v>Transport Passengers Air National - Biokerosene 2- New</v>
      </c>
      <c r="E57" s="566" t="s">
        <v>81</v>
      </c>
      <c r="F57" s="568" t="s">
        <v>82</v>
      </c>
    </row>
    <row r="58" spans="2:15">
      <c r="B58" s="570"/>
      <c r="C58" s="575" t="str">
        <f t="shared" si="17"/>
        <v>TPANKEBL3N</v>
      </c>
      <c r="D58" s="575" t="str">
        <f t="shared" si="17"/>
        <v>Transport Passengers Air National - Biokerosene 3- New</v>
      </c>
      <c r="E58" s="566" t="s">
        <v>81</v>
      </c>
      <c r="F58" s="568" t="s">
        <v>82</v>
      </c>
    </row>
    <row r="59" spans="2:15">
      <c r="B59" s="570"/>
      <c r="C59" s="575" t="str">
        <f t="shared" si="17"/>
        <v>TPANKEBL4N</v>
      </c>
      <c r="D59" s="575" t="str">
        <f t="shared" si="17"/>
        <v>Transport Passengers Air National - Biokerosene 4- New</v>
      </c>
      <c r="E59" s="566" t="s">
        <v>81</v>
      </c>
      <c r="F59" s="568" t="s">
        <v>82</v>
      </c>
    </row>
    <row r="60" spans="2:15">
      <c r="B60" t="s">
        <v>1574</v>
      </c>
      <c r="C60" s="19" t="str">
        <f t="shared" ref="C60:D71" si="18">C5</f>
        <v>*=LEFT(F5,4)&amp;RIGHT(E5,5)&amp;"N"</v>
      </c>
      <c r="D60" s="500" t="str">
        <f t="shared" si="18"/>
        <v>Transport Passengers Air National - Biokerosene 2- New</v>
      </c>
      <c r="E60" s="21" t="s">
        <v>81</v>
      </c>
      <c r="F60" s="23" t="s">
        <v>82</v>
      </c>
    </row>
    <row r="61" spans="2:15">
      <c r="B61" s="570" t="s">
        <v>1574</v>
      </c>
      <c r="C61" s="500" t="str">
        <f t="shared" si="18"/>
        <v>*=LEFT(F5,4)&amp;RIGHT(E5,5)&amp;"N"</v>
      </c>
      <c r="D61" s="500" t="str">
        <f t="shared" si="18"/>
        <v>Transport Passengers Air National - Biokerosene 2- New</v>
      </c>
      <c r="E61" s="21" t="s">
        <v>81</v>
      </c>
      <c r="F61" s="23" t="s">
        <v>82</v>
      </c>
    </row>
    <row r="62" spans="2:15">
      <c r="B62" s="570" t="s">
        <v>1574</v>
      </c>
      <c r="C62" s="500" t="str">
        <f t="shared" si="18"/>
        <v>*=LEFT(F5,4)&amp;RIGHT(E5,5)&amp;"N"</v>
      </c>
      <c r="D62" s="500" t="str">
        <f t="shared" si="18"/>
        <v>Transport Passengers Air National - Biokerosene 2- New</v>
      </c>
      <c r="E62" s="21" t="s">
        <v>81</v>
      </c>
      <c r="F62" s="23" t="s">
        <v>82</v>
      </c>
    </row>
    <row r="63" spans="2:15">
      <c r="B63" s="570" t="s">
        <v>1574</v>
      </c>
      <c r="C63" s="500" t="str">
        <f t="shared" si="18"/>
        <v>*=LEFT(F5,4)&amp;RIGHT(E5,5)&amp;"N"</v>
      </c>
      <c r="D63" s="500" t="str">
        <f t="shared" si="18"/>
        <v>Transport Passengers Air National - Aviation Gasoline 2 - New</v>
      </c>
      <c r="E63" s="515" t="s">
        <v>81</v>
      </c>
      <c r="F63" s="517" t="s">
        <v>82</v>
      </c>
    </row>
    <row r="64" spans="2:15">
      <c r="B64" s="570" t="s">
        <v>1574</v>
      </c>
      <c r="C64" s="500" t="str">
        <f t="shared" si="18"/>
        <v>*=LEFT(F5,4)&amp;RIGHT(E5,5)&amp;"N"</v>
      </c>
      <c r="D64" s="500" t="str">
        <f t="shared" si="18"/>
        <v>Transport Passengers Air National - Aviation Gasoline 3 - New</v>
      </c>
      <c r="E64" s="515" t="s">
        <v>81</v>
      </c>
      <c r="F64" s="517" t="s">
        <v>82</v>
      </c>
    </row>
    <row r="65" spans="2:6">
      <c r="B65" s="570" t="s">
        <v>1574</v>
      </c>
      <c r="C65" s="500" t="str">
        <f t="shared" si="18"/>
        <v>*=LEFT(F5,4)&amp;RIGHT(E5,5)&amp;"N"</v>
      </c>
      <c r="D65" s="500" t="str">
        <f t="shared" si="18"/>
        <v>Transport Passengers Air National - Aviation Gasoline 4 - New</v>
      </c>
      <c r="E65" s="515" t="s">
        <v>81</v>
      </c>
      <c r="F65" s="517" t="s">
        <v>82</v>
      </c>
    </row>
    <row r="66" spans="2:6">
      <c r="B66" s="570" t="s">
        <v>1574</v>
      </c>
      <c r="C66" s="500" t="str">
        <f t="shared" si="18"/>
        <v>*=LEFT(F5,4)&amp;RIGHT(E5,5)&amp;"N"</v>
      </c>
      <c r="D66" s="500" t="str">
        <f t="shared" si="18"/>
        <v>Transport Passengers Air International - Biokerosene 2 - New</v>
      </c>
      <c r="E66" s="515" t="s">
        <v>81</v>
      </c>
      <c r="F66" s="517" t="s">
        <v>82</v>
      </c>
    </row>
    <row r="67" spans="2:6">
      <c r="B67" s="570" t="s">
        <v>1574</v>
      </c>
      <c r="C67" s="500" t="str">
        <f t="shared" si="18"/>
        <v>*=LEFT(F5,4)&amp;RIGHT(E5,5)&amp;"N"</v>
      </c>
      <c r="D67" s="500" t="str">
        <f t="shared" si="18"/>
        <v>Transport Passengers Air International - Biokerosene 3 - New</v>
      </c>
      <c r="E67" s="515" t="s">
        <v>81</v>
      </c>
      <c r="F67" s="517" t="s">
        <v>82</v>
      </c>
    </row>
    <row r="68" spans="2:6">
      <c r="B68" s="570" t="s">
        <v>1574</v>
      </c>
      <c r="C68" s="500" t="str">
        <f t="shared" si="18"/>
        <v>*=LEFT(F5,4)&amp;RIGHT(E5,5)&amp;"N"</v>
      </c>
      <c r="D68" s="500" t="str">
        <f t="shared" si="18"/>
        <v>Transport Passengers Air International - Biokerosene 4 - New</v>
      </c>
      <c r="E68" s="515" t="s">
        <v>81</v>
      </c>
      <c r="F68" s="517" t="s">
        <v>82</v>
      </c>
    </row>
    <row r="69" spans="2:6">
      <c r="B69" s="570" t="s">
        <v>1574</v>
      </c>
      <c r="C69" s="500" t="str">
        <f t="shared" si="18"/>
        <v>*=LEFT(F5,4)&amp;RIGHT(E5,5)&amp;"N"</v>
      </c>
      <c r="D69" s="500" t="str">
        <f t="shared" si="18"/>
        <v>Transport Freight Air International - Biokerosene 2 - New</v>
      </c>
      <c r="E69" s="21" t="s">
        <v>86</v>
      </c>
      <c r="F69" s="23" t="s">
        <v>82</v>
      </c>
    </row>
    <row r="70" spans="2:6">
      <c r="B70" s="570" t="s">
        <v>1574</v>
      </c>
      <c r="C70" s="500" t="str">
        <f t="shared" si="18"/>
        <v>*=LEFT(F5,4)&amp;RIGHT(E5,5)&amp;"N"</v>
      </c>
      <c r="D70" s="500" t="str">
        <f t="shared" si="18"/>
        <v>Transport Freight Air International - Biokerosene 3 - New</v>
      </c>
      <c r="E70" s="515" t="s">
        <v>86</v>
      </c>
      <c r="F70" s="517" t="s">
        <v>82</v>
      </c>
    </row>
    <row r="71" spans="2:6">
      <c r="B71" s="570" t="s">
        <v>1574</v>
      </c>
      <c r="C71" s="500" t="str">
        <f t="shared" si="18"/>
        <v>*=LEFT(F5,4)&amp;RIGHT(E5,5)&amp;"N"</v>
      </c>
      <c r="D71" s="500" t="str">
        <f t="shared" si="18"/>
        <v>Transport Freight Air International - Biokerosene 4 - New</v>
      </c>
      <c r="E71" s="515" t="s">
        <v>86</v>
      </c>
      <c r="F71" s="517" t="s">
        <v>82</v>
      </c>
    </row>
  </sheetData>
  <mergeCells count="1">
    <mergeCell ref="V5:X5"/>
  </mergeCells>
  <phoneticPr fontId="43" type="noConversion"/>
  <pageMargins left="0.7" right="0.7" top="0.75" bottom="0.75" header="0.3" footer="0.3"/>
  <pageSetup paperSize="9" orientation="portrait"/>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tabColor rgb="FF002060"/>
    <pageSetUpPr fitToPage="1"/>
  </sheetPr>
  <dimension ref="B1:S119"/>
  <sheetViews>
    <sheetView topLeftCell="A13" zoomScale="80" zoomScaleNormal="80" workbookViewId="0">
      <selection activeCell="E35" sqref="E35"/>
    </sheetView>
  </sheetViews>
  <sheetFormatPr defaultColWidth="8.88671875" defaultRowHeight="13.8"/>
  <cols>
    <col min="1" max="1" width="2.88671875" style="65" customWidth="1"/>
    <col min="2" max="2" width="35" style="65" customWidth="1"/>
    <col min="3" max="3" width="18" style="65" customWidth="1"/>
    <col min="4" max="4" width="19.109375" style="65" bestFit="1" customWidth="1"/>
    <col min="5" max="8" width="15.88671875" style="65" customWidth="1"/>
    <col min="9" max="9" width="7.10937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1486</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408</v>
      </c>
      <c r="C6" s="77"/>
      <c r="D6" s="77"/>
      <c r="E6" s="77"/>
      <c r="F6" s="77"/>
      <c r="G6" s="77"/>
      <c r="H6" s="77"/>
      <c r="I6" s="77"/>
      <c r="J6" s="77"/>
      <c r="K6" s="77"/>
      <c r="L6" s="77"/>
      <c r="M6" s="77"/>
      <c r="N6" s="74"/>
    </row>
    <row r="7" spans="2:19">
      <c r="B7" s="133"/>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449" t="s">
        <v>1487</v>
      </c>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v>2050</v>
      </c>
      <c r="H21" s="106" t="s">
        <v>99</v>
      </c>
      <c r="I21" s="152"/>
      <c r="J21" s="104"/>
    </row>
    <row r="22" spans="2:14">
      <c r="B22" s="128" t="s">
        <v>100</v>
      </c>
      <c r="C22" s="118"/>
      <c r="D22" s="180"/>
      <c r="E22" s="151"/>
      <c r="F22" s="151"/>
      <c r="G22" s="151"/>
      <c r="H22" s="151"/>
      <c r="I22" s="77"/>
      <c r="J22" s="74"/>
    </row>
    <row r="23" spans="2:14">
      <c r="B23" s="145" t="s">
        <v>101</v>
      </c>
      <c r="C23" s="118" t="s">
        <v>407</v>
      </c>
      <c r="D23" s="396">
        <f>D71/D26</f>
        <v>0.16</v>
      </c>
      <c r="E23" s="396">
        <f>E71/E26</f>
        <v>0.16502732240437157</v>
      </c>
      <c r="F23" s="396">
        <f>F71/F26</f>
        <v>0.17650602409638555</v>
      </c>
      <c r="G23" s="396">
        <f>G71/G26</f>
        <v>0.18571428571428569</v>
      </c>
      <c r="H23" s="147"/>
      <c r="I23" s="187" t="s">
        <v>648</v>
      </c>
      <c r="J23" s="141"/>
    </row>
    <row r="24" spans="2:14">
      <c r="B24" s="1450" t="s">
        <v>1488</v>
      </c>
      <c r="C24" s="118" t="s">
        <v>407</v>
      </c>
      <c r="D24" s="1451">
        <v>0.33</v>
      </c>
      <c r="E24" s="1451">
        <f>$D$24*E23/$D$23</f>
        <v>0.34036885245901638</v>
      </c>
      <c r="F24" s="1451">
        <f>$D$24*F23/$D$23</f>
        <v>0.36404367469879523</v>
      </c>
      <c r="G24" s="1451">
        <f>$D$24*G23/$D$23</f>
        <v>0.38303571428571426</v>
      </c>
      <c r="H24" s="147"/>
      <c r="I24" s="187" t="s">
        <v>1492</v>
      </c>
      <c r="J24" s="141"/>
    </row>
    <row r="25" spans="2:14">
      <c r="B25" s="1450" t="s">
        <v>1488</v>
      </c>
      <c r="C25" s="118" t="s">
        <v>407</v>
      </c>
      <c r="D25" s="1451">
        <v>0.16</v>
      </c>
      <c r="E25" s="1451">
        <f>$D$25*E23/$D$23</f>
        <v>0.16502732240437157</v>
      </c>
      <c r="F25" s="1451">
        <f>$D$25*F23/$D$23</f>
        <v>0.17650602409638555</v>
      </c>
      <c r="G25" s="1451">
        <f>$D$25*G23/$D$23</f>
        <v>0.18571428571428569</v>
      </c>
      <c r="H25" s="147"/>
      <c r="I25" s="187" t="s">
        <v>1491</v>
      </c>
      <c r="J25" s="141"/>
    </row>
    <row r="26" spans="2:14">
      <c r="B26" s="145" t="s">
        <v>406</v>
      </c>
      <c r="C26" s="118" t="s">
        <v>104</v>
      </c>
      <c r="D26" s="144">
        <f>D105</f>
        <v>1.9</v>
      </c>
      <c r="E26" s="205">
        <f>E105</f>
        <v>1.83</v>
      </c>
      <c r="F26" s="205">
        <f>F105</f>
        <v>1.66</v>
      </c>
      <c r="G26" s="205">
        <f>G105</f>
        <v>1.54</v>
      </c>
      <c r="H26" s="142"/>
      <c r="I26" s="187"/>
      <c r="J26" s="141"/>
    </row>
    <row r="27" spans="2:14">
      <c r="B27" s="1450" t="s">
        <v>405</v>
      </c>
      <c r="C27" s="1452" t="s">
        <v>104</v>
      </c>
      <c r="D27" s="1453">
        <f>D71*1/D24</f>
        <v>0.92121212121212115</v>
      </c>
      <c r="E27" s="1453">
        <f t="shared" ref="E27:G27" si="0">E71*1/E24</f>
        <v>0.88727272727272732</v>
      </c>
      <c r="F27" s="1453">
        <f t="shared" si="0"/>
        <v>0.8048484848484847</v>
      </c>
      <c r="G27" s="1453">
        <f t="shared" si="0"/>
        <v>0.7466666666666667</v>
      </c>
      <c r="H27" s="142"/>
      <c r="I27" s="187"/>
      <c r="J27" s="141"/>
    </row>
    <row r="28" spans="2:14">
      <c r="B28" s="1450" t="s">
        <v>1489</v>
      </c>
      <c r="C28" s="1452" t="s">
        <v>1490</v>
      </c>
      <c r="D28" s="1453">
        <f>1000/(D27*D72)</f>
        <v>6.4614661654135341</v>
      </c>
      <c r="E28" s="1453">
        <f>1000/(E27*E72)</f>
        <v>6.7086260733801719</v>
      </c>
      <c r="F28" s="1453">
        <f>1000/(F27*F72)</f>
        <v>7.3956540447504313</v>
      </c>
      <c r="G28" s="1453">
        <f>1000/(G27*G72)</f>
        <v>7.9719387755102034</v>
      </c>
      <c r="H28" s="142"/>
      <c r="I28" s="187"/>
      <c r="J28" s="141"/>
    </row>
    <row r="29" spans="2:14">
      <c r="B29" s="1450" t="s">
        <v>405</v>
      </c>
      <c r="C29" s="1452" t="s">
        <v>104</v>
      </c>
      <c r="D29" s="1453">
        <f>D71*1/D25</f>
        <v>1.9</v>
      </c>
      <c r="E29" s="1453">
        <f t="shared" ref="E29:G29" si="1">E71*1/E25</f>
        <v>1.83</v>
      </c>
      <c r="F29" s="1453">
        <f t="shared" si="1"/>
        <v>1.66</v>
      </c>
      <c r="G29" s="1453">
        <f t="shared" si="1"/>
        <v>1.54</v>
      </c>
      <c r="H29" s="142"/>
      <c r="I29" s="187"/>
      <c r="J29" s="141"/>
    </row>
    <row r="30" spans="2:14">
      <c r="B30" s="1450" t="s">
        <v>1489</v>
      </c>
      <c r="C30" s="1452" t="s">
        <v>1490</v>
      </c>
      <c r="D30" s="1453">
        <f>1000/(D29*D72)</f>
        <v>3.1328320802005014</v>
      </c>
      <c r="E30" s="1453">
        <f>1000/(E29*E72)</f>
        <v>3.2526671870934165</v>
      </c>
      <c r="F30" s="1453">
        <f>1000/(F29*F72)</f>
        <v>3.5857716580608145</v>
      </c>
      <c r="G30" s="1453">
        <f>1000/(G29*G72)</f>
        <v>3.8651824366110077</v>
      </c>
      <c r="H30" s="142"/>
      <c r="I30" s="187"/>
      <c r="J30" s="141"/>
    </row>
    <row r="31" spans="2:14">
      <c r="B31" s="133" t="s">
        <v>106</v>
      </c>
      <c r="C31" s="118" t="s">
        <v>107</v>
      </c>
      <c r="D31" s="140"/>
      <c r="E31" s="125"/>
      <c r="F31" s="125"/>
      <c r="G31" s="125"/>
      <c r="H31" s="125"/>
      <c r="I31" s="349"/>
      <c r="J31" s="74"/>
    </row>
    <row r="32" spans="2:14">
      <c r="B32" s="133" t="s">
        <v>108</v>
      </c>
      <c r="C32" s="118" t="s">
        <v>109</v>
      </c>
      <c r="D32" s="177"/>
      <c r="E32" s="139"/>
      <c r="F32" s="139"/>
      <c r="G32" s="139"/>
      <c r="H32" s="138"/>
      <c r="I32" s="187"/>
      <c r="J32" s="74"/>
    </row>
    <row r="33" spans="2:11">
      <c r="B33" s="78"/>
      <c r="C33" s="137" t="s">
        <v>946</v>
      </c>
      <c r="D33" s="144">
        <f>1/D26</f>
        <v>0.52631578947368418</v>
      </c>
      <c r="E33" s="144">
        <f>1/E26</f>
        <v>0.54644808743169393</v>
      </c>
      <c r="F33" s="144">
        <f>1/F26</f>
        <v>0.60240963855421692</v>
      </c>
      <c r="G33" s="144">
        <f>1/G26</f>
        <v>0.64935064935064934</v>
      </c>
      <c r="H33" s="144"/>
      <c r="I33" s="77"/>
      <c r="J33" s="74"/>
    </row>
    <row r="34" spans="2:11">
      <c r="B34" s="128" t="s">
        <v>110</v>
      </c>
      <c r="C34" s="118"/>
      <c r="D34" s="134"/>
      <c r="E34" s="98"/>
      <c r="F34" s="98"/>
      <c r="G34" s="98"/>
      <c r="H34" s="98"/>
      <c r="I34" s="77"/>
      <c r="J34" s="74"/>
    </row>
    <row r="35" spans="2:11">
      <c r="B35" s="133" t="s">
        <v>111</v>
      </c>
      <c r="C35" s="118" t="s">
        <v>15</v>
      </c>
      <c r="D35" s="136">
        <v>0</v>
      </c>
      <c r="E35" s="136">
        <v>0</v>
      </c>
      <c r="F35" s="136">
        <v>0</v>
      </c>
      <c r="G35" s="136">
        <v>0</v>
      </c>
      <c r="H35" s="135">
        <v>2015</v>
      </c>
      <c r="I35" s="79"/>
      <c r="J35" s="74"/>
    </row>
    <row r="36" spans="2:11">
      <c r="B36" s="78" t="s">
        <v>16</v>
      </c>
      <c r="C36" s="118" t="s">
        <v>17</v>
      </c>
      <c r="D36" s="136">
        <v>849.46254619530305</v>
      </c>
      <c r="E36" s="136">
        <v>873.10269839213697</v>
      </c>
      <c r="F36" s="136">
        <v>948.00836579989857</v>
      </c>
      <c r="G36" s="136">
        <v>971.21136776003607</v>
      </c>
      <c r="H36" s="135">
        <v>2015</v>
      </c>
      <c r="I36" s="79"/>
      <c r="J36" s="74"/>
    </row>
    <row r="37" spans="2:11">
      <c r="B37" s="129" t="s">
        <v>18</v>
      </c>
      <c r="C37" s="118" t="s">
        <v>17</v>
      </c>
      <c r="D37" s="136">
        <v>0</v>
      </c>
      <c r="E37" s="136">
        <v>0</v>
      </c>
      <c r="F37" s="136">
        <v>0</v>
      </c>
      <c r="G37" s="136">
        <v>0</v>
      </c>
      <c r="H37" s="135">
        <v>2015</v>
      </c>
      <c r="I37" s="79"/>
      <c r="J37" s="74"/>
    </row>
    <row r="38" spans="2:11">
      <c r="B38" s="129" t="s">
        <v>19</v>
      </c>
      <c r="C38" s="118" t="s">
        <v>17</v>
      </c>
      <c r="D38" s="136">
        <v>849.46254619530305</v>
      </c>
      <c r="E38" s="136">
        <v>873.10269839213697</v>
      </c>
      <c r="F38" s="136">
        <v>948.00836579989857</v>
      </c>
      <c r="G38" s="136">
        <v>971.21136776003607</v>
      </c>
      <c r="H38" s="135">
        <v>2015</v>
      </c>
      <c r="I38" s="79"/>
      <c r="J38" s="74"/>
    </row>
    <row r="39" spans="2:11">
      <c r="B39" s="129"/>
      <c r="C39" s="118"/>
      <c r="D39" s="136"/>
      <c r="E39" s="136"/>
      <c r="F39" s="136"/>
      <c r="G39" s="136"/>
      <c r="H39" s="135"/>
      <c r="I39" s="79"/>
      <c r="J39" s="74"/>
    </row>
    <row r="40" spans="2:11">
      <c r="B40" s="129" t="s">
        <v>112</v>
      </c>
      <c r="C40" s="118" t="s">
        <v>17</v>
      </c>
      <c r="D40" s="136">
        <v>0</v>
      </c>
      <c r="E40" s="136">
        <v>0</v>
      </c>
      <c r="F40" s="136">
        <v>0</v>
      </c>
      <c r="G40" s="136">
        <v>0</v>
      </c>
      <c r="H40" s="135">
        <v>2015</v>
      </c>
      <c r="I40" s="79"/>
      <c r="J40" s="74"/>
    </row>
    <row r="41" spans="2:11">
      <c r="B41" s="128"/>
      <c r="C41" s="118"/>
      <c r="D41" s="134"/>
      <c r="E41" s="98"/>
      <c r="F41" s="98"/>
      <c r="G41" s="98"/>
      <c r="H41" s="98"/>
      <c r="I41" s="79"/>
      <c r="J41" s="74"/>
    </row>
    <row r="42" spans="2:11">
      <c r="B42" s="133" t="s">
        <v>111</v>
      </c>
      <c r="C42" s="118" t="s">
        <v>15</v>
      </c>
      <c r="D42" s="176"/>
      <c r="E42" s="132"/>
      <c r="F42" s="132"/>
      <c r="G42" s="132"/>
      <c r="H42" s="130">
        <v>2012</v>
      </c>
      <c r="I42" s="187"/>
      <c r="J42" s="74"/>
    </row>
    <row r="43" spans="2:11">
      <c r="B43" s="78" t="s">
        <v>16</v>
      </c>
      <c r="C43" s="118" t="s">
        <v>17</v>
      </c>
      <c r="D43" s="395">
        <f>SUM(D44:D47)</f>
        <v>802.22618027374654</v>
      </c>
      <c r="E43" s="394">
        <f>SUM(E44:E47)</f>
        <v>824.55176611964191</v>
      </c>
      <c r="F43" s="394">
        <f>SUM(F44:F47)</f>
        <v>895.29212743931384</v>
      </c>
      <c r="G43" s="394">
        <f>SUM(G44:G47)</f>
        <v>917.2048718171992</v>
      </c>
      <c r="H43" s="130">
        <v>2012</v>
      </c>
      <c r="I43" s="187"/>
      <c r="J43" s="74"/>
    </row>
    <row r="44" spans="2:11">
      <c r="B44" s="129" t="s">
        <v>18</v>
      </c>
      <c r="C44" s="118" t="s">
        <v>17</v>
      </c>
      <c r="D44" s="175"/>
      <c r="E44" s="126"/>
      <c r="F44" s="126"/>
      <c r="G44" s="126"/>
      <c r="H44" s="130">
        <v>2012</v>
      </c>
      <c r="I44" s="187"/>
      <c r="J44" s="74"/>
    </row>
    <row r="45" spans="2:11">
      <c r="B45" s="129" t="s">
        <v>19</v>
      </c>
      <c r="C45" s="118" t="s">
        <v>17</v>
      </c>
      <c r="D45" s="174">
        <f>D93/(D71*D72)*1000</f>
        <v>802.22618027374654</v>
      </c>
      <c r="E45" s="174">
        <f>E93/(E71*E72)*1000</f>
        <v>824.55176611964191</v>
      </c>
      <c r="F45" s="174">
        <f>F93/(F71*F72)*1000</f>
        <v>895.29212743931384</v>
      </c>
      <c r="G45" s="174">
        <f>G93/(G71*G72)*1000</f>
        <v>917.2048718171992</v>
      </c>
      <c r="H45" s="130">
        <v>2012</v>
      </c>
      <c r="I45" s="349"/>
      <c r="J45" s="74"/>
      <c r="K45" s="244"/>
    </row>
    <row r="46" spans="2:11">
      <c r="B46" s="129"/>
      <c r="C46" s="118"/>
      <c r="D46" s="134"/>
      <c r="E46" s="98"/>
      <c r="F46" s="98"/>
      <c r="G46" s="98"/>
      <c r="H46" s="130"/>
      <c r="I46" s="187"/>
      <c r="J46" s="74"/>
    </row>
    <row r="47" spans="2:11">
      <c r="B47" s="129" t="s">
        <v>112</v>
      </c>
      <c r="C47" s="118" t="s">
        <v>17</v>
      </c>
      <c r="D47" s="140"/>
      <c r="E47" s="125"/>
      <c r="F47" s="125"/>
      <c r="G47" s="125"/>
      <c r="H47" s="130">
        <v>2012</v>
      </c>
      <c r="I47" s="187"/>
      <c r="J47" s="74"/>
    </row>
    <row r="48" spans="2:11">
      <c r="B48" s="129"/>
      <c r="C48" s="118"/>
      <c r="D48" s="134"/>
      <c r="E48" s="98"/>
      <c r="F48" s="98"/>
      <c r="G48" s="98"/>
      <c r="H48" s="98"/>
      <c r="I48" s="187"/>
      <c r="J48" s="74"/>
    </row>
    <row r="49" spans="2:10">
      <c r="B49" s="128" t="s">
        <v>113</v>
      </c>
      <c r="C49" s="118"/>
      <c r="D49" s="134"/>
      <c r="E49" s="98"/>
      <c r="F49" s="98"/>
      <c r="G49" s="98"/>
      <c r="H49" s="127"/>
      <c r="I49" s="187"/>
      <c r="J49" s="74"/>
    </row>
    <row r="50" spans="2:10">
      <c r="B50" s="123" t="s">
        <v>30</v>
      </c>
      <c r="C50" s="118"/>
      <c r="D50" s="134"/>
      <c r="E50" s="98"/>
      <c r="F50" s="98"/>
      <c r="G50" s="98"/>
      <c r="H50" s="126"/>
      <c r="I50" s="187"/>
      <c r="J50" s="74"/>
    </row>
    <row r="51" spans="2:10">
      <c r="B51" s="78" t="s">
        <v>20</v>
      </c>
      <c r="C51" s="118" t="s">
        <v>404</v>
      </c>
      <c r="D51" s="363"/>
      <c r="E51" s="362"/>
      <c r="F51" s="362"/>
      <c r="G51" s="362"/>
      <c r="H51" s="126"/>
      <c r="I51" s="187"/>
      <c r="J51" s="119" t="s">
        <v>114</v>
      </c>
    </row>
    <row r="52" spans="2:10">
      <c r="B52" s="78" t="s">
        <v>21</v>
      </c>
      <c r="C52" s="118" t="s">
        <v>404</v>
      </c>
      <c r="D52" s="124">
        <f t="shared" ref="D52:G54" si="2">D108/D$105</f>
        <v>0</v>
      </c>
      <c r="E52" s="124">
        <f t="shared" si="2"/>
        <v>0</v>
      </c>
      <c r="F52" s="124">
        <f t="shared" si="2"/>
        <v>0</v>
      </c>
      <c r="G52" s="124">
        <f t="shared" si="2"/>
        <v>0</v>
      </c>
      <c r="H52" s="120"/>
      <c r="I52" s="187"/>
      <c r="J52" s="74"/>
    </row>
    <row r="53" spans="2:10">
      <c r="B53" s="78" t="s">
        <v>22</v>
      </c>
      <c r="C53" s="118" t="s">
        <v>404</v>
      </c>
      <c r="D53" s="124">
        <f t="shared" si="2"/>
        <v>0</v>
      </c>
      <c r="E53" s="124">
        <f t="shared" si="2"/>
        <v>0</v>
      </c>
      <c r="F53" s="124">
        <f t="shared" si="2"/>
        <v>0</v>
      </c>
      <c r="G53" s="124">
        <f t="shared" si="2"/>
        <v>0</v>
      </c>
      <c r="H53" s="98"/>
      <c r="I53" s="187"/>
      <c r="J53" s="74"/>
    </row>
    <row r="54" spans="2:10">
      <c r="B54" s="78" t="s">
        <v>23</v>
      </c>
      <c r="C54" s="118" t="s">
        <v>404</v>
      </c>
      <c r="D54" s="124">
        <f t="shared" si="2"/>
        <v>0</v>
      </c>
      <c r="E54" s="124">
        <f t="shared" si="2"/>
        <v>0</v>
      </c>
      <c r="F54" s="124">
        <f t="shared" si="2"/>
        <v>0</v>
      </c>
      <c r="G54" s="124">
        <f t="shared" si="2"/>
        <v>0</v>
      </c>
      <c r="H54" s="125"/>
      <c r="I54" s="187"/>
      <c r="J54" s="74"/>
    </row>
    <row r="55" spans="2:10">
      <c r="B55" s="78" t="s">
        <v>115</v>
      </c>
      <c r="C55" s="118" t="s">
        <v>404</v>
      </c>
      <c r="D55" s="124">
        <f>D111/D$105/D72</f>
        <v>9.5588257451420452E-2</v>
      </c>
      <c r="E55" s="124">
        <f>E111/E$105/E72</f>
        <v>9.9244638883988448E-2</v>
      </c>
      <c r="F55" s="124">
        <f>F111/F$105/F72</f>
        <v>0.10940824648054148</v>
      </c>
      <c r="G55" s="124">
        <f>G111/G$105/G72</f>
        <v>0.11793356438811613</v>
      </c>
      <c r="H55" s="98"/>
      <c r="I55" s="187"/>
      <c r="J55" s="74"/>
    </row>
    <row r="56" spans="2:10">
      <c r="B56" s="78" t="s">
        <v>24</v>
      </c>
      <c r="C56" s="118" t="s">
        <v>404</v>
      </c>
      <c r="D56" s="124">
        <f>D112/D$105</f>
        <v>0</v>
      </c>
      <c r="E56" s="124">
        <f>E112/E$105</f>
        <v>0</v>
      </c>
      <c r="F56" s="124">
        <f>F112/F$105</f>
        <v>0</v>
      </c>
      <c r="G56" s="124">
        <f>G112/G$105</f>
        <v>0</v>
      </c>
      <c r="H56" s="98"/>
      <c r="I56" s="187"/>
      <c r="J56" s="74"/>
    </row>
    <row r="57" spans="2:10">
      <c r="B57" s="78"/>
      <c r="C57" s="118"/>
      <c r="D57" s="172"/>
      <c r="E57" s="77"/>
      <c r="F57" s="77"/>
      <c r="G57" s="77"/>
      <c r="H57" s="98"/>
      <c r="I57" s="187"/>
      <c r="J57" s="74"/>
    </row>
    <row r="58" spans="2:10">
      <c r="B58" s="123" t="s">
        <v>31</v>
      </c>
      <c r="C58" s="118"/>
      <c r="D58" s="134"/>
      <c r="E58" s="98"/>
      <c r="F58" s="98"/>
      <c r="G58" s="98"/>
      <c r="H58" s="120"/>
      <c r="I58" s="187"/>
      <c r="J58" s="74"/>
    </row>
    <row r="59" spans="2:10">
      <c r="B59" s="78" t="s">
        <v>20</v>
      </c>
      <c r="C59" s="118" t="s">
        <v>404</v>
      </c>
      <c r="D59" s="363"/>
      <c r="E59" s="362"/>
      <c r="F59" s="362"/>
      <c r="G59" s="362"/>
      <c r="H59" s="197"/>
      <c r="I59" s="187"/>
      <c r="J59" s="119" t="s">
        <v>114</v>
      </c>
    </row>
    <row r="60" spans="2:10">
      <c r="B60" s="78" t="s">
        <v>21</v>
      </c>
      <c r="C60" s="118" t="s">
        <v>404</v>
      </c>
      <c r="D60" s="170">
        <f t="shared" ref="D60:G64" si="3">D52</f>
        <v>0</v>
      </c>
      <c r="E60" s="117">
        <f t="shared" si="3"/>
        <v>0</v>
      </c>
      <c r="F60" s="117">
        <f t="shared" si="3"/>
        <v>0</v>
      </c>
      <c r="G60" s="117">
        <f t="shared" si="3"/>
        <v>0</v>
      </c>
      <c r="H60" s="197"/>
      <c r="I60" s="187"/>
      <c r="J60" s="74"/>
    </row>
    <row r="61" spans="2:10">
      <c r="B61" s="78" t="s">
        <v>22</v>
      </c>
      <c r="C61" s="118" t="s">
        <v>404</v>
      </c>
      <c r="D61" s="170">
        <f t="shared" si="3"/>
        <v>0</v>
      </c>
      <c r="E61" s="117">
        <f t="shared" si="3"/>
        <v>0</v>
      </c>
      <c r="F61" s="117">
        <f t="shared" si="3"/>
        <v>0</v>
      </c>
      <c r="G61" s="117">
        <f t="shared" si="3"/>
        <v>0</v>
      </c>
      <c r="H61" s="197"/>
      <c r="I61" s="187"/>
      <c r="J61" s="74"/>
    </row>
    <row r="62" spans="2:10">
      <c r="B62" s="78" t="s">
        <v>23</v>
      </c>
      <c r="C62" s="118" t="s">
        <v>404</v>
      </c>
      <c r="D62" s="170">
        <f t="shared" si="3"/>
        <v>0</v>
      </c>
      <c r="E62" s="117">
        <f t="shared" si="3"/>
        <v>0</v>
      </c>
      <c r="F62" s="117">
        <f t="shared" si="3"/>
        <v>0</v>
      </c>
      <c r="G62" s="117">
        <f t="shared" si="3"/>
        <v>0</v>
      </c>
      <c r="H62" s="197"/>
      <c r="I62" s="187"/>
      <c r="J62" s="74"/>
    </row>
    <row r="63" spans="2:10">
      <c r="B63" s="78" t="s">
        <v>115</v>
      </c>
      <c r="C63" s="118" t="s">
        <v>404</v>
      </c>
      <c r="D63" s="170">
        <f t="shared" si="3"/>
        <v>9.5588257451420452E-2</v>
      </c>
      <c r="E63" s="117">
        <f t="shared" si="3"/>
        <v>9.9244638883988448E-2</v>
      </c>
      <c r="F63" s="117">
        <f t="shared" si="3"/>
        <v>0.10940824648054148</v>
      </c>
      <c r="G63" s="117">
        <f t="shared" si="3"/>
        <v>0.11793356438811613</v>
      </c>
      <c r="H63" s="197"/>
      <c r="I63" s="187"/>
      <c r="J63" s="74"/>
    </row>
    <row r="64" spans="2:10">
      <c r="B64" s="78" t="s">
        <v>24</v>
      </c>
      <c r="C64" s="118" t="s">
        <v>404</v>
      </c>
      <c r="D64" s="170">
        <f t="shared" si="3"/>
        <v>0</v>
      </c>
      <c r="E64" s="117">
        <f t="shared" si="3"/>
        <v>0</v>
      </c>
      <c r="F64" s="117">
        <f t="shared" si="3"/>
        <v>0</v>
      </c>
      <c r="G64" s="117">
        <f t="shared" si="3"/>
        <v>0</v>
      </c>
      <c r="H64" s="135"/>
      <c r="I64" s="187"/>
      <c r="J64" s="74"/>
    </row>
    <row r="65" spans="2:10" ht="14.4" thickBot="1">
      <c r="B65" s="115"/>
      <c r="C65" s="114"/>
      <c r="D65" s="169"/>
      <c r="E65" s="72"/>
      <c r="F65" s="72"/>
      <c r="G65" s="72"/>
      <c r="H65" s="72"/>
      <c r="I65" s="193"/>
      <c r="J65" s="90"/>
    </row>
    <row r="68" spans="2:10" ht="16.2" thickBot="1">
      <c r="B68" s="89" t="s">
        <v>116</v>
      </c>
    </row>
    <row r="69" spans="2:10">
      <c r="B69" s="88"/>
      <c r="C69" s="110"/>
      <c r="D69" s="168"/>
      <c r="E69" s="85"/>
      <c r="F69" s="85"/>
      <c r="G69" s="85"/>
      <c r="H69" s="85"/>
      <c r="I69" s="85" t="s">
        <v>96</v>
      </c>
      <c r="J69" s="83" t="s">
        <v>97</v>
      </c>
    </row>
    <row r="70" spans="2:10">
      <c r="B70" s="109"/>
      <c r="C70" s="108" t="s">
        <v>98</v>
      </c>
      <c r="D70" s="107">
        <v>2015</v>
      </c>
      <c r="E70" s="106">
        <v>2020</v>
      </c>
      <c r="F70" s="106">
        <v>2035</v>
      </c>
      <c r="G70" s="106">
        <v>2050</v>
      </c>
      <c r="H70" s="106"/>
      <c r="I70" s="152"/>
      <c r="J70" s="104"/>
    </row>
    <row r="71" spans="2:10">
      <c r="B71" s="78" t="s">
        <v>403</v>
      </c>
      <c r="C71" s="95" t="s">
        <v>402</v>
      </c>
      <c r="D71" s="179">
        <v>0.30399999999999999</v>
      </c>
      <c r="E71" s="393">
        <v>0.30199999999999999</v>
      </c>
      <c r="F71" s="393">
        <v>0.29299999999999998</v>
      </c>
      <c r="G71" s="393">
        <v>0.28599999999999998</v>
      </c>
      <c r="H71" s="359"/>
      <c r="I71" s="77" t="s">
        <v>648</v>
      </c>
      <c r="J71" s="74"/>
    </row>
    <row r="72" spans="2:10">
      <c r="B72" s="78" t="s">
        <v>401</v>
      </c>
      <c r="C72" s="95" t="s">
        <v>400</v>
      </c>
      <c r="D72" s="179">
        <v>168</v>
      </c>
      <c r="E72" s="179">
        <v>168</v>
      </c>
      <c r="F72" s="179">
        <v>168</v>
      </c>
      <c r="G72" s="179">
        <v>168</v>
      </c>
      <c r="H72" s="359"/>
      <c r="I72" s="77"/>
      <c r="J72" s="74"/>
    </row>
    <row r="73" spans="2:10">
      <c r="B73" s="78"/>
      <c r="C73" s="95"/>
      <c r="D73" s="392"/>
      <c r="E73" s="98"/>
      <c r="F73" s="98"/>
      <c r="G73" s="98"/>
      <c r="H73" s="98"/>
      <c r="I73" s="349"/>
      <c r="J73" s="74"/>
    </row>
    <row r="74" spans="2:10">
      <c r="B74" s="388" t="s">
        <v>399</v>
      </c>
      <c r="C74" s="383"/>
      <c r="D74" s="387">
        <v>396134</v>
      </c>
      <c r="E74" s="387">
        <v>396134</v>
      </c>
      <c r="F74" s="387">
        <v>396134</v>
      </c>
      <c r="G74" s="387">
        <v>396134</v>
      </c>
      <c r="H74" s="387"/>
      <c r="I74" s="383" t="s">
        <v>378</v>
      </c>
      <c r="J74" s="383" t="s">
        <v>369</v>
      </c>
    </row>
    <row r="75" spans="2:10">
      <c r="B75" s="388" t="s">
        <v>398</v>
      </c>
      <c r="C75" s="383"/>
      <c r="D75" s="389">
        <f>D74*D82</f>
        <v>438420.5524416939</v>
      </c>
      <c r="E75" s="389">
        <f>E74*E82</f>
        <v>438420.5524416939</v>
      </c>
      <c r="F75" s="389">
        <f>F74*F82</f>
        <v>438420.5524416939</v>
      </c>
      <c r="G75" s="389">
        <f>G74*G82</f>
        <v>438420.5524416939</v>
      </c>
      <c r="H75" s="389"/>
      <c r="I75" s="383"/>
      <c r="J75" s="383"/>
    </row>
    <row r="76" spans="2:10">
      <c r="B76" s="388" t="s">
        <v>397</v>
      </c>
      <c r="C76" s="391" t="s">
        <v>340</v>
      </c>
      <c r="D76" s="390">
        <v>1069</v>
      </c>
      <c r="E76" s="387">
        <v>1069</v>
      </c>
      <c r="F76" s="387">
        <v>1069</v>
      </c>
      <c r="G76" s="387">
        <v>1069</v>
      </c>
      <c r="H76" s="387"/>
      <c r="I76" s="383" t="s">
        <v>378</v>
      </c>
      <c r="J76" s="383" t="s">
        <v>369</v>
      </c>
    </row>
    <row r="77" spans="2:10">
      <c r="B77" s="388" t="s">
        <v>396</v>
      </c>
      <c r="C77" s="383" t="s">
        <v>118</v>
      </c>
      <c r="D77" s="387">
        <v>1098000000</v>
      </c>
      <c r="E77" s="387">
        <f>D77/1.015^(E70-D70)</f>
        <v>1019229837.2953928</v>
      </c>
      <c r="F77" s="387">
        <f>E77/1.015^(F70-E70)</f>
        <v>815232519.20970285</v>
      </c>
      <c r="G77" s="387">
        <f>E77/1.015^(F70-E70)</f>
        <v>815232519.20970285</v>
      </c>
      <c r="H77" s="387"/>
      <c r="I77" s="383" t="s">
        <v>395</v>
      </c>
      <c r="J77" s="383" t="s">
        <v>369</v>
      </c>
    </row>
    <row r="78" spans="2:10">
      <c r="B78" s="388" t="s">
        <v>394</v>
      </c>
      <c r="C78" s="383"/>
      <c r="D78" s="387">
        <v>28990000</v>
      </c>
      <c r="E78" s="387">
        <v>28990000</v>
      </c>
      <c r="F78" s="387">
        <v>28990000</v>
      </c>
      <c r="G78" s="387">
        <v>28990000</v>
      </c>
      <c r="H78" s="387"/>
      <c r="I78" s="383" t="s">
        <v>378</v>
      </c>
      <c r="J78" s="383" t="s">
        <v>369</v>
      </c>
    </row>
    <row r="79" spans="2:10">
      <c r="B79" s="388" t="s">
        <v>393</v>
      </c>
      <c r="C79" s="383" t="s">
        <v>340</v>
      </c>
      <c r="D79" s="387">
        <v>30668000000</v>
      </c>
      <c r="E79" s="387">
        <v>30668000000</v>
      </c>
      <c r="F79" s="387">
        <v>30668000000</v>
      </c>
      <c r="G79" s="387">
        <v>30668000000</v>
      </c>
      <c r="H79" s="387"/>
      <c r="I79" s="383" t="s">
        <v>378</v>
      </c>
      <c r="J79" s="383" t="s">
        <v>369</v>
      </c>
    </row>
    <row r="80" spans="2:10">
      <c r="B80" s="388" t="s">
        <v>392</v>
      </c>
      <c r="C80" s="383" t="s">
        <v>340</v>
      </c>
      <c r="D80" s="387">
        <v>37003000000</v>
      </c>
      <c r="E80" s="387">
        <v>37003000000</v>
      </c>
      <c r="F80" s="387">
        <v>37003000000</v>
      </c>
      <c r="G80" s="387">
        <v>37003000000</v>
      </c>
      <c r="H80" s="387"/>
      <c r="I80" s="383" t="s">
        <v>378</v>
      </c>
      <c r="J80" s="383" t="s">
        <v>369</v>
      </c>
    </row>
    <row r="81" spans="2:10">
      <c r="B81" s="388" t="s">
        <v>391</v>
      </c>
      <c r="C81" s="383" t="s">
        <v>340</v>
      </c>
      <c r="D81" s="387">
        <v>40953000000</v>
      </c>
      <c r="E81" s="387">
        <v>40953000000</v>
      </c>
      <c r="F81" s="387">
        <v>40953000000</v>
      </c>
      <c r="G81" s="387">
        <v>40953000000</v>
      </c>
      <c r="H81" s="387"/>
      <c r="I81" s="383" t="s">
        <v>378</v>
      </c>
      <c r="J81" s="383" t="s">
        <v>369</v>
      </c>
    </row>
    <row r="82" spans="2:10">
      <c r="B82" s="388" t="s">
        <v>390</v>
      </c>
      <c r="C82" s="383"/>
      <c r="D82" s="389">
        <f>D81/D80</f>
        <v>1.1067481015052834</v>
      </c>
      <c r="E82" s="389">
        <f>E81/E80</f>
        <v>1.1067481015052834</v>
      </c>
      <c r="F82" s="389">
        <f>F81/F80</f>
        <v>1.1067481015052834</v>
      </c>
      <c r="G82" s="389">
        <f>G81/G80</f>
        <v>1.1067481015052834</v>
      </c>
      <c r="H82" s="389"/>
      <c r="I82" s="383"/>
      <c r="J82" s="383"/>
    </row>
    <row r="83" spans="2:10">
      <c r="B83" s="505" t="s">
        <v>389</v>
      </c>
      <c r="C83" s="383" t="s">
        <v>340</v>
      </c>
      <c r="D83" s="504">
        <f>D79/D75</f>
        <v>69951.100214624574</v>
      </c>
      <c r="E83" s="389">
        <f>E79/E75</f>
        <v>69951.100214624574</v>
      </c>
      <c r="F83" s="389">
        <f>F79/F75</f>
        <v>69951.100214624574</v>
      </c>
      <c r="G83" s="389">
        <f>G79/G75</f>
        <v>69951.100214624574</v>
      </c>
      <c r="H83" s="389"/>
      <c r="I83" s="383"/>
      <c r="J83" s="383"/>
    </row>
    <row r="84" spans="2:10">
      <c r="B84" s="388" t="s">
        <v>388</v>
      </c>
      <c r="C84" s="383" t="s">
        <v>118</v>
      </c>
      <c r="D84" s="389">
        <f>D77/D75</f>
        <v>2504.4446340047539</v>
      </c>
      <c r="E84" s="389">
        <f>E77/E75</f>
        <v>2324.7765909216619</v>
      </c>
      <c r="F84" s="389">
        <f>F77/F75</f>
        <v>1859.4760548277939</v>
      </c>
      <c r="G84" s="389">
        <f>G77/G75</f>
        <v>1859.4760548277939</v>
      </c>
      <c r="H84" s="389"/>
      <c r="I84" s="383"/>
      <c r="J84" s="383"/>
    </row>
    <row r="85" spans="2:10">
      <c r="B85" s="388" t="s">
        <v>387</v>
      </c>
      <c r="C85" s="383" t="s">
        <v>386</v>
      </c>
      <c r="D85" s="389">
        <f>D84/D76</f>
        <v>2.3427919869080953</v>
      </c>
      <c r="E85" s="389">
        <f>E84/E76</f>
        <v>2.1747208521250343</v>
      </c>
      <c r="F85" s="389">
        <f>F84/F76</f>
        <v>1.7394537463309578</v>
      </c>
      <c r="G85" s="389">
        <f>G84/G76</f>
        <v>1.7394537463309578</v>
      </c>
      <c r="H85" s="389"/>
      <c r="I85" s="383"/>
      <c r="J85" s="383"/>
    </row>
    <row r="86" spans="2:10">
      <c r="B86" s="388" t="s">
        <v>152</v>
      </c>
      <c r="C86" s="383" t="s">
        <v>385</v>
      </c>
      <c r="D86" s="389">
        <v>2.901290386263895</v>
      </c>
      <c r="E86" s="389">
        <v>2.6931527580495782</v>
      </c>
      <c r="F86" s="389">
        <v>2.1541222864779663</v>
      </c>
      <c r="G86" s="389">
        <v>2.1541222864779663</v>
      </c>
      <c r="H86" s="389"/>
      <c r="I86" s="383"/>
      <c r="J86" s="383"/>
    </row>
    <row r="87" spans="2:10">
      <c r="B87" s="388"/>
      <c r="C87" s="383"/>
      <c r="D87" s="389"/>
      <c r="E87" s="387"/>
      <c r="F87" s="387"/>
      <c r="G87" s="387"/>
      <c r="H87" s="387"/>
      <c r="I87" s="383"/>
      <c r="J87" s="383"/>
    </row>
    <row r="88" spans="2:10">
      <c r="B88" s="388" t="s">
        <v>384</v>
      </c>
      <c r="C88" s="383" t="s">
        <v>383</v>
      </c>
      <c r="D88" s="387">
        <v>969</v>
      </c>
      <c r="E88" s="387">
        <v>969</v>
      </c>
      <c r="F88" s="387">
        <v>969</v>
      </c>
      <c r="G88" s="387">
        <v>969</v>
      </c>
      <c r="H88" s="387"/>
      <c r="I88" s="383" t="s">
        <v>378</v>
      </c>
      <c r="J88" s="383" t="s">
        <v>369</v>
      </c>
    </row>
    <row r="89" spans="2:10">
      <c r="B89" s="388" t="s">
        <v>382</v>
      </c>
      <c r="C89" s="383" t="s">
        <v>381</v>
      </c>
      <c r="D89" s="389">
        <f>D88/1000*D85</f>
        <v>2.2701654353139444</v>
      </c>
      <c r="E89" s="389">
        <f>E88/1000*E85</f>
        <v>2.1073045057091582</v>
      </c>
      <c r="F89" s="389">
        <f>F88/1000*F85</f>
        <v>1.6855306801946981</v>
      </c>
      <c r="G89" s="389">
        <f>G88/1000*G85</f>
        <v>1.6855306801946981</v>
      </c>
      <c r="H89" s="389"/>
      <c r="I89" s="383"/>
      <c r="J89" s="383" t="s">
        <v>369</v>
      </c>
    </row>
    <row r="90" spans="2:10">
      <c r="B90" s="388" t="s">
        <v>380</v>
      </c>
      <c r="C90" s="383" t="s">
        <v>379</v>
      </c>
      <c r="D90" s="387">
        <v>0.81</v>
      </c>
      <c r="E90" s="387">
        <v>0.81</v>
      </c>
      <c r="F90" s="387">
        <v>0.81</v>
      </c>
      <c r="G90" s="387">
        <v>0.81</v>
      </c>
      <c r="H90" s="387"/>
      <c r="I90" s="383" t="s">
        <v>378</v>
      </c>
      <c r="J90" s="383" t="s">
        <v>369</v>
      </c>
    </row>
    <row r="91" spans="2:10">
      <c r="B91" s="388" t="s">
        <v>376</v>
      </c>
      <c r="C91" s="383" t="s">
        <v>377</v>
      </c>
      <c r="D91" s="389">
        <f>D90*D83</f>
        <v>56660.391173845906</v>
      </c>
      <c r="E91" s="389">
        <f>E90*E83</f>
        <v>56660.391173845906</v>
      </c>
      <c r="F91" s="389">
        <f>F90*F83</f>
        <v>56660.391173845906</v>
      </c>
      <c r="G91" s="389">
        <f>G90*G83</f>
        <v>56660.391173845906</v>
      </c>
      <c r="H91" s="389"/>
      <c r="I91" s="383"/>
      <c r="J91" s="383" t="s">
        <v>369</v>
      </c>
    </row>
    <row r="92" spans="2:10">
      <c r="B92" s="388" t="s">
        <v>376</v>
      </c>
      <c r="C92" s="383" t="s">
        <v>374</v>
      </c>
      <c r="D92" s="389">
        <f>D91/D76</f>
        <v>53.003172286104686</v>
      </c>
      <c r="E92" s="389">
        <f>E91/E76</f>
        <v>53.003172286104686</v>
      </c>
      <c r="F92" s="389">
        <f>F91/F76</f>
        <v>53.003172286104686</v>
      </c>
      <c r="G92" s="389">
        <f>G91/G76</f>
        <v>53.003172286104686</v>
      </c>
      <c r="H92" s="389"/>
      <c r="I92" s="383"/>
      <c r="J92" s="383" t="s">
        <v>369</v>
      </c>
    </row>
    <row r="93" spans="2:10">
      <c r="B93" s="388" t="s">
        <v>375</v>
      </c>
      <c r="C93" s="383" t="s">
        <v>374</v>
      </c>
      <c r="D93" s="389">
        <v>40.971295478940782</v>
      </c>
      <c r="E93" s="389">
        <v>41.834458405846149</v>
      </c>
      <c r="F93" s="389">
        <v>44.069859681072785</v>
      </c>
      <c r="G93" s="389">
        <v>44.069859681072785</v>
      </c>
      <c r="H93" s="389"/>
      <c r="I93" s="383"/>
      <c r="J93" s="383" t="s">
        <v>369</v>
      </c>
    </row>
    <row r="94" spans="2:10">
      <c r="B94" s="388"/>
      <c r="C94" s="383"/>
      <c r="D94" s="389"/>
      <c r="E94" s="387"/>
      <c r="F94" s="387"/>
      <c r="G94" s="387"/>
      <c r="H94" s="387"/>
      <c r="I94" s="383"/>
      <c r="J94" s="383"/>
    </row>
    <row r="95" spans="2:10">
      <c r="B95" s="388" t="s">
        <v>20</v>
      </c>
      <c r="C95" s="383" t="s">
        <v>373</v>
      </c>
      <c r="D95" s="387">
        <v>3460</v>
      </c>
      <c r="E95" s="387">
        <v>3460</v>
      </c>
      <c r="F95" s="387">
        <v>3460</v>
      </c>
      <c r="G95" s="387">
        <v>3460</v>
      </c>
      <c r="H95" s="387"/>
      <c r="I95" s="383" t="s">
        <v>370</v>
      </c>
      <c r="J95" s="383" t="s">
        <v>369</v>
      </c>
    </row>
    <row r="96" spans="2:10">
      <c r="B96" s="388" t="s">
        <v>115</v>
      </c>
      <c r="C96" s="383" t="s">
        <v>373</v>
      </c>
      <c r="D96" s="387">
        <v>14.3</v>
      </c>
      <c r="E96" s="387">
        <v>14.3</v>
      </c>
      <c r="F96" s="387">
        <v>14.3</v>
      </c>
      <c r="G96" s="387">
        <v>14.3</v>
      </c>
      <c r="H96" s="387"/>
      <c r="I96" s="383" t="s">
        <v>370</v>
      </c>
      <c r="J96" s="383" t="s">
        <v>369</v>
      </c>
    </row>
    <row r="97" spans="2:10">
      <c r="B97" s="388" t="s">
        <v>186</v>
      </c>
      <c r="C97" s="383" t="s">
        <v>373</v>
      </c>
      <c r="D97" s="387">
        <v>1</v>
      </c>
      <c r="E97" s="387">
        <v>1</v>
      </c>
      <c r="F97" s="387">
        <v>1</v>
      </c>
      <c r="G97" s="387">
        <v>1</v>
      </c>
      <c r="H97" s="387"/>
      <c r="I97" s="383" t="s">
        <v>370</v>
      </c>
      <c r="J97" s="383" t="s">
        <v>369</v>
      </c>
    </row>
    <row r="98" spans="2:10" ht="14.4" thickBot="1">
      <c r="B98" s="386" t="s">
        <v>372</v>
      </c>
      <c r="C98" s="384" t="s">
        <v>371</v>
      </c>
      <c r="D98" s="385">
        <v>652</v>
      </c>
      <c r="E98" s="385">
        <v>652</v>
      </c>
      <c r="F98" s="385">
        <v>652</v>
      </c>
      <c r="G98" s="385">
        <v>652</v>
      </c>
      <c r="H98" s="385"/>
      <c r="I98" s="384" t="s">
        <v>370</v>
      </c>
      <c r="J98" s="383" t="s">
        <v>369</v>
      </c>
    </row>
    <row r="99" spans="2:10">
      <c r="B99" s="380"/>
      <c r="C99" s="380"/>
    </row>
    <row r="100" spans="2:10">
      <c r="B100" s="380"/>
      <c r="C100" s="380"/>
    </row>
    <row r="101" spans="2:10">
      <c r="B101" s="380"/>
      <c r="C101" s="380"/>
    </row>
    <row r="102" spans="2:10">
      <c r="B102" s="382"/>
      <c r="C102" s="381"/>
      <c r="D102" s="380"/>
    </row>
    <row r="103" spans="2:10">
      <c r="B103" s="382"/>
      <c r="C103" s="381"/>
      <c r="D103" s="380"/>
    </row>
    <row r="104" spans="2:10" ht="16.2" thickBot="1">
      <c r="B104" s="89" t="s">
        <v>125</v>
      </c>
    </row>
    <row r="105" spans="2:10">
      <c r="B105" s="88" t="s">
        <v>368</v>
      </c>
      <c r="C105" s="85" t="s">
        <v>104</v>
      </c>
      <c r="D105" s="379">
        <v>1.9</v>
      </c>
      <c r="E105" s="379">
        <v>1.83</v>
      </c>
      <c r="F105" s="379">
        <v>1.66</v>
      </c>
      <c r="G105" s="379">
        <v>1.54</v>
      </c>
      <c r="H105" s="352"/>
      <c r="I105" s="351"/>
      <c r="J105" s="83"/>
    </row>
    <row r="106" spans="2:10">
      <c r="B106" s="78"/>
      <c r="C106" s="77"/>
      <c r="D106" s="77"/>
      <c r="E106" s="77"/>
      <c r="F106" s="77"/>
      <c r="G106" s="77"/>
      <c r="H106" s="77"/>
      <c r="I106" s="77"/>
      <c r="J106" s="74"/>
    </row>
    <row r="107" spans="2:10">
      <c r="B107" s="78" t="s">
        <v>20</v>
      </c>
      <c r="C107" s="77" t="s">
        <v>27</v>
      </c>
      <c r="D107" s="378">
        <f>D95/($D$76*$D$75)*1000000000</f>
        <v>7382.5685561949085</v>
      </c>
      <c r="E107" s="378">
        <f>E95/($D$76*$D$75)*1000000000</f>
        <v>7382.5685561949085</v>
      </c>
      <c r="F107" s="378">
        <f>F95/($D$76*$D$75)*1000000000</f>
        <v>7382.5685561949085</v>
      </c>
      <c r="G107" s="378">
        <f>G95/($D$76*$D$75)*1000000000</f>
        <v>7382.5685561949085</v>
      </c>
      <c r="H107" s="378"/>
      <c r="I107" s="77"/>
      <c r="J107" s="74"/>
    </row>
    <row r="108" spans="2:10">
      <c r="B108" s="78" t="s">
        <v>21</v>
      </c>
      <c r="C108" s="77" t="s">
        <v>27</v>
      </c>
      <c r="D108" s="373"/>
      <c r="E108" s="373"/>
      <c r="F108" s="373"/>
      <c r="G108" s="373"/>
      <c r="H108" s="373"/>
      <c r="I108" s="349"/>
      <c r="J108" s="74"/>
    </row>
    <row r="109" spans="2:10">
      <c r="B109" s="78" t="s">
        <v>22</v>
      </c>
      <c r="C109" s="77" t="s">
        <v>27</v>
      </c>
      <c r="D109" s="373"/>
      <c r="E109" s="373"/>
      <c r="F109" s="373"/>
      <c r="G109" s="373"/>
      <c r="H109" s="373"/>
      <c r="I109" s="349"/>
      <c r="J109" s="74"/>
    </row>
    <row r="110" spans="2:10">
      <c r="B110" s="78" t="s">
        <v>23</v>
      </c>
      <c r="C110" s="77" t="s">
        <v>27</v>
      </c>
      <c r="D110" s="373"/>
      <c r="E110" s="373"/>
      <c r="F110" s="373"/>
      <c r="G110" s="373"/>
      <c r="H110" s="373"/>
      <c r="I110" s="349"/>
      <c r="J110" s="74"/>
    </row>
    <row r="111" spans="2:10">
      <c r="B111" s="78" t="s">
        <v>115</v>
      </c>
      <c r="C111" s="77" t="s">
        <v>27</v>
      </c>
      <c r="D111" s="373">
        <f>D96/($D$76*$D$75)*1000000000</f>
        <v>30.511771778493408</v>
      </c>
      <c r="E111" s="373">
        <f>E96/($D$76*$D$75)*1000000000</f>
        <v>30.511771778493408</v>
      </c>
      <c r="F111" s="373">
        <f>F96/($D$76*$D$75)*1000000000</f>
        <v>30.511771778493408</v>
      </c>
      <c r="G111" s="373">
        <f>G96/($D$76*$D$75)*1000000000</f>
        <v>30.511771778493408</v>
      </c>
      <c r="H111" s="373"/>
      <c r="I111" s="349"/>
      <c r="J111" s="74"/>
    </row>
    <row r="112" spans="2:10">
      <c r="B112" s="78" t="s">
        <v>24</v>
      </c>
      <c r="C112" s="77" t="s">
        <v>27</v>
      </c>
      <c r="D112" s="350"/>
      <c r="E112" s="350"/>
      <c r="F112" s="350"/>
      <c r="G112" s="350"/>
      <c r="H112" s="350"/>
      <c r="I112" s="349"/>
      <c r="J112" s="74"/>
    </row>
    <row r="113" spans="2:10" ht="14.4" thickBot="1">
      <c r="B113" s="73"/>
      <c r="C113" s="72"/>
      <c r="D113" s="72"/>
      <c r="E113" s="72"/>
      <c r="F113" s="72"/>
      <c r="G113" s="72"/>
      <c r="H113" s="72"/>
      <c r="I113" s="72"/>
      <c r="J113" s="90"/>
    </row>
    <row r="115" spans="2:10">
      <c r="F115" s="68"/>
      <c r="G115" s="68"/>
    </row>
    <row r="116" spans="2:10">
      <c r="F116" s="68"/>
      <c r="G116" s="68"/>
    </row>
    <row r="117" spans="2:10">
      <c r="F117" s="68"/>
      <c r="G117" s="68"/>
      <c r="J117" s="68"/>
    </row>
    <row r="118" spans="2:10">
      <c r="F118" s="68"/>
      <c r="G118" s="68"/>
    </row>
    <row r="119" spans="2:10">
      <c r="F119" s="68"/>
      <c r="G119" s="68"/>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'C:\Users\B003920\Desktop\[Kopi af alternativ_drivmiddelmodel_3.0_2.xlsm]Sheet1'!#REF!</xm:f>
          </x14:formula1>
          <xm:sqref>C9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2E29-BA4C-4E08-9A77-62783A91189F}">
  <sheetPr>
    <tabColor rgb="FF002060"/>
    <pageSetUpPr fitToPage="1"/>
  </sheetPr>
  <dimension ref="B1:S115"/>
  <sheetViews>
    <sheetView topLeftCell="A9" zoomScale="80" zoomScaleNormal="80" workbookViewId="0">
      <selection activeCell="G26" sqref="E26:G29"/>
    </sheetView>
  </sheetViews>
  <sheetFormatPr defaultColWidth="8.88671875" defaultRowHeight="13.8"/>
  <cols>
    <col min="1" max="1" width="2.88671875" style="65" customWidth="1"/>
    <col min="2" max="2" width="35" style="65" customWidth="1"/>
    <col min="3" max="3" width="18" style="65" customWidth="1"/>
    <col min="4" max="4" width="19.109375" style="65" bestFit="1" customWidth="1"/>
    <col min="5" max="8" width="15.88671875" style="65" customWidth="1"/>
    <col min="9" max="9" width="7.109375" style="65" customWidth="1"/>
    <col min="10" max="10" width="37.44140625" style="65" customWidth="1"/>
    <col min="11" max="14" width="8.88671875" style="65"/>
    <col min="15" max="15" width="37.88671875" style="65" customWidth="1"/>
    <col min="16" max="16" width="13.88671875" style="65" bestFit="1" customWidth="1"/>
    <col min="17" max="17" width="8.88671875" style="65"/>
    <col min="18" max="19" width="12" style="65" customWidth="1"/>
    <col min="20" max="16384" width="8.88671875" style="65"/>
  </cols>
  <sheetData>
    <row r="1" spans="2:19" s="62" customFormat="1" ht="21">
      <c r="B1" s="62" t="s">
        <v>409</v>
      </c>
      <c r="Q1" s="62">
        <v>0</v>
      </c>
      <c r="R1" s="64">
        <v>0</v>
      </c>
      <c r="S1" s="63"/>
    </row>
    <row r="2" spans="2:19">
      <c r="R2" s="369"/>
      <c r="S2" s="369"/>
    </row>
    <row r="4" spans="2:19" ht="14.4" thickBot="1">
      <c r="B4" s="154" t="s">
        <v>91</v>
      </c>
    </row>
    <row r="5" spans="2:19">
      <c r="B5" s="157" t="s">
        <v>92</v>
      </c>
      <c r="C5" s="85"/>
      <c r="D5" s="85"/>
      <c r="E5" s="85"/>
      <c r="F5" s="85"/>
      <c r="G5" s="85"/>
      <c r="H5" s="85"/>
      <c r="I5" s="85"/>
      <c r="J5" s="85"/>
      <c r="K5" s="85"/>
      <c r="L5" s="85"/>
      <c r="M5" s="85"/>
      <c r="N5" s="83"/>
    </row>
    <row r="6" spans="2:19">
      <c r="B6" s="133" t="s">
        <v>408</v>
      </c>
      <c r="C6" s="77"/>
      <c r="D6" s="77"/>
      <c r="E6" s="77"/>
      <c r="F6" s="77"/>
      <c r="G6" s="77"/>
      <c r="H6" s="77"/>
      <c r="I6" s="77"/>
      <c r="J6" s="77"/>
      <c r="K6" s="77"/>
      <c r="L6" s="77"/>
      <c r="M6" s="77"/>
      <c r="N6" s="74"/>
    </row>
    <row r="7" spans="2:19">
      <c r="B7" s="133"/>
      <c r="C7" s="77"/>
      <c r="D7" s="77"/>
      <c r="E7" s="77"/>
      <c r="F7" s="77"/>
      <c r="G7" s="77"/>
      <c r="H7" s="77"/>
      <c r="I7" s="77"/>
      <c r="J7" s="77"/>
      <c r="K7" s="77"/>
      <c r="L7" s="77"/>
      <c r="M7" s="77"/>
      <c r="N7" s="74"/>
    </row>
    <row r="8" spans="2:19">
      <c r="B8" s="128"/>
      <c r="C8" s="77"/>
      <c r="D8" s="77"/>
      <c r="E8" s="77"/>
      <c r="F8" s="77"/>
      <c r="G8" s="77"/>
      <c r="H8" s="77"/>
      <c r="I8" s="77"/>
      <c r="J8" s="77"/>
      <c r="K8" s="77"/>
      <c r="L8" s="77"/>
      <c r="M8" s="77"/>
      <c r="N8" s="74"/>
    </row>
    <row r="9" spans="2:19">
      <c r="B9" s="156" t="s">
        <v>232</v>
      </c>
      <c r="C9" s="61" t="s">
        <v>231</v>
      </c>
      <c r="D9" s="77"/>
      <c r="E9" s="77"/>
      <c r="F9" s="77"/>
      <c r="G9" s="77"/>
      <c r="H9" s="77"/>
      <c r="I9" s="77"/>
      <c r="J9" s="77"/>
      <c r="K9" s="77"/>
      <c r="L9" s="77"/>
      <c r="M9" s="77"/>
      <c r="N9" s="74"/>
    </row>
    <row r="10" spans="2:19">
      <c r="B10" s="128"/>
      <c r="C10" s="77"/>
      <c r="D10" s="77"/>
      <c r="E10" s="77"/>
      <c r="F10" s="77"/>
      <c r="G10" s="77"/>
      <c r="H10" s="77"/>
      <c r="I10" s="77"/>
      <c r="J10" s="77"/>
      <c r="K10" s="77"/>
      <c r="L10" s="77"/>
      <c r="M10" s="77"/>
      <c r="N10" s="74"/>
    </row>
    <row r="11" spans="2:19">
      <c r="B11" s="155" t="s">
        <v>93</v>
      </c>
      <c r="C11" s="77"/>
      <c r="D11" s="77"/>
      <c r="E11" s="77"/>
      <c r="F11" s="77"/>
      <c r="G11" s="77"/>
      <c r="H11" s="77"/>
      <c r="I11" s="77"/>
      <c r="J11" s="77"/>
      <c r="K11" s="77"/>
      <c r="L11" s="77"/>
      <c r="M11" s="77"/>
      <c r="N11" s="74"/>
    </row>
    <row r="12" spans="2:19">
      <c r="B12" s="128"/>
      <c r="C12" s="77"/>
      <c r="D12" s="77"/>
      <c r="E12" s="77"/>
      <c r="F12" s="77"/>
      <c r="G12" s="77"/>
      <c r="H12" s="77"/>
      <c r="I12" s="77"/>
      <c r="J12" s="77"/>
      <c r="K12" s="77"/>
      <c r="L12" s="77"/>
      <c r="M12" s="77"/>
      <c r="N12" s="74"/>
    </row>
    <row r="13" spans="2:19">
      <c r="B13" s="128"/>
      <c r="C13" s="77"/>
      <c r="D13" s="77"/>
      <c r="E13" s="77"/>
      <c r="F13" s="77"/>
      <c r="G13" s="77"/>
      <c r="H13" s="77"/>
      <c r="I13" s="77"/>
      <c r="J13" s="77"/>
      <c r="K13" s="77"/>
      <c r="L13" s="77"/>
      <c r="M13" s="77"/>
      <c r="N13" s="74"/>
    </row>
    <row r="14" spans="2:19">
      <c r="B14" s="155" t="s">
        <v>94</v>
      </c>
      <c r="C14" s="77"/>
      <c r="D14" s="77"/>
      <c r="E14" s="77"/>
      <c r="F14" s="77"/>
      <c r="G14" s="77"/>
      <c r="H14" s="77"/>
      <c r="I14" s="77"/>
      <c r="J14" s="77"/>
      <c r="K14" s="77"/>
      <c r="L14" s="77"/>
      <c r="M14" s="77"/>
      <c r="N14" s="74"/>
    </row>
    <row r="15" spans="2:19">
      <c r="B15" s="128"/>
      <c r="C15" s="77"/>
      <c r="D15" s="77"/>
      <c r="E15" s="77"/>
      <c r="F15" s="77"/>
      <c r="G15" s="77"/>
      <c r="H15" s="77"/>
      <c r="I15" s="77"/>
      <c r="J15" s="77"/>
      <c r="K15" s="77"/>
      <c r="L15" s="77"/>
      <c r="M15" s="77"/>
      <c r="N15" s="74"/>
    </row>
    <row r="16" spans="2:19">
      <c r="B16" s="128"/>
      <c r="C16" s="77"/>
      <c r="D16" s="77"/>
      <c r="E16" s="77"/>
      <c r="F16" s="77"/>
      <c r="G16" s="77"/>
      <c r="H16" s="77"/>
      <c r="I16" s="77"/>
      <c r="J16" s="77"/>
      <c r="K16" s="77"/>
      <c r="L16" s="77"/>
      <c r="M16" s="77"/>
      <c r="N16" s="74"/>
    </row>
    <row r="17" spans="2:14" ht="14.4" thickBot="1">
      <c r="B17" s="73"/>
      <c r="C17" s="72"/>
      <c r="D17" s="72"/>
      <c r="E17" s="72"/>
      <c r="F17" s="72"/>
      <c r="G17" s="72"/>
      <c r="H17" s="72"/>
      <c r="I17" s="72"/>
      <c r="J17" s="72"/>
      <c r="K17" s="72"/>
      <c r="L17" s="72"/>
      <c r="M17" s="72"/>
      <c r="N17" s="90"/>
    </row>
    <row r="19" spans="2:14" ht="14.4" thickBot="1">
      <c r="B19" s="154" t="s">
        <v>95</v>
      </c>
      <c r="E19" s="69"/>
    </row>
    <row r="20" spans="2:14">
      <c r="B20" s="88"/>
      <c r="C20" s="110"/>
      <c r="D20" s="168"/>
      <c r="E20" s="85"/>
      <c r="F20" s="85"/>
      <c r="G20" s="85"/>
      <c r="H20" s="85"/>
      <c r="I20" s="85" t="s">
        <v>96</v>
      </c>
      <c r="J20" s="83" t="s">
        <v>97</v>
      </c>
    </row>
    <row r="21" spans="2:14">
      <c r="B21" s="109"/>
      <c r="C21" s="108" t="s">
        <v>98</v>
      </c>
      <c r="D21" s="107">
        <v>2015</v>
      </c>
      <c r="E21" s="106">
        <v>2020</v>
      </c>
      <c r="F21" s="106">
        <v>2035</v>
      </c>
      <c r="G21" s="106">
        <v>2050</v>
      </c>
      <c r="H21" s="106" t="s">
        <v>99</v>
      </c>
      <c r="I21" s="152"/>
      <c r="J21" s="104"/>
    </row>
    <row r="22" spans="2:14">
      <c r="B22" s="128" t="s">
        <v>100</v>
      </c>
      <c r="C22" s="118"/>
      <c r="D22" s="180"/>
      <c r="E22" s="151"/>
      <c r="F22" s="151"/>
      <c r="G22" s="151"/>
      <c r="H22" s="151"/>
      <c r="I22" s="77"/>
      <c r="J22" s="74"/>
    </row>
    <row r="23" spans="2:14">
      <c r="B23" s="145" t="s">
        <v>101</v>
      </c>
      <c r="C23" s="118" t="s">
        <v>407</v>
      </c>
      <c r="D23" s="396">
        <f>D67/D25</f>
        <v>0.16</v>
      </c>
      <c r="E23" s="396">
        <f>E67/E25</f>
        <v>0.16502732240437157</v>
      </c>
      <c r="F23" s="396">
        <f>F67/F25</f>
        <v>0.17650602409638555</v>
      </c>
      <c r="G23" s="396">
        <f>G67/G25</f>
        <v>0.18571428571428569</v>
      </c>
      <c r="H23" s="147"/>
      <c r="I23" s="187" t="s">
        <v>648</v>
      </c>
      <c r="J23" s="141"/>
    </row>
    <row r="24" spans="2:14">
      <c r="B24" s="145" t="s">
        <v>102</v>
      </c>
      <c r="C24" s="118" t="s">
        <v>407</v>
      </c>
      <c r="D24" s="396">
        <f>D23</f>
        <v>0.16</v>
      </c>
      <c r="E24" s="396">
        <f>E23</f>
        <v>0.16502732240437157</v>
      </c>
      <c r="F24" s="396">
        <f>F23</f>
        <v>0.17650602409638555</v>
      </c>
      <c r="G24" s="396">
        <f>G23</f>
        <v>0.18571428571428569</v>
      </c>
      <c r="H24" s="147"/>
      <c r="I24" s="187" t="s">
        <v>648</v>
      </c>
      <c r="J24" s="141"/>
    </row>
    <row r="25" spans="2:14">
      <c r="B25" s="145" t="s">
        <v>406</v>
      </c>
      <c r="C25" s="118" t="s">
        <v>104</v>
      </c>
      <c r="D25" s="144">
        <f>D101</f>
        <v>1.9</v>
      </c>
      <c r="E25" s="205">
        <f>E101</f>
        <v>1.83</v>
      </c>
      <c r="F25" s="205">
        <f>F101</f>
        <v>1.66</v>
      </c>
      <c r="G25" s="205">
        <f>G101</f>
        <v>1.54</v>
      </c>
      <c r="H25" s="142"/>
      <c r="I25" s="187"/>
      <c r="J25" s="141"/>
    </row>
    <row r="26" spans="2:14">
      <c r="B26" s="145" t="s">
        <v>405</v>
      </c>
      <c r="C26" s="118" t="s">
        <v>104</v>
      </c>
      <c r="E26" s="205"/>
      <c r="F26" s="205"/>
      <c r="G26" s="205"/>
      <c r="H26" s="142"/>
      <c r="I26" s="187"/>
      <c r="J26" s="141"/>
    </row>
    <row r="27" spans="2:14">
      <c r="B27" s="133" t="s">
        <v>106</v>
      </c>
      <c r="C27" s="118" t="s">
        <v>107</v>
      </c>
      <c r="D27" s="140"/>
      <c r="E27" s="125"/>
      <c r="F27" s="125"/>
      <c r="G27" s="125"/>
      <c r="H27" s="125"/>
      <c r="I27" s="349"/>
      <c r="J27" s="74"/>
    </row>
    <row r="28" spans="2:14">
      <c r="B28" s="133" t="s">
        <v>108</v>
      </c>
      <c r="C28" s="118" t="s">
        <v>109</v>
      </c>
      <c r="D28" s="177"/>
      <c r="E28" s="139"/>
      <c r="F28" s="139"/>
      <c r="G28" s="139"/>
      <c r="H28" s="138"/>
      <c r="I28" s="187"/>
      <c r="J28" s="74"/>
    </row>
    <row r="29" spans="2:14">
      <c r="B29" s="78"/>
      <c r="C29" s="137"/>
      <c r="D29" s="144"/>
      <c r="E29" s="205"/>
      <c r="F29" s="205"/>
      <c r="G29" s="205"/>
      <c r="H29" s="205"/>
      <c r="I29" s="77"/>
      <c r="J29" s="74"/>
    </row>
    <row r="30" spans="2:14">
      <c r="B30" s="128" t="s">
        <v>110</v>
      </c>
      <c r="C30" s="118"/>
      <c r="D30" s="134"/>
      <c r="E30" s="98"/>
      <c r="F30" s="98"/>
      <c r="G30" s="98"/>
      <c r="H30" s="98"/>
      <c r="I30" s="77"/>
      <c r="J30" s="74"/>
    </row>
    <row r="31" spans="2:14">
      <c r="B31" s="133" t="s">
        <v>111</v>
      </c>
      <c r="C31" s="118" t="s">
        <v>15</v>
      </c>
      <c r="D31" s="136">
        <v>0</v>
      </c>
      <c r="E31" s="136">
        <v>0</v>
      </c>
      <c r="F31" s="136">
        <v>0</v>
      </c>
      <c r="G31" s="136">
        <v>0</v>
      </c>
      <c r="H31" s="135">
        <v>2015</v>
      </c>
      <c r="I31" s="79"/>
      <c r="J31" s="74"/>
    </row>
    <row r="32" spans="2:14">
      <c r="B32" s="78" t="s">
        <v>16</v>
      </c>
      <c r="C32" s="118" t="s">
        <v>17</v>
      </c>
      <c r="D32" s="136">
        <v>849.46254619530305</v>
      </c>
      <c r="E32" s="136">
        <v>873.10269839213697</v>
      </c>
      <c r="F32" s="136">
        <v>948.00836579989857</v>
      </c>
      <c r="G32" s="136">
        <v>971.21136776003607</v>
      </c>
      <c r="H32" s="135">
        <v>2015</v>
      </c>
      <c r="I32" s="79"/>
      <c r="J32" s="74"/>
    </row>
    <row r="33" spans="2:11">
      <c r="B33" s="129" t="s">
        <v>18</v>
      </c>
      <c r="C33" s="118" t="s">
        <v>17</v>
      </c>
      <c r="D33" s="136">
        <v>0</v>
      </c>
      <c r="E33" s="136">
        <v>0</v>
      </c>
      <c r="F33" s="136">
        <v>0</v>
      </c>
      <c r="G33" s="136">
        <v>0</v>
      </c>
      <c r="H33" s="135">
        <v>2015</v>
      </c>
      <c r="I33" s="79"/>
      <c r="J33" s="74"/>
    </row>
    <row r="34" spans="2:11">
      <c r="B34" s="129" t="s">
        <v>19</v>
      </c>
      <c r="C34" s="118" t="s">
        <v>17</v>
      </c>
      <c r="D34" s="136">
        <v>849.46254619530305</v>
      </c>
      <c r="E34" s="136">
        <v>873.10269839213697</v>
      </c>
      <c r="F34" s="136">
        <v>948.00836579989857</v>
      </c>
      <c r="G34" s="136">
        <v>971.21136776003607</v>
      </c>
      <c r="H34" s="135">
        <v>2015</v>
      </c>
      <c r="I34" s="79"/>
      <c r="J34" s="74"/>
    </row>
    <row r="35" spans="2:11">
      <c r="B35" s="129"/>
      <c r="C35" s="118"/>
      <c r="D35" s="136"/>
      <c r="E35" s="136"/>
      <c r="F35" s="136"/>
      <c r="G35" s="136"/>
      <c r="H35" s="135"/>
      <c r="I35" s="79"/>
      <c r="J35" s="74"/>
    </row>
    <row r="36" spans="2:11">
      <c r="B36" s="129" t="s">
        <v>112</v>
      </c>
      <c r="C36" s="118" t="s">
        <v>17</v>
      </c>
      <c r="D36" s="136">
        <v>0</v>
      </c>
      <c r="E36" s="136">
        <v>0</v>
      </c>
      <c r="F36" s="136">
        <v>0</v>
      </c>
      <c r="G36" s="136">
        <v>0</v>
      </c>
      <c r="H36" s="135">
        <v>2015</v>
      </c>
      <c r="I36" s="79"/>
      <c r="J36" s="74"/>
    </row>
    <row r="37" spans="2:11">
      <c r="B37" s="128"/>
      <c r="C37" s="118"/>
      <c r="D37" s="134"/>
      <c r="E37" s="98"/>
      <c r="F37" s="98"/>
      <c r="G37" s="98"/>
      <c r="H37" s="98"/>
      <c r="I37" s="79"/>
      <c r="J37" s="74"/>
    </row>
    <row r="38" spans="2:11">
      <c r="B38" s="133" t="s">
        <v>111</v>
      </c>
      <c r="C38" s="118" t="s">
        <v>15</v>
      </c>
      <c r="D38" s="176"/>
      <c r="E38" s="132"/>
      <c r="F38" s="132"/>
      <c r="G38" s="132"/>
      <c r="H38" s="130">
        <v>2012</v>
      </c>
      <c r="I38" s="187"/>
      <c r="J38" s="74"/>
    </row>
    <row r="39" spans="2:11">
      <c r="B39" s="78" t="s">
        <v>16</v>
      </c>
      <c r="C39" s="118" t="s">
        <v>17</v>
      </c>
      <c r="D39" s="395">
        <f>SUM(D40:D43)</f>
        <v>802.22618027374654</v>
      </c>
      <c r="E39" s="394">
        <f>SUM(E40:E43)</f>
        <v>824.55176611964191</v>
      </c>
      <c r="F39" s="394">
        <f>SUM(F40:F43)</f>
        <v>895.29212743931384</v>
      </c>
      <c r="G39" s="394">
        <f>SUM(G40:G43)</f>
        <v>917.2048718171992</v>
      </c>
      <c r="H39" s="130">
        <v>2012</v>
      </c>
      <c r="I39" s="187"/>
      <c r="J39" s="74"/>
    </row>
    <row r="40" spans="2:11">
      <c r="B40" s="129" t="s">
        <v>18</v>
      </c>
      <c r="C40" s="118" t="s">
        <v>17</v>
      </c>
      <c r="D40" s="175"/>
      <c r="E40" s="126"/>
      <c r="F40" s="126"/>
      <c r="G40" s="126"/>
      <c r="H40" s="130">
        <v>2012</v>
      </c>
      <c r="I40" s="187"/>
      <c r="J40" s="74"/>
    </row>
    <row r="41" spans="2:11">
      <c r="B41" s="129" t="s">
        <v>19</v>
      </c>
      <c r="C41" s="118" t="s">
        <v>17</v>
      </c>
      <c r="D41" s="174">
        <f>D89/(D67*D68)*1000</f>
        <v>802.22618027374654</v>
      </c>
      <c r="E41" s="174">
        <f>E89/(E67*E68)*1000</f>
        <v>824.55176611964191</v>
      </c>
      <c r="F41" s="174">
        <f>F89/(F67*F68)*1000</f>
        <v>895.29212743931384</v>
      </c>
      <c r="G41" s="174">
        <f>G89/(G67*G68)*1000</f>
        <v>917.2048718171992</v>
      </c>
      <c r="H41" s="130">
        <v>2012</v>
      </c>
      <c r="I41" s="349"/>
      <c r="J41" s="74"/>
      <c r="K41" s="244"/>
    </row>
    <row r="42" spans="2:11">
      <c r="B42" s="129"/>
      <c r="C42" s="118"/>
      <c r="D42" s="134"/>
      <c r="E42" s="98"/>
      <c r="F42" s="98"/>
      <c r="G42" s="98"/>
      <c r="H42" s="130"/>
      <c r="I42" s="187"/>
      <c r="J42" s="74"/>
    </row>
    <row r="43" spans="2:11">
      <c r="B43" s="129" t="s">
        <v>112</v>
      </c>
      <c r="C43" s="118" t="s">
        <v>17</v>
      </c>
      <c r="D43" s="140"/>
      <c r="E43" s="125"/>
      <c r="F43" s="125"/>
      <c r="G43" s="125"/>
      <c r="H43" s="130">
        <v>2012</v>
      </c>
      <c r="I43" s="187"/>
      <c r="J43" s="74"/>
    </row>
    <row r="44" spans="2:11">
      <c r="B44" s="129"/>
      <c r="C44" s="118"/>
      <c r="D44" s="134"/>
      <c r="E44" s="98"/>
      <c r="F44" s="98"/>
      <c r="G44" s="98"/>
      <c r="H44" s="98"/>
      <c r="I44" s="187"/>
      <c r="J44" s="74"/>
    </row>
    <row r="45" spans="2:11">
      <c r="B45" s="128" t="s">
        <v>113</v>
      </c>
      <c r="C45" s="118"/>
      <c r="D45" s="134"/>
      <c r="E45" s="98"/>
      <c r="F45" s="98"/>
      <c r="G45" s="98"/>
      <c r="H45" s="127"/>
      <c r="I45" s="187"/>
      <c r="J45" s="74"/>
    </row>
    <row r="46" spans="2:11">
      <c r="B46" s="123" t="s">
        <v>30</v>
      </c>
      <c r="C46" s="118"/>
      <c r="D46" s="134"/>
      <c r="E46" s="98"/>
      <c r="F46" s="98"/>
      <c r="G46" s="98"/>
      <c r="H46" s="126"/>
      <c r="I46" s="187"/>
      <c r="J46" s="74"/>
    </row>
    <row r="47" spans="2:11">
      <c r="B47" s="78" t="s">
        <v>20</v>
      </c>
      <c r="C47" s="118" t="s">
        <v>404</v>
      </c>
      <c r="D47" s="363"/>
      <c r="E47" s="362"/>
      <c r="F47" s="362"/>
      <c r="G47" s="362"/>
      <c r="H47" s="126"/>
      <c r="I47" s="187"/>
      <c r="J47" s="119" t="s">
        <v>114</v>
      </c>
    </row>
    <row r="48" spans="2:11">
      <c r="B48" s="78" t="s">
        <v>21</v>
      </c>
      <c r="C48" s="118" t="s">
        <v>404</v>
      </c>
      <c r="D48" s="124">
        <f t="shared" ref="D48:G50" si="0">D104/D$101</f>
        <v>0</v>
      </c>
      <c r="E48" s="124">
        <f t="shared" si="0"/>
        <v>0</v>
      </c>
      <c r="F48" s="124">
        <f t="shared" si="0"/>
        <v>0</v>
      </c>
      <c r="G48" s="124">
        <f t="shared" si="0"/>
        <v>0</v>
      </c>
      <c r="H48" s="120"/>
      <c r="I48" s="187"/>
      <c r="J48" s="74"/>
    </row>
    <row r="49" spans="2:10">
      <c r="B49" s="78" t="s">
        <v>22</v>
      </c>
      <c r="C49" s="118" t="s">
        <v>404</v>
      </c>
      <c r="D49" s="124">
        <f t="shared" si="0"/>
        <v>0</v>
      </c>
      <c r="E49" s="124">
        <f t="shared" si="0"/>
        <v>0</v>
      </c>
      <c r="F49" s="124">
        <f t="shared" si="0"/>
        <v>0</v>
      </c>
      <c r="G49" s="124">
        <f t="shared" si="0"/>
        <v>0</v>
      </c>
      <c r="H49" s="98"/>
      <c r="I49" s="187"/>
      <c r="J49" s="74"/>
    </row>
    <row r="50" spans="2:10">
      <c r="B50" s="78" t="s">
        <v>23</v>
      </c>
      <c r="C50" s="118" t="s">
        <v>404</v>
      </c>
      <c r="D50" s="124">
        <f t="shared" si="0"/>
        <v>0</v>
      </c>
      <c r="E50" s="124">
        <f t="shared" si="0"/>
        <v>0</v>
      </c>
      <c r="F50" s="124">
        <f t="shared" si="0"/>
        <v>0</v>
      </c>
      <c r="G50" s="124">
        <f t="shared" si="0"/>
        <v>0</v>
      </c>
      <c r="H50" s="125"/>
      <c r="I50" s="187"/>
      <c r="J50" s="74"/>
    </row>
    <row r="51" spans="2:10">
      <c r="B51" s="78" t="s">
        <v>115</v>
      </c>
      <c r="C51" s="118" t="s">
        <v>404</v>
      </c>
      <c r="D51" s="124">
        <f>D107/D$101/D68</f>
        <v>9.5588257451420452E-2</v>
      </c>
      <c r="E51" s="124">
        <f>E107/E$101/E68</f>
        <v>9.9244638883988448E-2</v>
      </c>
      <c r="F51" s="124">
        <f>F107/F$101/F68</f>
        <v>0.10940824648054148</v>
      </c>
      <c r="G51" s="124">
        <f>G107/G$101/G68</f>
        <v>0.11793356438811613</v>
      </c>
      <c r="H51" s="98"/>
      <c r="I51" s="187"/>
      <c r="J51" s="74"/>
    </row>
    <row r="52" spans="2:10">
      <c r="B52" s="78" t="s">
        <v>24</v>
      </c>
      <c r="C52" s="118" t="s">
        <v>404</v>
      </c>
      <c r="D52" s="124">
        <f>D108/D$101</f>
        <v>0</v>
      </c>
      <c r="E52" s="124">
        <f>E108/E$101</f>
        <v>0</v>
      </c>
      <c r="F52" s="124">
        <f>F108/F$101</f>
        <v>0</v>
      </c>
      <c r="G52" s="124">
        <f>G108/G$101</f>
        <v>0</v>
      </c>
      <c r="H52" s="98"/>
      <c r="I52" s="187"/>
      <c r="J52" s="74"/>
    </row>
    <row r="53" spans="2:10">
      <c r="B53" s="78"/>
      <c r="C53" s="118"/>
      <c r="D53" s="172"/>
      <c r="E53" s="77"/>
      <c r="F53" s="77"/>
      <c r="G53" s="77"/>
      <c r="H53" s="98"/>
      <c r="I53" s="187"/>
      <c r="J53" s="74"/>
    </row>
    <row r="54" spans="2:10">
      <c r="B54" s="123" t="s">
        <v>31</v>
      </c>
      <c r="C54" s="118"/>
      <c r="D54" s="134"/>
      <c r="E54" s="98"/>
      <c r="F54" s="98"/>
      <c r="G54" s="98"/>
      <c r="H54" s="120"/>
      <c r="I54" s="187"/>
      <c r="J54" s="74"/>
    </row>
    <row r="55" spans="2:10">
      <c r="B55" s="78" t="s">
        <v>20</v>
      </c>
      <c r="C55" s="118" t="s">
        <v>404</v>
      </c>
      <c r="D55" s="363"/>
      <c r="E55" s="362"/>
      <c r="F55" s="362"/>
      <c r="G55" s="362"/>
      <c r="H55" s="197"/>
      <c r="I55" s="187"/>
      <c r="J55" s="119" t="s">
        <v>114</v>
      </c>
    </row>
    <row r="56" spans="2:10">
      <c r="B56" s="78" t="s">
        <v>21</v>
      </c>
      <c r="C56" s="118" t="s">
        <v>404</v>
      </c>
      <c r="D56" s="170">
        <f t="shared" ref="D56:G60" si="1">D48</f>
        <v>0</v>
      </c>
      <c r="E56" s="117">
        <f t="shared" si="1"/>
        <v>0</v>
      </c>
      <c r="F56" s="117">
        <f t="shared" si="1"/>
        <v>0</v>
      </c>
      <c r="G56" s="117">
        <f t="shared" si="1"/>
        <v>0</v>
      </c>
      <c r="H56" s="197"/>
      <c r="I56" s="187"/>
      <c r="J56" s="74"/>
    </row>
    <row r="57" spans="2:10">
      <c r="B57" s="78" t="s">
        <v>22</v>
      </c>
      <c r="C57" s="118" t="s">
        <v>404</v>
      </c>
      <c r="D57" s="170">
        <f t="shared" si="1"/>
        <v>0</v>
      </c>
      <c r="E57" s="117">
        <f t="shared" si="1"/>
        <v>0</v>
      </c>
      <c r="F57" s="117">
        <f t="shared" si="1"/>
        <v>0</v>
      </c>
      <c r="G57" s="117">
        <f t="shared" si="1"/>
        <v>0</v>
      </c>
      <c r="H57" s="197"/>
      <c r="I57" s="187"/>
      <c r="J57" s="74"/>
    </row>
    <row r="58" spans="2:10">
      <c r="B58" s="78" t="s">
        <v>23</v>
      </c>
      <c r="C58" s="118" t="s">
        <v>404</v>
      </c>
      <c r="D58" s="170">
        <f t="shared" si="1"/>
        <v>0</v>
      </c>
      <c r="E58" s="117">
        <f t="shared" si="1"/>
        <v>0</v>
      </c>
      <c r="F58" s="117">
        <f t="shared" si="1"/>
        <v>0</v>
      </c>
      <c r="G58" s="117">
        <f t="shared" si="1"/>
        <v>0</v>
      </c>
      <c r="H58" s="197"/>
      <c r="I58" s="187"/>
      <c r="J58" s="74"/>
    </row>
    <row r="59" spans="2:10">
      <c r="B59" s="78" t="s">
        <v>115</v>
      </c>
      <c r="C59" s="118" t="s">
        <v>404</v>
      </c>
      <c r="D59" s="170">
        <f t="shared" si="1"/>
        <v>9.5588257451420452E-2</v>
      </c>
      <c r="E59" s="117">
        <f t="shared" si="1"/>
        <v>9.9244638883988448E-2</v>
      </c>
      <c r="F59" s="117">
        <f t="shared" si="1"/>
        <v>0.10940824648054148</v>
      </c>
      <c r="G59" s="117">
        <f t="shared" si="1"/>
        <v>0.11793356438811613</v>
      </c>
      <c r="H59" s="197"/>
      <c r="I59" s="187"/>
      <c r="J59" s="74"/>
    </row>
    <row r="60" spans="2:10">
      <c r="B60" s="78" t="s">
        <v>24</v>
      </c>
      <c r="C60" s="118" t="s">
        <v>404</v>
      </c>
      <c r="D60" s="170">
        <f t="shared" si="1"/>
        <v>0</v>
      </c>
      <c r="E60" s="117">
        <f t="shared" si="1"/>
        <v>0</v>
      </c>
      <c r="F60" s="117">
        <f t="shared" si="1"/>
        <v>0</v>
      </c>
      <c r="G60" s="117">
        <f t="shared" si="1"/>
        <v>0</v>
      </c>
      <c r="H60" s="135"/>
      <c r="I60" s="187"/>
      <c r="J60" s="74"/>
    </row>
    <row r="61" spans="2:10" ht="14.4" thickBot="1">
      <c r="B61" s="115"/>
      <c r="C61" s="114"/>
      <c r="D61" s="169"/>
      <c r="E61" s="72"/>
      <c r="F61" s="72"/>
      <c r="G61" s="72"/>
      <c r="H61" s="72"/>
      <c r="I61" s="193"/>
      <c r="J61" s="90"/>
    </row>
    <row r="64" spans="2:10" ht="16.2" thickBot="1">
      <c r="B64" s="89" t="s">
        <v>116</v>
      </c>
    </row>
    <row r="65" spans="2:10">
      <c r="B65" s="88"/>
      <c r="C65" s="110"/>
      <c r="D65" s="168"/>
      <c r="E65" s="85"/>
      <c r="F65" s="85"/>
      <c r="G65" s="85"/>
      <c r="H65" s="85"/>
      <c r="I65" s="85" t="s">
        <v>96</v>
      </c>
      <c r="J65" s="83" t="s">
        <v>97</v>
      </c>
    </row>
    <row r="66" spans="2:10">
      <c r="B66" s="109"/>
      <c r="C66" s="108" t="s">
        <v>98</v>
      </c>
      <c r="D66" s="107">
        <v>2015</v>
      </c>
      <c r="E66" s="106">
        <v>2020</v>
      </c>
      <c r="F66" s="106">
        <v>2035</v>
      </c>
      <c r="G66" s="106">
        <v>2050</v>
      </c>
      <c r="H66" s="106"/>
      <c r="I66" s="152"/>
      <c r="J66" s="104"/>
    </row>
    <row r="67" spans="2:10">
      <c r="B67" s="78" t="s">
        <v>403</v>
      </c>
      <c r="C67" s="95" t="s">
        <v>402</v>
      </c>
      <c r="D67" s="179">
        <v>0.30399999999999999</v>
      </c>
      <c r="E67" s="393">
        <v>0.30199999999999999</v>
      </c>
      <c r="F67" s="393">
        <v>0.29299999999999998</v>
      </c>
      <c r="G67" s="393">
        <v>0.28599999999999998</v>
      </c>
      <c r="H67" s="359"/>
      <c r="I67" s="77" t="s">
        <v>648</v>
      </c>
      <c r="J67" s="74"/>
    </row>
    <row r="68" spans="2:10">
      <c r="B68" s="78" t="s">
        <v>401</v>
      </c>
      <c r="C68" s="95" t="s">
        <v>400</v>
      </c>
      <c r="D68" s="179">
        <v>168</v>
      </c>
      <c r="E68" s="179">
        <v>168</v>
      </c>
      <c r="F68" s="179">
        <v>168</v>
      </c>
      <c r="G68" s="179">
        <v>168</v>
      </c>
      <c r="H68" s="359"/>
      <c r="I68" s="77"/>
      <c r="J68" s="74"/>
    </row>
    <row r="69" spans="2:10">
      <c r="B69" s="78"/>
      <c r="C69" s="95"/>
      <c r="D69" s="392"/>
      <c r="E69" s="98"/>
      <c r="F69" s="98"/>
      <c r="G69" s="98"/>
      <c r="H69" s="98"/>
      <c r="I69" s="349"/>
      <c r="J69" s="74"/>
    </row>
    <row r="70" spans="2:10">
      <c r="B70" s="388" t="s">
        <v>399</v>
      </c>
      <c r="C70" s="383"/>
      <c r="D70" s="387">
        <v>396134</v>
      </c>
      <c r="E70" s="387">
        <v>396134</v>
      </c>
      <c r="F70" s="387">
        <v>396134</v>
      </c>
      <c r="G70" s="387">
        <v>396134</v>
      </c>
      <c r="H70" s="387"/>
      <c r="I70" s="383" t="s">
        <v>378</v>
      </c>
      <c r="J70" s="383" t="s">
        <v>369</v>
      </c>
    </row>
    <row r="71" spans="2:10">
      <c r="B71" s="388" t="s">
        <v>398</v>
      </c>
      <c r="C71" s="383"/>
      <c r="D71" s="389">
        <f>D70*D78</f>
        <v>438420.5524416939</v>
      </c>
      <c r="E71" s="389">
        <f>E70*E78</f>
        <v>438420.5524416939</v>
      </c>
      <c r="F71" s="389">
        <f>F70*F78</f>
        <v>438420.5524416939</v>
      </c>
      <c r="G71" s="389">
        <f>G70*G78</f>
        <v>438420.5524416939</v>
      </c>
      <c r="H71" s="389"/>
      <c r="I71" s="383"/>
      <c r="J71" s="383"/>
    </row>
    <row r="72" spans="2:10">
      <c r="B72" s="388" t="s">
        <v>397</v>
      </c>
      <c r="C72" s="391" t="s">
        <v>340</v>
      </c>
      <c r="D72" s="390">
        <v>1069</v>
      </c>
      <c r="E72" s="387">
        <v>1069</v>
      </c>
      <c r="F72" s="387">
        <v>1069</v>
      </c>
      <c r="G72" s="387">
        <v>1069</v>
      </c>
      <c r="H72" s="387"/>
      <c r="I72" s="383" t="s">
        <v>378</v>
      </c>
      <c r="J72" s="383" t="s">
        <v>369</v>
      </c>
    </row>
    <row r="73" spans="2:10">
      <c r="B73" s="388" t="s">
        <v>396</v>
      </c>
      <c r="C73" s="383" t="s">
        <v>118</v>
      </c>
      <c r="D73" s="387">
        <v>1098000000</v>
      </c>
      <c r="E73" s="387">
        <f>D73/1.015^(E66-D66)</f>
        <v>1019229837.2953928</v>
      </c>
      <c r="F73" s="387">
        <f>E73/1.015^(F66-E66)</f>
        <v>815232519.20970285</v>
      </c>
      <c r="G73" s="387">
        <f>E73/1.015^(F66-E66)</f>
        <v>815232519.20970285</v>
      </c>
      <c r="H73" s="387"/>
      <c r="I73" s="383" t="s">
        <v>395</v>
      </c>
      <c r="J73" s="383" t="s">
        <v>369</v>
      </c>
    </row>
    <row r="74" spans="2:10">
      <c r="B74" s="388" t="s">
        <v>394</v>
      </c>
      <c r="C74" s="383"/>
      <c r="D74" s="387">
        <v>28990000</v>
      </c>
      <c r="E74" s="387">
        <v>28990000</v>
      </c>
      <c r="F74" s="387">
        <v>28990000</v>
      </c>
      <c r="G74" s="387">
        <v>28990000</v>
      </c>
      <c r="H74" s="387"/>
      <c r="I74" s="383" t="s">
        <v>378</v>
      </c>
      <c r="J74" s="383" t="s">
        <v>369</v>
      </c>
    </row>
    <row r="75" spans="2:10">
      <c r="B75" s="388" t="s">
        <v>393</v>
      </c>
      <c r="C75" s="383" t="s">
        <v>340</v>
      </c>
      <c r="D75" s="387">
        <v>30668000000</v>
      </c>
      <c r="E75" s="387">
        <v>30668000000</v>
      </c>
      <c r="F75" s="387">
        <v>30668000000</v>
      </c>
      <c r="G75" s="387">
        <v>30668000000</v>
      </c>
      <c r="H75" s="387"/>
      <c r="I75" s="383" t="s">
        <v>378</v>
      </c>
      <c r="J75" s="383" t="s">
        <v>369</v>
      </c>
    </row>
    <row r="76" spans="2:10">
      <c r="B76" s="388" t="s">
        <v>392</v>
      </c>
      <c r="C76" s="383" t="s">
        <v>340</v>
      </c>
      <c r="D76" s="387">
        <v>37003000000</v>
      </c>
      <c r="E76" s="387">
        <v>37003000000</v>
      </c>
      <c r="F76" s="387">
        <v>37003000000</v>
      </c>
      <c r="G76" s="387">
        <v>37003000000</v>
      </c>
      <c r="H76" s="387"/>
      <c r="I76" s="383" t="s">
        <v>378</v>
      </c>
      <c r="J76" s="383" t="s">
        <v>369</v>
      </c>
    </row>
    <row r="77" spans="2:10">
      <c r="B77" s="388" t="s">
        <v>391</v>
      </c>
      <c r="C77" s="383" t="s">
        <v>340</v>
      </c>
      <c r="D77" s="387">
        <v>40953000000</v>
      </c>
      <c r="E77" s="387">
        <v>40953000000</v>
      </c>
      <c r="F77" s="387">
        <v>40953000000</v>
      </c>
      <c r="G77" s="387">
        <v>40953000000</v>
      </c>
      <c r="H77" s="387"/>
      <c r="I77" s="383" t="s">
        <v>378</v>
      </c>
      <c r="J77" s="383" t="s">
        <v>369</v>
      </c>
    </row>
    <row r="78" spans="2:10">
      <c r="B78" s="388" t="s">
        <v>390</v>
      </c>
      <c r="C78" s="383"/>
      <c r="D78" s="389">
        <f>D77/D76</f>
        <v>1.1067481015052834</v>
      </c>
      <c r="E78" s="389">
        <f>E77/E76</f>
        <v>1.1067481015052834</v>
      </c>
      <c r="F78" s="389">
        <f>F77/F76</f>
        <v>1.1067481015052834</v>
      </c>
      <c r="G78" s="389">
        <f>G77/G76</f>
        <v>1.1067481015052834</v>
      </c>
      <c r="H78" s="389"/>
      <c r="I78" s="383"/>
      <c r="J78" s="383"/>
    </row>
    <row r="79" spans="2:10">
      <c r="B79" s="505" t="s">
        <v>389</v>
      </c>
      <c r="C79" s="383" t="s">
        <v>340</v>
      </c>
      <c r="D79" s="504">
        <f>D75/D71</f>
        <v>69951.100214624574</v>
      </c>
      <c r="E79" s="389">
        <f>E75/E71</f>
        <v>69951.100214624574</v>
      </c>
      <c r="F79" s="389">
        <f>F75/F71</f>
        <v>69951.100214624574</v>
      </c>
      <c r="G79" s="389">
        <f>G75/G71</f>
        <v>69951.100214624574</v>
      </c>
      <c r="H79" s="389"/>
      <c r="I79" s="383"/>
      <c r="J79" s="383"/>
    </row>
    <row r="80" spans="2:10">
      <c r="B80" s="388" t="s">
        <v>388</v>
      </c>
      <c r="C80" s="383" t="s">
        <v>118</v>
      </c>
      <c r="D80" s="389">
        <f>D73/D71</f>
        <v>2504.4446340047539</v>
      </c>
      <c r="E80" s="389">
        <f>E73/E71</f>
        <v>2324.7765909216619</v>
      </c>
      <c r="F80" s="389">
        <f>F73/F71</f>
        <v>1859.4760548277939</v>
      </c>
      <c r="G80" s="389">
        <f>G73/G71</f>
        <v>1859.4760548277939</v>
      </c>
      <c r="H80" s="389"/>
      <c r="I80" s="383"/>
      <c r="J80" s="383"/>
    </row>
    <row r="81" spans="2:10">
      <c r="B81" s="388" t="s">
        <v>387</v>
      </c>
      <c r="C81" s="383" t="s">
        <v>386</v>
      </c>
      <c r="D81" s="389">
        <f>D80/D72</f>
        <v>2.3427919869080953</v>
      </c>
      <c r="E81" s="389">
        <f>E80/E72</f>
        <v>2.1747208521250343</v>
      </c>
      <c r="F81" s="389">
        <f>F80/F72</f>
        <v>1.7394537463309578</v>
      </c>
      <c r="G81" s="389">
        <f>G80/G72</f>
        <v>1.7394537463309578</v>
      </c>
      <c r="H81" s="389"/>
      <c r="I81" s="383"/>
      <c r="J81" s="383"/>
    </row>
    <row r="82" spans="2:10">
      <c r="B82" s="388" t="s">
        <v>152</v>
      </c>
      <c r="C82" s="383" t="s">
        <v>385</v>
      </c>
      <c r="D82" s="389">
        <v>2.901290386263895</v>
      </c>
      <c r="E82" s="389">
        <v>2.6931527580495782</v>
      </c>
      <c r="F82" s="389">
        <v>2.1541222864779663</v>
      </c>
      <c r="G82" s="389">
        <v>2.1541222864779663</v>
      </c>
      <c r="H82" s="389"/>
      <c r="I82" s="383"/>
      <c r="J82" s="383"/>
    </row>
    <row r="83" spans="2:10">
      <c r="B83" s="388"/>
      <c r="C83" s="383"/>
      <c r="D83" s="389"/>
      <c r="E83" s="387"/>
      <c r="F83" s="387"/>
      <c r="G83" s="387"/>
      <c r="H83" s="387"/>
      <c r="I83" s="383"/>
      <c r="J83" s="383"/>
    </row>
    <row r="84" spans="2:10">
      <c r="B84" s="388" t="s">
        <v>384</v>
      </c>
      <c r="C84" s="383" t="s">
        <v>383</v>
      </c>
      <c r="D84" s="387">
        <v>969</v>
      </c>
      <c r="E84" s="387">
        <v>969</v>
      </c>
      <c r="F84" s="387">
        <v>969</v>
      </c>
      <c r="G84" s="387">
        <v>969</v>
      </c>
      <c r="H84" s="387"/>
      <c r="I84" s="383" t="s">
        <v>378</v>
      </c>
      <c r="J84" s="383" t="s">
        <v>369</v>
      </c>
    </row>
    <row r="85" spans="2:10">
      <c r="B85" s="388" t="s">
        <v>382</v>
      </c>
      <c r="C85" s="383" t="s">
        <v>381</v>
      </c>
      <c r="D85" s="389">
        <f>D84/1000*D81</f>
        <v>2.2701654353139444</v>
      </c>
      <c r="E85" s="389">
        <f>E84/1000*E81</f>
        <v>2.1073045057091582</v>
      </c>
      <c r="F85" s="389">
        <f>F84/1000*F81</f>
        <v>1.6855306801946981</v>
      </c>
      <c r="G85" s="389">
        <f>G84/1000*G81</f>
        <v>1.6855306801946981</v>
      </c>
      <c r="H85" s="389"/>
      <c r="I85" s="383"/>
      <c r="J85" s="383" t="s">
        <v>369</v>
      </c>
    </row>
    <row r="86" spans="2:10">
      <c r="B86" s="388" t="s">
        <v>380</v>
      </c>
      <c r="C86" s="383" t="s">
        <v>379</v>
      </c>
      <c r="D86" s="387">
        <v>0.81</v>
      </c>
      <c r="E86" s="387">
        <v>0.81</v>
      </c>
      <c r="F86" s="387">
        <v>0.81</v>
      </c>
      <c r="G86" s="387">
        <v>0.81</v>
      </c>
      <c r="H86" s="387"/>
      <c r="I86" s="383" t="s">
        <v>378</v>
      </c>
      <c r="J86" s="383" t="s">
        <v>369</v>
      </c>
    </row>
    <row r="87" spans="2:10">
      <c r="B87" s="388" t="s">
        <v>376</v>
      </c>
      <c r="C87" s="383" t="s">
        <v>377</v>
      </c>
      <c r="D87" s="389">
        <f>D86*D79</f>
        <v>56660.391173845906</v>
      </c>
      <c r="E87" s="389">
        <f>E86*E79</f>
        <v>56660.391173845906</v>
      </c>
      <c r="F87" s="389">
        <f>F86*F79</f>
        <v>56660.391173845906</v>
      </c>
      <c r="G87" s="389">
        <f>G86*G79</f>
        <v>56660.391173845906</v>
      </c>
      <c r="H87" s="389"/>
      <c r="I87" s="383"/>
      <c r="J87" s="383" t="s">
        <v>369</v>
      </c>
    </row>
    <row r="88" spans="2:10">
      <c r="B88" s="388" t="s">
        <v>376</v>
      </c>
      <c r="C88" s="383" t="s">
        <v>374</v>
      </c>
      <c r="D88" s="389">
        <f>D87/D72</f>
        <v>53.003172286104686</v>
      </c>
      <c r="E88" s="389">
        <f>E87/E72</f>
        <v>53.003172286104686</v>
      </c>
      <c r="F88" s="389">
        <f>F87/F72</f>
        <v>53.003172286104686</v>
      </c>
      <c r="G88" s="389">
        <f>G87/G72</f>
        <v>53.003172286104686</v>
      </c>
      <c r="H88" s="389"/>
      <c r="I88" s="383"/>
      <c r="J88" s="383" t="s">
        <v>369</v>
      </c>
    </row>
    <row r="89" spans="2:10">
      <c r="B89" s="388" t="s">
        <v>375</v>
      </c>
      <c r="C89" s="383" t="s">
        <v>374</v>
      </c>
      <c r="D89" s="389">
        <v>40.971295478940782</v>
      </c>
      <c r="E89" s="389">
        <v>41.834458405846149</v>
      </c>
      <c r="F89" s="389">
        <v>44.069859681072785</v>
      </c>
      <c r="G89" s="389">
        <v>44.069859681072785</v>
      </c>
      <c r="H89" s="389"/>
      <c r="I89" s="383"/>
      <c r="J89" s="383" t="s">
        <v>369</v>
      </c>
    </row>
    <row r="90" spans="2:10">
      <c r="B90" s="388"/>
      <c r="C90" s="383"/>
      <c r="D90" s="389"/>
      <c r="E90" s="387"/>
      <c r="F90" s="387"/>
      <c r="G90" s="387"/>
      <c r="H90" s="387"/>
      <c r="I90" s="383"/>
      <c r="J90" s="383"/>
    </row>
    <row r="91" spans="2:10">
      <c r="B91" s="388" t="s">
        <v>20</v>
      </c>
      <c r="C91" s="383" t="s">
        <v>373</v>
      </c>
      <c r="D91" s="387">
        <v>3460</v>
      </c>
      <c r="E91" s="387">
        <v>3460</v>
      </c>
      <c r="F91" s="387">
        <v>3460</v>
      </c>
      <c r="G91" s="387">
        <v>3460</v>
      </c>
      <c r="H91" s="387"/>
      <c r="I91" s="383" t="s">
        <v>370</v>
      </c>
      <c r="J91" s="383" t="s">
        <v>369</v>
      </c>
    </row>
    <row r="92" spans="2:10">
      <c r="B92" s="388" t="s">
        <v>115</v>
      </c>
      <c r="C92" s="383" t="s">
        <v>373</v>
      </c>
      <c r="D92" s="387">
        <v>14.3</v>
      </c>
      <c r="E92" s="387">
        <v>14.3</v>
      </c>
      <c r="F92" s="387">
        <v>14.3</v>
      </c>
      <c r="G92" s="387">
        <v>14.3</v>
      </c>
      <c r="H92" s="387"/>
      <c r="I92" s="383" t="s">
        <v>370</v>
      </c>
      <c r="J92" s="383" t="s">
        <v>369</v>
      </c>
    </row>
    <row r="93" spans="2:10">
      <c r="B93" s="388" t="s">
        <v>186</v>
      </c>
      <c r="C93" s="383" t="s">
        <v>373</v>
      </c>
      <c r="D93" s="387">
        <v>1</v>
      </c>
      <c r="E93" s="387">
        <v>1</v>
      </c>
      <c r="F93" s="387">
        <v>1</v>
      </c>
      <c r="G93" s="387">
        <v>1</v>
      </c>
      <c r="H93" s="387"/>
      <c r="I93" s="383" t="s">
        <v>370</v>
      </c>
      <c r="J93" s="383" t="s">
        <v>369</v>
      </c>
    </row>
    <row r="94" spans="2:10" ht="14.4" thickBot="1">
      <c r="B94" s="386" t="s">
        <v>372</v>
      </c>
      <c r="C94" s="384" t="s">
        <v>371</v>
      </c>
      <c r="D94" s="385">
        <v>652</v>
      </c>
      <c r="E94" s="385">
        <v>652</v>
      </c>
      <c r="F94" s="385">
        <v>652</v>
      </c>
      <c r="G94" s="385">
        <v>652</v>
      </c>
      <c r="H94" s="385"/>
      <c r="I94" s="384" t="s">
        <v>370</v>
      </c>
      <c r="J94" s="383" t="s">
        <v>369</v>
      </c>
    </row>
    <row r="95" spans="2:10">
      <c r="B95" s="380"/>
      <c r="C95" s="380"/>
    </row>
    <row r="96" spans="2:10">
      <c r="B96" s="380"/>
      <c r="C96" s="380"/>
    </row>
    <row r="97" spans="2:10">
      <c r="B97" s="380"/>
      <c r="C97" s="380"/>
    </row>
    <row r="98" spans="2:10">
      <c r="B98" s="382"/>
      <c r="C98" s="381"/>
      <c r="D98" s="380"/>
    </row>
    <row r="99" spans="2:10">
      <c r="B99" s="382"/>
      <c r="C99" s="381"/>
      <c r="D99" s="380"/>
    </row>
    <row r="100" spans="2:10" ht="16.2" thickBot="1">
      <c r="B100" s="89" t="s">
        <v>125</v>
      </c>
    </row>
    <row r="101" spans="2:10">
      <c r="B101" s="88" t="s">
        <v>368</v>
      </c>
      <c r="C101" s="85" t="s">
        <v>104</v>
      </c>
      <c r="D101" s="379">
        <v>1.9</v>
      </c>
      <c r="E101" s="379">
        <v>1.83</v>
      </c>
      <c r="F101" s="379">
        <v>1.66</v>
      </c>
      <c r="G101" s="379">
        <v>1.54</v>
      </c>
      <c r="H101" s="352"/>
      <c r="I101" s="351"/>
      <c r="J101" s="83"/>
    </row>
    <row r="102" spans="2:10">
      <c r="B102" s="78"/>
      <c r="C102" s="77"/>
      <c r="D102" s="77"/>
      <c r="E102" s="77"/>
      <c r="F102" s="77"/>
      <c r="G102" s="77"/>
      <c r="H102" s="77"/>
      <c r="I102" s="77"/>
      <c r="J102" s="74"/>
    </row>
    <row r="103" spans="2:10">
      <c r="B103" s="78" t="s">
        <v>20</v>
      </c>
      <c r="C103" s="77" t="s">
        <v>27</v>
      </c>
      <c r="D103" s="378">
        <f>D91/($D$72*$D$71)*1000000000</f>
        <v>7382.5685561949085</v>
      </c>
      <c r="E103" s="378">
        <f>E91/($D$72*$D$71)*1000000000</f>
        <v>7382.5685561949085</v>
      </c>
      <c r="F103" s="378">
        <f>F91/($D$72*$D$71)*1000000000</f>
        <v>7382.5685561949085</v>
      </c>
      <c r="G103" s="378">
        <f>G91/($D$72*$D$71)*1000000000</f>
        <v>7382.5685561949085</v>
      </c>
      <c r="H103" s="378"/>
      <c r="I103" s="77"/>
      <c r="J103" s="74"/>
    </row>
    <row r="104" spans="2:10">
      <c r="B104" s="78" t="s">
        <v>21</v>
      </c>
      <c r="C104" s="77" t="s">
        <v>27</v>
      </c>
      <c r="D104" s="373"/>
      <c r="E104" s="373"/>
      <c r="F104" s="373"/>
      <c r="G104" s="373"/>
      <c r="H104" s="373"/>
      <c r="I104" s="349"/>
      <c r="J104" s="74"/>
    </row>
    <row r="105" spans="2:10">
      <c r="B105" s="78" t="s">
        <v>22</v>
      </c>
      <c r="C105" s="77" t="s">
        <v>27</v>
      </c>
      <c r="D105" s="373"/>
      <c r="E105" s="373"/>
      <c r="F105" s="373"/>
      <c r="G105" s="373"/>
      <c r="H105" s="373"/>
      <c r="I105" s="349"/>
      <c r="J105" s="74"/>
    </row>
    <row r="106" spans="2:10">
      <c r="B106" s="78" t="s">
        <v>23</v>
      </c>
      <c r="C106" s="77" t="s">
        <v>27</v>
      </c>
      <c r="D106" s="373"/>
      <c r="E106" s="373"/>
      <c r="F106" s="373"/>
      <c r="G106" s="373"/>
      <c r="H106" s="373"/>
      <c r="I106" s="349"/>
      <c r="J106" s="74"/>
    </row>
    <row r="107" spans="2:10">
      <c r="B107" s="78" t="s">
        <v>115</v>
      </c>
      <c r="C107" s="77" t="s">
        <v>27</v>
      </c>
      <c r="D107" s="373">
        <f>D92/($D$72*$D$71)*1000000000</f>
        <v>30.511771778493408</v>
      </c>
      <c r="E107" s="373">
        <f>E92/($D$72*$D$71)*1000000000</f>
        <v>30.511771778493408</v>
      </c>
      <c r="F107" s="373">
        <f>F92/($D$72*$D$71)*1000000000</f>
        <v>30.511771778493408</v>
      </c>
      <c r="G107" s="373">
        <f>G92/($D$72*$D$71)*1000000000</f>
        <v>30.511771778493408</v>
      </c>
      <c r="H107" s="373"/>
      <c r="I107" s="349"/>
      <c r="J107" s="74"/>
    </row>
    <row r="108" spans="2:10">
      <c r="B108" s="78" t="s">
        <v>24</v>
      </c>
      <c r="C108" s="77" t="s">
        <v>27</v>
      </c>
      <c r="D108" s="350"/>
      <c r="E108" s="350"/>
      <c r="F108" s="350"/>
      <c r="G108" s="350"/>
      <c r="H108" s="350"/>
      <c r="I108" s="349"/>
      <c r="J108" s="74"/>
    </row>
    <row r="109" spans="2:10" ht="14.4" thickBot="1">
      <c r="B109" s="73"/>
      <c r="C109" s="72"/>
      <c r="D109" s="72"/>
      <c r="E109" s="72"/>
      <c r="F109" s="72"/>
      <c r="G109" s="72"/>
      <c r="H109" s="72"/>
      <c r="I109" s="72"/>
      <c r="J109" s="90"/>
    </row>
    <row r="111" spans="2:10">
      <c r="F111" s="68"/>
      <c r="G111" s="68"/>
    </row>
    <row r="112" spans="2:10">
      <c r="F112" s="68"/>
      <c r="G112" s="68"/>
    </row>
    <row r="113" spans="6:10">
      <c r="F113" s="68"/>
      <c r="G113" s="68"/>
      <c r="J113" s="68"/>
    </row>
    <row r="114" spans="6:10">
      <c r="F114" s="68"/>
      <c r="G114" s="68"/>
    </row>
    <row r="115" spans="6:10">
      <c r="F115" s="68"/>
      <c r="G115" s="68"/>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B71F431-5800-411E-839C-D4B6F31A5FB6}">
          <x14:formula1>
            <xm:f>'C:\Users\B003920\Desktop\[Kopi af alternativ_drivmiddelmodel_3.0_2.xlsm]Sheet1'!#REF!</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1"/>
  <dimension ref="A1:V83"/>
  <sheetViews>
    <sheetView topLeftCell="A60" workbookViewId="0">
      <selection activeCell="F73" sqref="F73"/>
    </sheetView>
  </sheetViews>
  <sheetFormatPr defaultRowHeight="13.2"/>
  <cols>
    <col min="3" max="3" width="146.5546875" bestFit="1" customWidth="1"/>
  </cols>
  <sheetData>
    <row r="1" spans="1:22">
      <c r="A1" s="11"/>
      <c r="B1" s="11"/>
      <c r="C1" s="11"/>
      <c r="D1" s="11"/>
      <c r="E1" s="11"/>
      <c r="F1" s="11"/>
      <c r="G1" s="11"/>
      <c r="H1" s="11"/>
      <c r="I1" s="11"/>
      <c r="J1" s="11"/>
      <c r="K1" s="11"/>
      <c r="L1" s="11"/>
      <c r="M1" s="11"/>
      <c r="N1" s="11"/>
      <c r="O1" s="11"/>
      <c r="P1" s="11"/>
      <c r="Q1" s="11"/>
      <c r="R1" s="11"/>
      <c r="S1" s="11"/>
      <c r="T1" s="11"/>
      <c r="U1" s="11"/>
      <c r="V1" s="11"/>
    </row>
    <row r="2" spans="1:22" ht="13.8" thickBot="1">
      <c r="A2" s="11"/>
      <c r="B2" s="11"/>
      <c r="C2" s="11"/>
      <c r="D2" s="11"/>
      <c r="E2" s="11"/>
      <c r="F2" s="11"/>
      <c r="G2" s="11"/>
      <c r="H2" s="11"/>
      <c r="I2" s="11"/>
      <c r="J2" s="11"/>
      <c r="K2" s="11"/>
      <c r="L2" s="11"/>
      <c r="M2" s="11"/>
      <c r="N2" s="11"/>
      <c r="O2" s="11"/>
      <c r="P2" s="11"/>
      <c r="Q2" s="11"/>
      <c r="R2" s="11"/>
      <c r="S2" s="11"/>
      <c r="T2" s="11"/>
      <c r="U2" s="11"/>
      <c r="V2" s="11"/>
    </row>
    <row r="3" spans="1:22">
      <c r="A3" s="11"/>
      <c r="B3" s="12" t="s">
        <v>38</v>
      </c>
      <c r="C3" s="13" t="s">
        <v>39</v>
      </c>
      <c r="D3" s="11"/>
      <c r="E3" s="11"/>
      <c r="F3" s="11"/>
      <c r="G3" s="11"/>
      <c r="H3" s="11"/>
      <c r="I3" s="11"/>
      <c r="J3" s="11"/>
      <c r="K3" s="11"/>
      <c r="L3" s="11"/>
      <c r="M3" s="11"/>
      <c r="N3" s="11"/>
      <c r="O3" s="11"/>
      <c r="P3" s="11"/>
      <c r="Q3" s="11"/>
      <c r="R3" s="11"/>
      <c r="S3" s="11"/>
      <c r="T3" s="11"/>
      <c r="U3" s="11"/>
      <c r="V3" s="11"/>
    </row>
    <row r="4" spans="1:22">
      <c r="A4" s="11"/>
      <c r="B4" s="479">
        <v>1</v>
      </c>
      <c r="C4" s="478" t="s">
        <v>40</v>
      </c>
      <c r="E4" s="11"/>
      <c r="F4" s="11"/>
      <c r="G4" s="11"/>
      <c r="H4" s="11"/>
      <c r="I4" s="11"/>
      <c r="J4" s="11"/>
      <c r="K4" s="11"/>
      <c r="L4" s="11"/>
      <c r="M4" s="11"/>
      <c r="N4" s="11"/>
      <c r="O4" s="11"/>
      <c r="P4" s="11"/>
      <c r="Q4" s="11"/>
      <c r="R4" s="11"/>
      <c r="S4" s="11"/>
      <c r="T4" s="11"/>
      <c r="U4" s="11"/>
      <c r="V4" s="11"/>
    </row>
    <row r="5" spans="1:22">
      <c r="A5" s="11"/>
      <c r="B5" s="481">
        <f>B4+1</f>
        <v>2</v>
      </c>
      <c r="C5" s="480" t="s">
        <v>41</v>
      </c>
      <c r="E5" s="11"/>
      <c r="F5" s="11"/>
      <c r="G5" s="11"/>
      <c r="H5" s="11"/>
      <c r="I5" s="11"/>
      <c r="J5" s="11"/>
      <c r="K5" s="11"/>
      <c r="L5" s="11"/>
      <c r="M5" s="11"/>
      <c r="N5" s="11"/>
      <c r="O5" s="11"/>
      <c r="P5" s="11"/>
      <c r="Q5" s="11"/>
      <c r="R5" s="11"/>
      <c r="S5" s="11"/>
      <c r="T5" s="11"/>
      <c r="U5" s="11"/>
      <c r="V5" s="11"/>
    </row>
    <row r="6" spans="1:22">
      <c r="A6" s="11"/>
      <c r="B6" s="481">
        <f t="shared" ref="B6:B68" si="0">B5+1</f>
        <v>3</v>
      </c>
      <c r="C6" s="480" t="s">
        <v>42</v>
      </c>
      <c r="E6" s="11"/>
      <c r="F6" s="11"/>
      <c r="G6" s="11"/>
      <c r="H6" s="11"/>
      <c r="I6" s="11"/>
      <c r="J6" s="11"/>
      <c r="K6" s="11"/>
      <c r="L6" s="11"/>
      <c r="M6" s="11"/>
      <c r="N6" s="11"/>
      <c r="O6" s="11"/>
      <c r="P6" s="11"/>
      <c r="Q6" s="11"/>
      <c r="R6" s="11"/>
      <c r="S6" s="11"/>
      <c r="T6" s="11"/>
      <c r="U6" s="11"/>
      <c r="V6" s="11"/>
    </row>
    <row r="7" spans="1:22" ht="13.8">
      <c r="A7" s="11"/>
      <c r="B7" s="481">
        <f t="shared" si="0"/>
        <v>4</v>
      </c>
      <c r="C7" s="482" t="s">
        <v>427</v>
      </c>
      <c r="E7" s="11"/>
      <c r="F7" s="11"/>
      <c r="G7" s="11"/>
      <c r="H7" s="11"/>
      <c r="I7" s="11"/>
      <c r="J7" s="11"/>
      <c r="K7" s="11"/>
      <c r="L7" s="11"/>
      <c r="M7" s="11"/>
      <c r="N7" s="11"/>
      <c r="O7" s="11"/>
      <c r="P7" s="11"/>
      <c r="Q7" s="11"/>
      <c r="R7" s="11"/>
      <c r="S7" s="11"/>
      <c r="T7" s="11"/>
      <c r="U7" s="11"/>
      <c r="V7" s="11"/>
    </row>
    <row r="8" spans="1:22">
      <c r="A8" s="11"/>
      <c r="B8" s="481">
        <f t="shared" si="0"/>
        <v>5</v>
      </c>
      <c r="C8" s="480" t="s">
        <v>43</v>
      </c>
      <c r="E8" s="11"/>
      <c r="F8" s="11"/>
      <c r="G8" s="11"/>
      <c r="H8" s="11"/>
      <c r="I8" s="11"/>
      <c r="J8" s="11"/>
      <c r="K8" s="11"/>
      <c r="L8" s="11"/>
      <c r="M8" s="11"/>
      <c r="N8" s="11"/>
      <c r="O8" s="11"/>
      <c r="P8" s="11"/>
      <c r="Q8" s="11"/>
      <c r="R8" s="11"/>
      <c r="S8" s="11"/>
      <c r="T8" s="11"/>
      <c r="U8" s="11"/>
      <c r="V8" s="11"/>
    </row>
    <row r="9" spans="1:22">
      <c r="A9" s="11"/>
      <c r="B9" s="481">
        <f t="shared" si="0"/>
        <v>6</v>
      </c>
      <c r="C9" s="480" t="s">
        <v>44</v>
      </c>
      <c r="E9" s="11"/>
      <c r="F9" s="11"/>
      <c r="G9" s="11"/>
      <c r="H9" s="11"/>
      <c r="I9" s="11"/>
      <c r="J9" s="11"/>
      <c r="K9" s="11"/>
      <c r="L9" s="11"/>
      <c r="M9" s="11"/>
      <c r="N9" s="11"/>
      <c r="O9" s="11"/>
      <c r="P9" s="11"/>
      <c r="Q9" s="11"/>
      <c r="R9" s="11"/>
      <c r="S9" s="11"/>
      <c r="T9" s="11"/>
      <c r="U9" s="11"/>
      <c r="V9" s="11"/>
    </row>
    <row r="10" spans="1:22">
      <c r="A10" s="11"/>
      <c r="B10" s="481">
        <f t="shared" si="0"/>
        <v>7</v>
      </c>
      <c r="C10" s="480" t="s">
        <v>45</v>
      </c>
      <c r="E10" s="11"/>
      <c r="F10" s="11"/>
      <c r="G10" s="11"/>
      <c r="H10" s="11"/>
      <c r="I10" s="11"/>
      <c r="J10" s="11"/>
      <c r="K10" s="11"/>
      <c r="L10" s="11"/>
      <c r="M10" s="11"/>
      <c r="N10" s="11"/>
      <c r="O10" s="11"/>
      <c r="P10" s="11"/>
      <c r="Q10" s="11"/>
      <c r="R10" s="11"/>
      <c r="S10" s="11"/>
      <c r="T10" s="11"/>
      <c r="U10" s="11"/>
      <c r="V10" s="11"/>
    </row>
    <row r="11" spans="1:22">
      <c r="A11" s="11"/>
      <c r="B11" s="481">
        <f t="shared" si="0"/>
        <v>8</v>
      </c>
      <c r="C11" s="480" t="s">
        <v>46</v>
      </c>
      <c r="E11" s="11"/>
      <c r="F11" s="11"/>
      <c r="G11" s="11"/>
      <c r="H11" s="11"/>
      <c r="I11" s="11"/>
      <c r="J11" s="11"/>
      <c r="K11" s="11"/>
      <c r="L11" s="11"/>
      <c r="M11" s="11"/>
      <c r="N11" s="11"/>
      <c r="O11" s="11"/>
      <c r="P11" s="11"/>
      <c r="Q11" s="11"/>
      <c r="R11" s="11"/>
      <c r="S11" s="11"/>
      <c r="T11" s="11"/>
      <c r="U11" s="11"/>
      <c r="V11" s="11"/>
    </row>
    <row r="12" spans="1:22">
      <c r="A12" s="11"/>
      <c r="B12" s="481">
        <f t="shared" si="0"/>
        <v>9</v>
      </c>
      <c r="C12" s="480" t="s">
        <v>47</v>
      </c>
      <c r="E12" s="11"/>
      <c r="F12" s="11"/>
      <c r="G12" s="11"/>
      <c r="H12" s="11"/>
      <c r="I12" s="11"/>
      <c r="J12" s="11"/>
      <c r="K12" s="11"/>
      <c r="L12" s="11"/>
      <c r="M12" s="11"/>
      <c r="N12" s="11"/>
      <c r="O12" s="11"/>
      <c r="P12" s="11"/>
      <c r="Q12" s="11"/>
      <c r="R12" s="11"/>
      <c r="S12" s="11"/>
      <c r="T12" s="11"/>
      <c r="U12" s="11"/>
      <c r="V12" s="11"/>
    </row>
    <row r="13" spans="1:22">
      <c r="A13" s="11"/>
      <c r="B13" s="481">
        <f t="shared" si="0"/>
        <v>10</v>
      </c>
      <c r="C13" s="480" t="s">
        <v>48</v>
      </c>
      <c r="E13" s="11"/>
      <c r="F13" s="11"/>
      <c r="G13" s="11"/>
      <c r="H13" s="11"/>
      <c r="I13" s="11"/>
      <c r="J13" s="11"/>
      <c r="K13" s="11"/>
      <c r="L13" s="11"/>
      <c r="M13" s="11"/>
      <c r="N13" s="11"/>
      <c r="O13" s="11"/>
      <c r="P13" s="11"/>
      <c r="Q13" s="11"/>
      <c r="R13" s="11"/>
      <c r="S13" s="11"/>
      <c r="T13" s="11"/>
      <c r="U13" s="11"/>
      <c r="V13" s="11"/>
    </row>
    <row r="14" spans="1:22">
      <c r="A14" s="11"/>
      <c r="B14" s="481">
        <f t="shared" si="0"/>
        <v>11</v>
      </c>
      <c r="C14" s="480" t="s">
        <v>49</v>
      </c>
      <c r="E14" s="11"/>
      <c r="F14" s="11"/>
      <c r="G14" s="11"/>
      <c r="H14" s="11"/>
      <c r="I14" s="11"/>
      <c r="J14" s="11"/>
      <c r="K14" s="11"/>
      <c r="L14" s="11"/>
      <c r="M14" s="11"/>
      <c r="N14" s="11"/>
      <c r="O14" s="11"/>
      <c r="P14" s="11"/>
      <c r="Q14" s="11"/>
      <c r="R14" s="11"/>
      <c r="S14" s="11"/>
      <c r="T14" s="11"/>
      <c r="U14" s="11"/>
      <c r="V14" s="11"/>
    </row>
    <row r="15" spans="1:22">
      <c r="A15" s="11"/>
      <c r="B15" s="481">
        <f t="shared" si="0"/>
        <v>12</v>
      </c>
      <c r="C15" s="483" t="s">
        <v>50</v>
      </c>
      <c r="E15" s="11"/>
      <c r="F15" s="11"/>
      <c r="G15" s="11"/>
      <c r="H15" s="11"/>
      <c r="I15" s="11"/>
      <c r="J15" s="11"/>
      <c r="K15" s="11"/>
      <c r="L15" s="11"/>
      <c r="M15" s="11"/>
      <c r="N15" s="11"/>
      <c r="O15" s="11"/>
      <c r="P15" s="11"/>
      <c r="Q15" s="11"/>
      <c r="R15" s="11"/>
      <c r="S15" s="11"/>
      <c r="T15" s="11"/>
      <c r="U15" s="11"/>
      <c r="V15" s="11"/>
    </row>
    <row r="16" spans="1:22">
      <c r="A16" s="11"/>
      <c r="B16" s="481">
        <f t="shared" si="0"/>
        <v>13</v>
      </c>
      <c r="C16" s="480" t="s">
        <v>51</v>
      </c>
      <c r="E16" s="11"/>
      <c r="F16" s="11"/>
      <c r="G16" s="11"/>
      <c r="H16" s="11"/>
      <c r="I16" s="11"/>
      <c r="J16" s="11"/>
      <c r="K16" s="11"/>
      <c r="L16" s="11"/>
      <c r="M16" s="11"/>
      <c r="N16" s="11"/>
      <c r="O16" s="11"/>
      <c r="P16" s="11"/>
      <c r="Q16" s="11"/>
      <c r="R16" s="11"/>
      <c r="S16" s="11"/>
      <c r="T16" s="11"/>
      <c r="U16" s="11"/>
      <c r="V16" s="11"/>
    </row>
    <row r="17" spans="1:22">
      <c r="A17" s="11"/>
      <c r="B17" s="481">
        <f t="shared" si="0"/>
        <v>14</v>
      </c>
      <c r="C17" s="480" t="s">
        <v>53</v>
      </c>
      <c r="E17" s="11"/>
      <c r="F17" s="11"/>
      <c r="G17" s="11"/>
      <c r="H17" s="11"/>
      <c r="I17" s="11"/>
      <c r="J17" s="11"/>
      <c r="K17" s="11"/>
      <c r="L17" s="11"/>
      <c r="M17" s="11"/>
      <c r="N17" s="11"/>
      <c r="O17" s="11"/>
      <c r="P17" s="11"/>
      <c r="Q17" s="11"/>
      <c r="R17" s="11"/>
      <c r="S17" s="11"/>
      <c r="T17" s="11"/>
      <c r="U17" s="11"/>
      <c r="V17" s="11"/>
    </row>
    <row r="18" spans="1:22">
      <c r="A18" s="11"/>
      <c r="B18" s="481">
        <f t="shared" si="0"/>
        <v>15</v>
      </c>
      <c r="C18" s="480" t="s">
        <v>54</v>
      </c>
      <c r="E18" s="11"/>
      <c r="F18" s="11"/>
      <c r="G18" s="11"/>
      <c r="H18" s="11"/>
      <c r="I18" s="11"/>
      <c r="J18" s="11"/>
      <c r="K18" s="11"/>
      <c r="L18" s="11"/>
      <c r="M18" s="11"/>
      <c r="N18" s="11"/>
      <c r="O18" s="11"/>
      <c r="P18" s="11"/>
      <c r="Q18" s="11"/>
      <c r="R18" s="11"/>
      <c r="S18" s="11"/>
      <c r="T18" s="11"/>
      <c r="U18" s="11"/>
      <c r="V18" s="11"/>
    </row>
    <row r="19" spans="1:22">
      <c r="A19" s="11"/>
      <c r="B19" s="481">
        <f t="shared" si="0"/>
        <v>16</v>
      </c>
      <c r="C19" s="483" t="s">
        <v>55</v>
      </c>
      <c r="E19" s="11"/>
      <c r="F19" s="11"/>
      <c r="G19" s="11"/>
      <c r="H19" s="11"/>
      <c r="I19" s="11"/>
      <c r="J19" s="11"/>
      <c r="K19" s="11"/>
      <c r="L19" s="11"/>
      <c r="M19" s="11"/>
      <c r="N19" s="11"/>
      <c r="O19" s="11"/>
      <c r="P19" s="11"/>
      <c r="Q19" s="11"/>
      <c r="R19" s="11"/>
      <c r="S19" s="11"/>
      <c r="T19" s="11"/>
      <c r="U19" s="11"/>
      <c r="V19" s="11"/>
    </row>
    <row r="20" spans="1:22">
      <c r="A20" s="11"/>
      <c r="B20" s="481">
        <f t="shared" si="0"/>
        <v>17</v>
      </c>
      <c r="C20" s="483" t="s">
        <v>56</v>
      </c>
      <c r="E20" s="11"/>
      <c r="F20" s="11"/>
      <c r="G20" s="11"/>
      <c r="H20" s="11"/>
      <c r="I20" s="11"/>
      <c r="J20" s="11"/>
      <c r="K20" s="11"/>
      <c r="L20" s="11"/>
      <c r="M20" s="11"/>
      <c r="N20" s="11"/>
      <c r="O20" s="11"/>
      <c r="P20" s="11"/>
      <c r="Q20" s="11"/>
      <c r="R20" s="11"/>
      <c r="S20" s="11"/>
      <c r="T20" s="11"/>
      <c r="U20" s="11"/>
      <c r="V20" s="11"/>
    </row>
    <row r="21" spans="1:22">
      <c r="A21" s="11"/>
      <c r="B21" s="481">
        <f t="shared" si="0"/>
        <v>18</v>
      </c>
      <c r="C21" s="480" t="s">
        <v>57</v>
      </c>
      <c r="E21" s="11"/>
      <c r="F21" s="11"/>
      <c r="G21" s="11"/>
      <c r="H21" s="11"/>
      <c r="I21" s="11"/>
      <c r="J21" s="11"/>
      <c r="K21" s="11"/>
      <c r="L21" s="11"/>
      <c r="M21" s="11"/>
      <c r="N21" s="11"/>
      <c r="O21" s="11"/>
      <c r="P21" s="11"/>
      <c r="Q21" s="11"/>
      <c r="R21" s="11"/>
      <c r="S21" s="11"/>
      <c r="T21" s="11"/>
      <c r="U21" s="11"/>
      <c r="V21" s="11"/>
    </row>
    <row r="22" spans="1:22">
      <c r="A22" s="11"/>
      <c r="B22" s="481">
        <f t="shared" si="0"/>
        <v>19</v>
      </c>
      <c r="C22" s="480" t="s">
        <v>58</v>
      </c>
      <c r="E22" s="11"/>
      <c r="F22" s="11"/>
      <c r="G22" s="11"/>
      <c r="H22" s="11"/>
      <c r="I22" s="11"/>
      <c r="J22" s="11"/>
      <c r="K22" s="11"/>
      <c r="L22" s="11"/>
      <c r="M22" s="11"/>
      <c r="N22" s="11"/>
      <c r="O22" s="11"/>
      <c r="P22" s="11"/>
      <c r="Q22" s="11"/>
      <c r="R22" s="11"/>
      <c r="S22" s="11"/>
      <c r="T22" s="11"/>
      <c r="U22" s="11"/>
      <c r="V22" s="11"/>
    </row>
    <row r="23" spans="1:22">
      <c r="A23" s="11"/>
      <c r="B23" s="481">
        <f t="shared" si="0"/>
        <v>20</v>
      </c>
      <c r="C23" s="480" t="s">
        <v>59</v>
      </c>
      <c r="E23" s="11"/>
      <c r="F23" s="11"/>
      <c r="G23" s="11"/>
      <c r="H23" s="11"/>
      <c r="I23" s="11"/>
      <c r="J23" s="11"/>
      <c r="K23" s="11"/>
      <c r="L23" s="11"/>
      <c r="M23" s="11"/>
      <c r="N23" s="11"/>
      <c r="O23" s="11"/>
      <c r="P23" s="11"/>
      <c r="Q23" s="11"/>
      <c r="R23" s="11"/>
      <c r="S23" s="11"/>
      <c r="T23" s="11"/>
      <c r="U23" s="11"/>
      <c r="V23" s="11"/>
    </row>
    <row r="24" spans="1:22">
      <c r="A24" s="11"/>
      <c r="B24" s="481">
        <f t="shared" si="0"/>
        <v>21</v>
      </c>
      <c r="C24" s="483" t="s">
        <v>60</v>
      </c>
      <c r="E24" s="11"/>
      <c r="F24" s="11"/>
      <c r="G24" s="11"/>
      <c r="H24" s="11"/>
      <c r="I24" s="11"/>
      <c r="J24" s="11"/>
      <c r="K24" s="11"/>
      <c r="L24" s="11"/>
      <c r="M24" s="11"/>
      <c r="N24" s="11"/>
      <c r="O24" s="11"/>
      <c r="P24" s="11"/>
      <c r="Q24" s="11"/>
      <c r="R24" s="11"/>
      <c r="S24" s="11"/>
      <c r="T24" s="11"/>
      <c r="U24" s="11"/>
      <c r="V24" s="11"/>
    </row>
    <row r="25" spans="1:22">
      <c r="A25" s="11"/>
      <c r="B25" s="481">
        <f t="shared" si="0"/>
        <v>22</v>
      </c>
      <c r="C25" s="480" t="s">
        <v>428</v>
      </c>
      <c r="E25" s="11"/>
      <c r="F25" s="11"/>
      <c r="G25" s="11"/>
      <c r="H25" s="11"/>
      <c r="I25" s="11"/>
      <c r="J25" s="11"/>
      <c r="K25" s="11"/>
      <c r="L25" s="11"/>
      <c r="M25" s="11"/>
      <c r="N25" s="11"/>
      <c r="O25" s="11"/>
      <c r="P25" s="11"/>
      <c r="Q25" s="11"/>
      <c r="R25" s="11"/>
      <c r="S25" s="11"/>
      <c r="T25" s="11"/>
      <c r="U25" s="11"/>
      <c r="V25" s="11"/>
    </row>
    <row r="26" spans="1:22">
      <c r="A26" s="11"/>
      <c r="B26" s="481">
        <f t="shared" si="0"/>
        <v>23</v>
      </c>
      <c r="C26" s="480" t="s">
        <v>429</v>
      </c>
      <c r="E26" s="11"/>
      <c r="F26" s="11"/>
      <c r="G26" s="11"/>
      <c r="H26" s="11"/>
      <c r="I26" s="11"/>
      <c r="J26" s="11"/>
      <c r="K26" s="11"/>
      <c r="L26" s="11"/>
      <c r="M26" s="11"/>
      <c r="N26" s="11"/>
      <c r="O26" s="11"/>
      <c r="P26" s="11"/>
      <c r="Q26" s="11"/>
      <c r="R26" s="11"/>
      <c r="S26" s="11"/>
      <c r="T26" s="11"/>
      <c r="U26" s="11"/>
      <c r="V26" s="11"/>
    </row>
    <row r="27" spans="1:22">
      <c r="A27" s="11"/>
      <c r="B27" s="481">
        <f t="shared" si="0"/>
        <v>24</v>
      </c>
      <c r="C27" s="480" t="s">
        <v>430</v>
      </c>
      <c r="E27" s="11"/>
      <c r="F27" s="11"/>
      <c r="G27" s="11"/>
      <c r="H27" s="11"/>
      <c r="I27" s="11"/>
      <c r="J27" s="11"/>
      <c r="K27" s="11"/>
      <c r="L27" s="11"/>
      <c r="M27" s="11"/>
      <c r="N27" s="11"/>
      <c r="O27" s="11"/>
      <c r="P27" s="11"/>
      <c r="Q27" s="11"/>
      <c r="R27" s="11"/>
      <c r="S27" s="11"/>
      <c r="T27" s="11"/>
      <c r="U27" s="11"/>
      <c r="V27" s="11"/>
    </row>
    <row r="28" spans="1:22">
      <c r="A28" s="11"/>
      <c r="B28" s="481">
        <f t="shared" si="0"/>
        <v>25</v>
      </c>
      <c r="C28" s="480" t="s">
        <v>431</v>
      </c>
      <c r="E28" s="11"/>
      <c r="F28" s="11"/>
      <c r="G28" s="11"/>
      <c r="H28" s="11"/>
      <c r="I28" s="11"/>
      <c r="J28" s="11"/>
      <c r="K28" s="11"/>
      <c r="L28" s="11"/>
      <c r="M28" s="11"/>
      <c r="N28" s="11"/>
      <c r="O28" s="11"/>
      <c r="P28" s="11"/>
      <c r="Q28" s="11"/>
      <c r="R28" s="11"/>
      <c r="S28" s="11"/>
      <c r="T28" s="11"/>
      <c r="U28" s="11"/>
      <c r="V28" s="11"/>
    </row>
    <row r="29" spans="1:22">
      <c r="A29" s="11"/>
      <c r="B29" s="481">
        <f t="shared" si="0"/>
        <v>26</v>
      </c>
      <c r="C29" s="480" t="s">
        <v>432</v>
      </c>
      <c r="E29" s="11"/>
      <c r="F29" s="11"/>
      <c r="G29" s="11"/>
      <c r="H29" s="11"/>
      <c r="I29" s="11"/>
      <c r="J29" s="11"/>
      <c r="K29" s="11"/>
      <c r="L29" s="11"/>
      <c r="M29" s="11"/>
      <c r="N29" s="11"/>
      <c r="O29" s="11"/>
      <c r="P29" s="11"/>
      <c r="Q29" s="11"/>
      <c r="R29" s="11"/>
      <c r="S29" s="11"/>
      <c r="T29" s="11"/>
      <c r="U29" s="11"/>
      <c r="V29" s="11"/>
    </row>
    <row r="30" spans="1:22">
      <c r="A30" s="11"/>
      <c r="B30" s="481">
        <f t="shared" si="0"/>
        <v>27</v>
      </c>
      <c r="C30" s="480" t="s">
        <v>433</v>
      </c>
      <c r="E30" s="11"/>
      <c r="F30" s="11"/>
      <c r="G30" s="11"/>
      <c r="H30" s="11"/>
      <c r="I30" s="11"/>
      <c r="J30" s="11"/>
      <c r="K30" s="11"/>
      <c r="L30" s="11"/>
      <c r="M30" s="11"/>
      <c r="N30" s="11"/>
      <c r="O30" s="11"/>
      <c r="P30" s="11"/>
      <c r="Q30" s="11"/>
      <c r="R30" s="11"/>
      <c r="S30" s="11"/>
      <c r="T30" s="11"/>
      <c r="U30" s="11"/>
      <c r="V30" s="11"/>
    </row>
    <row r="31" spans="1:22">
      <c r="A31" s="11"/>
      <c r="B31" s="481">
        <f t="shared" si="0"/>
        <v>28</v>
      </c>
      <c r="C31" s="480" t="s">
        <v>434</v>
      </c>
      <c r="E31" s="11"/>
      <c r="F31" s="11"/>
      <c r="G31" s="11"/>
      <c r="H31" s="11"/>
      <c r="I31" s="11"/>
      <c r="J31" s="11"/>
      <c r="K31" s="11"/>
      <c r="L31" s="11"/>
      <c r="M31" s="11"/>
      <c r="N31" s="11"/>
      <c r="O31" s="11"/>
      <c r="P31" s="11"/>
      <c r="Q31" s="11"/>
      <c r="R31" s="11"/>
      <c r="S31" s="11"/>
      <c r="T31" s="11"/>
      <c r="U31" s="11"/>
      <c r="V31" s="11"/>
    </row>
    <row r="32" spans="1:22">
      <c r="A32" s="11"/>
      <c r="B32" s="481">
        <f t="shared" si="0"/>
        <v>29</v>
      </c>
      <c r="C32" s="480" t="s">
        <v>435</v>
      </c>
      <c r="E32" s="11"/>
      <c r="F32" s="11"/>
      <c r="G32" s="11"/>
      <c r="H32" s="11"/>
      <c r="I32" s="11"/>
      <c r="J32" s="11"/>
      <c r="K32" s="11"/>
      <c r="L32" s="11"/>
      <c r="M32" s="11"/>
      <c r="N32" s="11"/>
      <c r="O32" s="11"/>
      <c r="P32" s="11"/>
      <c r="Q32" s="11"/>
      <c r="R32" s="11"/>
      <c r="S32" s="11"/>
      <c r="T32" s="11"/>
      <c r="U32" s="11"/>
      <c r="V32" s="11"/>
    </row>
    <row r="33" spans="1:22">
      <c r="A33" s="11"/>
      <c r="B33" s="481">
        <f t="shared" si="0"/>
        <v>30</v>
      </c>
      <c r="C33" s="480" t="s">
        <v>436</v>
      </c>
      <c r="E33" s="11"/>
      <c r="F33" s="11"/>
      <c r="G33" s="11"/>
      <c r="H33" s="11"/>
      <c r="I33" s="11"/>
      <c r="J33" s="11"/>
      <c r="K33" s="11"/>
      <c r="L33" s="11"/>
      <c r="M33" s="11"/>
      <c r="N33" s="11"/>
      <c r="O33" s="11"/>
      <c r="P33" s="11"/>
      <c r="Q33" s="11"/>
      <c r="R33" s="11"/>
      <c r="S33" s="11"/>
      <c r="T33" s="11"/>
      <c r="U33" s="11"/>
      <c r="V33" s="11"/>
    </row>
    <row r="34" spans="1:22">
      <c r="A34" s="11"/>
      <c r="B34" s="481">
        <f t="shared" si="0"/>
        <v>31</v>
      </c>
      <c r="C34" s="480" t="s">
        <v>437</v>
      </c>
      <c r="E34" s="11"/>
      <c r="F34" s="11"/>
      <c r="G34" s="11"/>
      <c r="H34" s="11"/>
      <c r="I34" s="11"/>
      <c r="J34" s="11"/>
      <c r="K34" s="11"/>
      <c r="L34" s="11"/>
      <c r="M34" s="11"/>
      <c r="N34" s="11"/>
      <c r="O34" s="11"/>
      <c r="P34" s="11"/>
      <c r="Q34" s="11"/>
      <c r="R34" s="11"/>
      <c r="S34" s="11"/>
      <c r="T34" s="11"/>
      <c r="U34" s="11"/>
      <c r="V34" s="11"/>
    </row>
    <row r="35" spans="1:22">
      <c r="A35" s="11"/>
      <c r="B35" s="481">
        <f t="shared" si="0"/>
        <v>32</v>
      </c>
      <c r="C35" s="480" t="s">
        <v>52</v>
      </c>
      <c r="E35" s="11"/>
      <c r="F35" s="11"/>
      <c r="G35" s="11"/>
      <c r="H35" s="11"/>
      <c r="I35" s="11"/>
      <c r="J35" s="11"/>
      <c r="K35" s="11"/>
      <c r="L35" s="11"/>
      <c r="M35" s="11"/>
      <c r="N35" s="11"/>
      <c r="O35" s="11"/>
      <c r="P35" s="11"/>
      <c r="Q35" s="11"/>
      <c r="R35" s="11"/>
      <c r="S35" s="11"/>
      <c r="T35" s="11"/>
      <c r="U35" s="11"/>
      <c r="V35" s="11"/>
    </row>
    <row r="36" spans="1:22">
      <c r="A36" s="11"/>
      <c r="B36" s="481">
        <f t="shared" si="0"/>
        <v>33</v>
      </c>
      <c r="C36" s="480" t="s">
        <v>438</v>
      </c>
      <c r="E36" s="11"/>
      <c r="F36" s="11"/>
      <c r="G36" s="11"/>
      <c r="H36" s="11"/>
      <c r="I36" s="11"/>
      <c r="J36" s="11"/>
      <c r="K36" s="11"/>
      <c r="L36" s="11"/>
      <c r="M36" s="11"/>
      <c r="N36" s="11"/>
      <c r="O36" s="11"/>
      <c r="P36" s="11"/>
      <c r="Q36" s="11"/>
      <c r="R36" s="11"/>
      <c r="S36" s="11"/>
      <c r="T36" s="11"/>
      <c r="U36" s="11"/>
      <c r="V36" s="11"/>
    </row>
    <row r="37" spans="1:22">
      <c r="A37" s="11"/>
      <c r="B37" s="481">
        <f t="shared" si="0"/>
        <v>34</v>
      </c>
      <c r="C37" s="480" t="s">
        <v>439</v>
      </c>
      <c r="E37" s="11"/>
      <c r="F37" s="11"/>
      <c r="G37" s="11"/>
      <c r="H37" s="11"/>
      <c r="I37" s="11"/>
      <c r="J37" s="11"/>
      <c r="K37" s="11"/>
      <c r="L37" s="11"/>
      <c r="M37" s="11"/>
      <c r="N37" s="11"/>
      <c r="O37" s="11"/>
      <c r="P37" s="11"/>
      <c r="Q37" s="11"/>
      <c r="R37" s="11"/>
      <c r="S37" s="11"/>
      <c r="T37" s="11"/>
      <c r="U37" s="11"/>
      <c r="V37" s="11"/>
    </row>
    <row r="38" spans="1:22">
      <c r="A38" s="11"/>
      <c r="B38" s="481">
        <f t="shared" si="0"/>
        <v>35</v>
      </c>
      <c r="C38" s="480" t="s">
        <v>440</v>
      </c>
      <c r="E38" s="11"/>
      <c r="F38" s="11"/>
      <c r="G38" s="11"/>
      <c r="H38" s="11"/>
      <c r="I38" s="11"/>
      <c r="J38" s="11"/>
      <c r="K38" s="11"/>
      <c r="L38" s="11"/>
      <c r="M38" s="11"/>
      <c r="N38" s="11"/>
      <c r="O38" s="11"/>
      <c r="P38" s="11"/>
      <c r="Q38" s="11"/>
      <c r="R38" s="11"/>
      <c r="S38" s="11"/>
      <c r="T38" s="11"/>
      <c r="U38" s="11"/>
      <c r="V38" s="11"/>
    </row>
    <row r="39" spans="1:22">
      <c r="A39" s="11"/>
      <c r="B39" s="481">
        <f t="shared" si="0"/>
        <v>36</v>
      </c>
      <c r="C39" s="480" t="s">
        <v>51</v>
      </c>
      <c r="E39" s="11"/>
      <c r="F39" s="11"/>
      <c r="G39" s="11"/>
      <c r="H39" s="11"/>
      <c r="I39" s="11"/>
      <c r="J39" s="11"/>
      <c r="K39" s="11"/>
      <c r="L39" s="11"/>
      <c r="M39" s="11"/>
      <c r="N39" s="11"/>
      <c r="O39" s="11"/>
      <c r="P39" s="11"/>
      <c r="Q39" s="11"/>
      <c r="R39" s="11"/>
      <c r="S39" s="11"/>
      <c r="T39" s="11"/>
      <c r="U39" s="11"/>
      <c r="V39" s="11"/>
    </row>
    <row r="40" spans="1:22">
      <c r="A40" s="11"/>
      <c r="B40" s="481">
        <f t="shared" si="0"/>
        <v>37</v>
      </c>
      <c r="C40" s="480" t="s">
        <v>441</v>
      </c>
      <c r="E40" s="11"/>
      <c r="F40" s="11"/>
      <c r="G40" s="11"/>
      <c r="H40" s="11"/>
      <c r="I40" s="11"/>
      <c r="J40" s="11"/>
      <c r="K40" s="11"/>
      <c r="L40" s="11"/>
      <c r="M40" s="11"/>
      <c r="N40" s="11"/>
      <c r="O40" s="11"/>
      <c r="P40" s="11"/>
      <c r="Q40" s="11"/>
      <c r="R40" s="11"/>
      <c r="S40" s="11"/>
      <c r="T40" s="11"/>
      <c r="U40" s="11"/>
      <c r="V40" s="11"/>
    </row>
    <row r="41" spans="1:22">
      <c r="A41" s="11"/>
      <c r="B41" s="481">
        <f t="shared" si="0"/>
        <v>38</v>
      </c>
      <c r="C41" s="480" t="s">
        <v>442</v>
      </c>
      <c r="E41" s="11"/>
      <c r="F41" s="11"/>
      <c r="G41" s="11"/>
      <c r="H41" s="11"/>
      <c r="I41" s="11"/>
      <c r="J41" s="11"/>
      <c r="K41" s="11"/>
      <c r="L41" s="11"/>
      <c r="M41" s="11"/>
      <c r="N41" s="11"/>
      <c r="O41" s="11"/>
      <c r="P41" s="11"/>
      <c r="Q41" s="11"/>
      <c r="R41" s="11"/>
      <c r="S41" s="11"/>
      <c r="T41" s="11"/>
      <c r="U41" s="11"/>
      <c r="V41" s="11"/>
    </row>
    <row r="42" spans="1:22">
      <c r="A42" s="11"/>
      <c r="B42" s="481">
        <f t="shared" si="0"/>
        <v>39</v>
      </c>
      <c r="C42" s="480" t="s">
        <v>443</v>
      </c>
      <c r="E42" s="11"/>
      <c r="F42" s="11"/>
      <c r="G42" s="11"/>
      <c r="H42" s="11"/>
      <c r="I42" s="11"/>
      <c r="J42" s="11"/>
      <c r="K42" s="11"/>
      <c r="L42" s="11"/>
      <c r="M42" s="11"/>
      <c r="N42" s="11"/>
      <c r="O42" s="11"/>
      <c r="P42" s="11"/>
      <c r="Q42" s="11"/>
      <c r="R42" s="11"/>
      <c r="S42" s="11"/>
      <c r="T42" s="11"/>
      <c r="U42" s="11"/>
      <c r="V42" s="11"/>
    </row>
    <row r="43" spans="1:22">
      <c r="A43" s="11"/>
      <c r="B43" s="481">
        <f t="shared" si="0"/>
        <v>40</v>
      </c>
      <c r="C43" s="480" t="s">
        <v>444</v>
      </c>
      <c r="E43" s="11"/>
      <c r="F43" s="11"/>
      <c r="G43" s="11"/>
      <c r="H43" s="11"/>
      <c r="I43" s="11"/>
      <c r="J43" s="11"/>
      <c r="K43" s="11"/>
      <c r="L43" s="11"/>
      <c r="M43" s="11"/>
      <c r="N43" s="11"/>
      <c r="O43" s="11"/>
      <c r="P43" s="11"/>
      <c r="Q43" s="11"/>
      <c r="R43" s="11"/>
      <c r="S43" s="11"/>
      <c r="T43" s="11"/>
      <c r="U43" s="11"/>
      <c r="V43" s="11"/>
    </row>
    <row r="44" spans="1:22">
      <c r="A44" s="11"/>
      <c r="B44" s="481">
        <f t="shared" si="0"/>
        <v>41</v>
      </c>
      <c r="C44" s="480" t="s">
        <v>445</v>
      </c>
      <c r="E44" s="11"/>
      <c r="F44" s="11"/>
      <c r="G44" s="11"/>
      <c r="H44" s="11"/>
      <c r="I44" s="11"/>
      <c r="J44" s="11"/>
      <c r="K44" s="11"/>
      <c r="L44" s="11"/>
      <c r="M44" s="11"/>
      <c r="N44" s="11"/>
      <c r="O44" s="11"/>
      <c r="P44" s="11"/>
      <c r="Q44" s="11"/>
      <c r="R44" s="11"/>
      <c r="S44" s="11"/>
      <c r="T44" s="11"/>
      <c r="U44" s="11"/>
      <c r="V44" s="11"/>
    </row>
    <row r="45" spans="1:22">
      <c r="A45" s="11"/>
      <c r="B45" s="481">
        <f t="shared" si="0"/>
        <v>42</v>
      </c>
      <c r="C45" s="480" t="s">
        <v>446</v>
      </c>
      <c r="E45" s="11"/>
      <c r="F45" s="11"/>
      <c r="G45" s="11"/>
      <c r="H45" s="11"/>
      <c r="I45" s="11"/>
      <c r="J45" s="11"/>
      <c r="K45" s="11"/>
      <c r="L45" s="11"/>
      <c r="M45" s="11"/>
      <c r="N45" s="11"/>
      <c r="O45" s="11"/>
      <c r="P45" s="11"/>
      <c r="Q45" s="11"/>
      <c r="R45" s="11"/>
      <c r="S45" s="11"/>
      <c r="T45" s="11"/>
      <c r="U45" s="11"/>
      <c r="V45" s="11"/>
    </row>
    <row r="46" spans="1:22">
      <c r="A46" s="11"/>
      <c r="B46" s="481">
        <f t="shared" si="0"/>
        <v>43</v>
      </c>
      <c r="C46" s="480" t="s">
        <v>447</v>
      </c>
      <c r="E46" s="11"/>
      <c r="F46" s="11"/>
      <c r="G46" s="11"/>
      <c r="H46" s="11"/>
      <c r="I46" s="11"/>
      <c r="J46" s="11"/>
      <c r="K46" s="11"/>
      <c r="L46" s="11"/>
      <c r="M46" s="11"/>
      <c r="N46" s="11"/>
      <c r="O46" s="11"/>
      <c r="P46" s="11"/>
      <c r="Q46" s="11"/>
      <c r="R46" s="11"/>
      <c r="S46" s="11"/>
      <c r="T46" s="11"/>
      <c r="U46" s="11"/>
      <c r="V46" s="11"/>
    </row>
    <row r="47" spans="1:22">
      <c r="A47" s="11" t="s">
        <v>61</v>
      </c>
      <c r="B47" s="481">
        <f t="shared" si="0"/>
        <v>44</v>
      </c>
      <c r="C47" s="480" t="s">
        <v>448</v>
      </c>
      <c r="E47" s="11"/>
      <c r="F47" s="11"/>
      <c r="G47" s="11"/>
      <c r="H47" s="11"/>
      <c r="I47" s="11"/>
      <c r="J47" s="11"/>
      <c r="K47" s="11"/>
      <c r="L47" s="11"/>
      <c r="M47" s="11"/>
      <c r="N47" s="11"/>
      <c r="O47" s="11"/>
      <c r="P47" s="11"/>
      <c r="Q47" s="11"/>
      <c r="R47" s="11"/>
      <c r="S47" s="11"/>
      <c r="T47" s="11"/>
      <c r="U47" s="11"/>
      <c r="V47" s="11"/>
    </row>
    <row r="48" spans="1:22">
      <c r="A48" s="11"/>
      <c r="B48" s="481">
        <f t="shared" si="0"/>
        <v>45</v>
      </c>
      <c r="C48" s="480" t="s">
        <v>449</v>
      </c>
      <c r="E48" s="11"/>
      <c r="F48" s="11"/>
      <c r="G48" s="11"/>
      <c r="H48" s="11"/>
      <c r="I48" s="11"/>
      <c r="J48" s="11"/>
      <c r="K48" s="11"/>
      <c r="L48" s="11"/>
      <c r="M48" s="11"/>
      <c r="N48" s="11"/>
      <c r="O48" s="11"/>
      <c r="P48" s="11"/>
      <c r="Q48" s="11"/>
      <c r="R48" s="11"/>
      <c r="S48" s="11"/>
      <c r="T48" s="11"/>
      <c r="U48" s="11"/>
      <c r="V48" s="11"/>
    </row>
    <row r="49" spans="1:22">
      <c r="A49" s="11"/>
      <c r="B49" s="481">
        <f t="shared" si="0"/>
        <v>46</v>
      </c>
      <c r="C49" s="480" t="s">
        <v>450</v>
      </c>
      <c r="E49" s="11"/>
      <c r="F49" s="11"/>
      <c r="G49" s="11"/>
      <c r="H49" s="11"/>
      <c r="I49" s="11"/>
      <c r="J49" s="11"/>
      <c r="K49" s="11"/>
      <c r="L49" s="11"/>
      <c r="M49" s="11"/>
      <c r="N49" s="11"/>
      <c r="O49" s="11"/>
      <c r="P49" s="11"/>
      <c r="Q49" s="11"/>
      <c r="R49" s="11"/>
      <c r="S49" s="11"/>
      <c r="T49" s="11"/>
      <c r="U49" s="11"/>
      <c r="V49" s="11"/>
    </row>
    <row r="50" spans="1:22">
      <c r="A50" s="11"/>
      <c r="B50" s="481">
        <f t="shared" si="0"/>
        <v>47</v>
      </c>
      <c r="C50" s="480" t="s">
        <v>451</v>
      </c>
      <c r="E50" s="11"/>
      <c r="F50" s="11"/>
      <c r="G50" s="11"/>
      <c r="H50" s="11"/>
      <c r="I50" s="11"/>
      <c r="J50" s="11"/>
      <c r="K50" s="11"/>
      <c r="L50" s="11"/>
      <c r="M50" s="11"/>
      <c r="N50" s="11"/>
      <c r="O50" s="11"/>
      <c r="P50" s="11"/>
      <c r="Q50" s="11"/>
      <c r="R50" s="11"/>
      <c r="S50" s="11"/>
      <c r="T50" s="11"/>
      <c r="U50" s="11"/>
      <c r="V50" s="11"/>
    </row>
    <row r="51" spans="1:22">
      <c r="A51" s="11"/>
      <c r="B51" s="481">
        <f t="shared" si="0"/>
        <v>48</v>
      </c>
      <c r="C51" s="480" t="s">
        <v>452</v>
      </c>
      <c r="E51" s="11"/>
      <c r="F51" s="11"/>
      <c r="G51" s="11"/>
      <c r="H51" s="11"/>
      <c r="I51" s="11"/>
      <c r="J51" s="11"/>
      <c r="K51" s="11"/>
      <c r="L51" s="11"/>
      <c r="M51" s="11"/>
      <c r="N51" s="11"/>
      <c r="O51" s="11"/>
      <c r="P51" s="11"/>
      <c r="Q51" s="11"/>
      <c r="R51" s="11"/>
      <c r="S51" s="11"/>
      <c r="T51" s="11"/>
      <c r="U51" s="11"/>
      <c r="V51" s="11"/>
    </row>
    <row r="52" spans="1:22">
      <c r="A52" s="11"/>
      <c r="B52" s="481">
        <f t="shared" si="0"/>
        <v>49</v>
      </c>
      <c r="C52" s="480" t="s">
        <v>453</v>
      </c>
      <c r="E52" s="11"/>
      <c r="F52" s="11"/>
      <c r="G52" s="11"/>
      <c r="H52" s="11"/>
      <c r="I52" s="11"/>
      <c r="J52" s="11"/>
      <c r="K52" s="11"/>
      <c r="L52" s="11"/>
      <c r="M52" s="11"/>
      <c r="N52" s="11"/>
      <c r="O52" s="11"/>
      <c r="P52" s="11"/>
      <c r="Q52" s="11"/>
      <c r="R52" s="11"/>
      <c r="S52" s="11"/>
      <c r="T52" s="11"/>
      <c r="U52" s="11"/>
      <c r="V52" s="11"/>
    </row>
    <row r="53" spans="1:22">
      <c r="A53" s="11"/>
      <c r="B53" s="481">
        <f t="shared" si="0"/>
        <v>50</v>
      </c>
      <c r="C53" s="480" t="s">
        <v>454</v>
      </c>
      <c r="E53" s="11"/>
      <c r="F53" s="11"/>
      <c r="G53" s="11"/>
      <c r="H53" s="11"/>
      <c r="I53" s="11"/>
      <c r="J53" s="11"/>
      <c r="K53" s="11"/>
      <c r="L53" s="11"/>
      <c r="M53" s="11"/>
      <c r="N53" s="11"/>
      <c r="O53" s="11"/>
      <c r="P53" s="11"/>
      <c r="Q53" s="11"/>
      <c r="R53" s="11"/>
      <c r="S53" s="11"/>
      <c r="T53" s="11"/>
      <c r="U53" s="11"/>
      <c r="V53" s="11"/>
    </row>
    <row r="54" spans="1:22">
      <c r="A54" s="11"/>
      <c r="B54" s="481">
        <f t="shared" si="0"/>
        <v>51</v>
      </c>
      <c r="C54" s="480" t="s">
        <v>455</v>
      </c>
      <c r="E54" s="11"/>
      <c r="F54" s="11"/>
      <c r="G54" s="11"/>
      <c r="H54" s="11"/>
      <c r="I54" s="11"/>
      <c r="J54" s="11"/>
      <c r="K54" s="11"/>
      <c r="L54" s="11"/>
      <c r="M54" s="11"/>
      <c r="N54" s="11"/>
      <c r="O54" s="11"/>
      <c r="P54" s="11"/>
      <c r="Q54" s="11"/>
      <c r="R54" s="11"/>
      <c r="S54" s="11"/>
      <c r="T54" s="11"/>
      <c r="U54" s="11"/>
      <c r="V54" s="11"/>
    </row>
    <row r="55" spans="1:22">
      <c r="A55" s="11"/>
      <c r="B55" s="481">
        <f t="shared" si="0"/>
        <v>52</v>
      </c>
      <c r="C55" s="484" t="s">
        <v>456</v>
      </c>
      <c r="E55" s="11"/>
      <c r="F55" s="11"/>
      <c r="G55" s="11"/>
      <c r="H55" s="11"/>
      <c r="I55" s="11"/>
      <c r="J55" s="11"/>
      <c r="K55" s="11"/>
      <c r="L55" s="11"/>
      <c r="M55" s="11"/>
      <c r="N55" s="11"/>
      <c r="O55" s="11"/>
      <c r="P55" s="11"/>
      <c r="Q55" s="11"/>
      <c r="R55" s="11"/>
      <c r="S55" s="11"/>
      <c r="T55" s="11"/>
      <c r="U55" s="11"/>
      <c r="V55" s="11"/>
    </row>
    <row r="56" spans="1:22">
      <c r="A56" s="11"/>
      <c r="B56" s="481">
        <f t="shared" si="0"/>
        <v>53</v>
      </c>
      <c r="C56" s="480" t="s">
        <v>457</v>
      </c>
      <c r="E56" s="11"/>
      <c r="F56" s="11"/>
      <c r="G56" s="11"/>
      <c r="H56" s="11"/>
      <c r="I56" s="11"/>
      <c r="J56" s="11"/>
      <c r="K56" s="11"/>
      <c r="L56" s="11"/>
      <c r="M56" s="11"/>
      <c r="N56" s="11"/>
      <c r="O56" s="11"/>
      <c r="P56" s="11"/>
      <c r="Q56" s="11"/>
      <c r="R56" s="11"/>
      <c r="S56" s="11"/>
      <c r="T56" s="11"/>
      <c r="U56" s="11"/>
      <c r="V56" s="11"/>
    </row>
    <row r="57" spans="1:22">
      <c r="A57" s="11"/>
      <c r="B57" s="481">
        <f t="shared" si="0"/>
        <v>54</v>
      </c>
      <c r="C57" s="480" t="s">
        <v>458</v>
      </c>
      <c r="E57" s="11"/>
      <c r="F57" s="11"/>
      <c r="G57" s="11"/>
      <c r="H57" s="11"/>
      <c r="I57" s="11"/>
      <c r="J57" s="11"/>
      <c r="K57" s="11"/>
      <c r="L57" s="11"/>
      <c r="M57" s="11"/>
      <c r="N57" s="11"/>
      <c r="O57" s="11"/>
      <c r="P57" s="11"/>
      <c r="Q57" s="11"/>
      <c r="R57" s="11"/>
      <c r="S57" s="11"/>
      <c r="T57" s="11"/>
      <c r="U57" s="11"/>
      <c r="V57" s="11"/>
    </row>
    <row r="58" spans="1:22">
      <c r="A58" s="11"/>
      <c r="B58" s="481">
        <f t="shared" si="0"/>
        <v>55</v>
      </c>
      <c r="C58" s="480" t="s">
        <v>459</v>
      </c>
      <c r="E58" s="11"/>
      <c r="F58" s="11"/>
      <c r="G58" s="11"/>
      <c r="H58" s="11"/>
      <c r="I58" s="11"/>
      <c r="J58" s="11"/>
      <c r="K58" s="11"/>
      <c r="L58" s="11"/>
      <c r="M58" s="11"/>
      <c r="N58" s="11"/>
      <c r="O58" s="11"/>
      <c r="P58" s="11"/>
      <c r="Q58" s="11"/>
      <c r="R58" s="11"/>
      <c r="S58" s="11"/>
      <c r="T58" s="11"/>
      <c r="U58" s="11"/>
      <c r="V58" s="11"/>
    </row>
    <row r="59" spans="1:22">
      <c r="A59" s="11"/>
      <c r="B59" s="481">
        <f t="shared" si="0"/>
        <v>56</v>
      </c>
      <c r="C59" s="480" t="s">
        <v>460</v>
      </c>
      <c r="E59" s="11"/>
      <c r="F59" s="11"/>
      <c r="G59" s="11"/>
      <c r="H59" s="11"/>
      <c r="I59" s="11"/>
      <c r="J59" s="11"/>
      <c r="K59" s="11"/>
      <c r="L59" s="11"/>
      <c r="M59" s="11"/>
      <c r="N59" s="11"/>
      <c r="O59" s="11"/>
      <c r="P59" s="11"/>
      <c r="Q59" s="11"/>
      <c r="R59" s="11"/>
      <c r="S59" s="11"/>
      <c r="T59" s="11"/>
      <c r="U59" s="11"/>
      <c r="V59" s="11"/>
    </row>
    <row r="60" spans="1:22">
      <c r="B60" s="481">
        <f t="shared" si="0"/>
        <v>57</v>
      </c>
      <c r="C60" s="480" t="s">
        <v>461</v>
      </c>
    </row>
    <row r="61" spans="1:22">
      <c r="B61" s="481">
        <f t="shared" si="0"/>
        <v>58</v>
      </c>
      <c r="C61" s="480" t="s">
        <v>462</v>
      </c>
    </row>
    <row r="62" spans="1:22">
      <c r="B62" s="481">
        <f t="shared" si="0"/>
        <v>59</v>
      </c>
      <c r="C62" s="480" t="s">
        <v>463</v>
      </c>
    </row>
    <row r="63" spans="1:22">
      <c r="B63" s="481">
        <f t="shared" si="0"/>
        <v>60</v>
      </c>
      <c r="C63" s="480" t="s">
        <v>464</v>
      </c>
    </row>
    <row r="64" spans="1:22">
      <c r="B64" s="481">
        <f t="shared" si="0"/>
        <v>61</v>
      </c>
      <c r="C64" s="480" t="s">
        <v>465</v>
      </c>
    </row>
    <row r="65" spans="2:3">
      <c r="B65" s="481">
        <f t="shared" si="0"/>
        <v>62</v>
      </c>
      <c r="C65" s="480" t="s">
        <v>466</v>
      </c>
    </row>
    <row r="66" spans="2:3">
      <c r="B66" s="481">
        <f t="shared" si="0"/>
        <v>63</v>
      </c>
      <c r="C66" s="480" t="s">
        <v>467</v>
      </c>
    </row>
    <row r="67" spans="2:3">
      <c r="B67" s="481">
        <f t="shared" si="0"/>
        <v>64</v>
      </c>
      <c r="C67" s="480" t="s">
        <v>468</v>
      </c>
    </row>
    <row r="68" spans="2:3">
      <c r="B68" s="481">
        <f t="shared" si="0"/>
        <v>65</v>
      </c>
      <c r="C68" s="480" t="s">
        <v>469</v>
      </c>
    </row>
    <row r="69" spans="2:3">
      <c r="B69" s="481">
        <v>66</v>
      </c>
      <c r="C69" s="480" t="s">
        <v>470</v>
      </c>
    </row>
    <row r="70" spans="2:3">
      <c r="B70" s="481">
        <v>67</v>
      </c>
      <c r="C70" s="480" t="s">
        <v>471</v>
      </c>
    </row>
    <row r="71" spans="2:3">
      <c r="B71" s="481">
        <v>68</v>
      </c>
      <c r="C71" s="480" t="s">
        <v>472</v>
      </c>
    </row>
    <row r="72" spans="2:3">
      <c r="B72" s="481">
        <v>69</v>
      </c>
      <c r="C72" s="480" t="s">
        <v>473</v>
      </c>
    </row>
    <row r="73" spans="2:3">
      <c r="B73" s="481">
        <v>70</v>
      </c>
      <c r="C73" s="480" t="s">
        <v>474</v>
      </c>
    </row>
    <row r="74" spans="2:3">
      <c r="B74" s="481">
        <v>71</v>
      </c>
      <c r="C74" s="480" t="s">
        <v>475</v>
      </c>
    </row>
    <row r="75" spans="2:3">
      <c r="B75" s="481">
        <v>72</v>
      </c>
      <c r="C75" s="519" t="s">
        <v>476</v>
      </c>
    </row>
    <row r="76" spans="2:3">
      <c r="B76" s="481">
        <v>73</v>
      </c>
      <c r="C76" s="480" t="s">
        <v>477</v>
      </c>
    </row>
    <row r="77" spans="2:3">
      <c r="B77" s="481">
        <v>74</v>
      </c>
      <c r="C77" s="480" t="s">
        <v>478</v>
      </c>
    </row>
    <row r="78" spans="2:3">
      <c r="B78" s="481">
        <v>75</v>
      </c>
      <c r="C78" s="480" t="s">
        <v>479</v>
      </c>
    </row>
    <row r="79" spans="2:3">
      <c r="B79" s="481">
        <v>76</v>
      </c>
      <c r="C79" s="480" t="s">
        <v>480</v>
      </c>
    </row>
    <row r="80" spans="2:3">
      <c r="B80" s="481">
        <v>77</v>
      </c>
      <c r="C80" s="480" t="s">
        <v>481</v>
      </c>
    </row>
    <row r="81" spans="2:3">
      <c r="B81" s="481">
        <v>78</v>
      </c>
      <c r="C81" s="480" t="s">
        <v>482</v>
      </c>
    </row>
    <row r="82" spans="2:3">
      <c r="B82" s="481">
        <v>79</v>
      </c>
      <c r="C82" s="480" t="s">
        <v>483</v>
      </c>
    </row>
    <row r="83" spans="2:3">
      <c r="B83" s="481">
        <v>80</v>
      </c>
      <c r="C83" s="480" t="s">
        <v>484</v>
      </c>
    </row>
  </sheetData>
  <hyperlinks>
    <hyperlink ref="C7" r:id="rId1" xr:uid="{00000000-0004-0000-2600-000000000000}"/>
    <hyperlink ref="C15" r:id="rId2" xr:uid="{00000000-0004-0000-2600-000001000000}"/>
    <hyperlink ref="C20" r:id="rId3" xr:uid="{00000000-0004-0000-2600-000002000000}"/>
    <hyperlink ref="C40" r:id="rId4" xr:uid="{00000000-0004-0000-2600-000003000000}"/>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4B5EC5F424DF0438C02C794499518FB" ma:contentTypeVersion="0" ma:contentTypeDescription="Create a new document." ma:contentTypeScope="" ma:versionID="5ab65c60870f55e49362d4efb7fd413f">
  <xsd:schema xmlns:xsd="http://www.w3.org/2001/XMLSchema" xmlns:xs="http://www.w3.org/2001/XMLSchema" xmlns:p="http://schemas.microsoft.com/office/2006/metadata/properties" targetNamespace="http://schemas.microsoft.com/office/2006/metadata/properties" ma:root="true" ma:fieldsID="62ea347ee6c5493b9e14b1c149bab3d1">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3E337A-26E2-49E6-8B28-158A0C1C589D}">
  <ds:schemaRefs>
    <ds:schemaRef ds:uri="http://schemas.microsoft.com/office/2006/documentManagement/types"/>
    <ds:schemaRef ds:uri="http://www.w3.org/XML/1998/namespace"/>
    <ds:schemaRef ds:uri="http://purl.org/dc/elements/1.1/"/>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C5920469-2583-45A2-89E2-28A87FF112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CA70D582-5965-48C6-8A6B-4D65ECE5AFF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14</vt:i4>
      </vt:variant>
    </vt:vector>
  </HeadingPairs>
  <TitlesOfParts>
    <vt:vector size="59" baseType="lpstr">
      <vt:lpstr>LOG</vt:lpstr>
      <vt:lpstr>Description</vt:lpstr>
      <vt:lpstr>TRA_Cars</vt:lpstr>
      <vt:lpstr>Cars INVCOST</vt:lpstr>
      <vt:lpstr>Eff SF</vt:lpstr>
      <vt:lpstr>Eff PHEV</vt:lpstr>
      <vt:lpstr>Eff BEV</vt:lpstr>
      <vt:lpstr>O&amp;M</vt:lpstr>
      <vt:lpstr>TRA_Moto</vt:lpstr>
      <vt:lpstr>TRA_Bikes</vt:lpstr>
      <vt:lpstr>TRA_Walk</vt:lpstr>
      <vt:lpstr>TRA_Buses</vt:lpstr>
      <vt:lpstr>EU Bus</vt:lpstr>
      <vt:lpstr>EU Bus Gas</vt:lpstr>
      <vt:lpstr>EU Bus El</vt:lpstr>
      <vt:lpstr>EU Bus Hybrid</vt:lpstr>
      <vt:lpstr>TRA_Train</vt:lpstr>
      <vt:lpstr>EU Diesel IC-reg.tog</vt:lpstr>
      <vt:lpstr>EU El IC-reg.tog</vt:lpstr>
      <vt:lpstr>EU Diesel Lokaltog</vt:lpstr>
      <vt:lpstr>EU Gas Lokaltog</vt:lpstr>
      <vt:lpstr>TRA_Trucks</vt:lpstr>
      <vt:lpstr>FCEV truck data</vt:lpstr>
      <vt:lpstr>EU Varebil benzin</vt:lpstr>
      <vt:lpstr>EU varebil diesel</vt:lpstr>
      <vt:lpstr>EU Varebil CNG</vt:lpstr>
      <vt:lpstr>EU varebil el</vt:lpstr>
      <vt:lpstr>EU Lastbil</vt:lpstr>
      <vt:lpstr>EU Lastbil El</vt:lpstr>
      <vt:lpstr>EU Lastbil DME</vt:lpstr>
      <vt:lpstr>EU Lastbil RME</vt:lpstr>
      <vt:lpstr>EU Lastbil Gas</vt:lpstr>
      <vt:lpstr>TRA_Ship_Passenger</vt:lpstr>
      <vt:lpstr>TRA_Ship_Freight</vt:lpstr>
      <vt:lpstr>TRA_Ship_Freight_INT</vt:lpstr>
      <vt:lpstr>ShipData</vt:lpstr>
      <vt:lpstr>TRA_Ships</vt:lpstr>
      <vt:lpstr>EU 9000 TEU HFO</vt:lpstr>
      <vt:lpstr>EU 9000 TEU Diesel</vt:lpstr>
      <vt:lpstr>EU 9000 TEU Dual fuel</vt:lpstr>
      <vt:lpstr>EU Katamaran ferry</vt:lpstr>
      <vt:lpstr>TRA_Airplane</vt:lpstr>
      <vt:lpstr>EU SAS avg. airplane adjusted</vt:lpstr>
      <vt:lpstr>EU SAS avg. airplane Original</vt:lpstr>
      <vt:lpstr>Reference</vt:lpstr>
      <vt:lpstr>'EU 9000 TEU Diesel'!Print_Area</vt:lpstr>
      <vt:lpstr>'EU 9000 TEU Dual fuel'!Print_Area</vt:lpstr>
      <vt:lpstr>'EU 9000 TEU HFO'!Print_Area</vt:lpstr>
      <vt:lpstr>'EU Diesel IC-reg.tog'!Print_Area</vt:lpstr>
      <vt:lpstr>'EU Diesel Lokaltog'!Print_Area</vt:lpstr>
      <vt:lpstr>'EU El IC-reg.tog'!Print_Area</vt:lpstr>
      <vt:lpstr>'EU Gas Lokaltog'!Print_Area</vt:lpstr>
      <vt:lpstr>'EU Katamaran ferry'!Print_Area</vt:lpstr>
      <vt:lpstr>'EU Lastbil'!Print_Area</vt:lpstr>
      <vt:lpstr>'EU Lastbil DME'!Print_Area</vt:lpstr>
      <vt:lpstr>'EU Lastbil El'!Print_Area</vt:lpstr>
      <vt:lpstr>'EU Lastbil Gas'!Print_Area</vt:lpstr>
      <vt:lpstr>'EU SAS avg. airplane adjusted'!Print_Area</vt:lpstr>
      <vt:lpstr>'EU SAS avg. airplane Original'!Print_Area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2021-05-10T07:02:04Z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0x010100C4B5EC5F424DF0438C02C794499518FB</vt:lpwstr>
  </property>
  <property fmtid="{D5CDD505-2E9C-101B-9397-08002B2CF9AE}" pid="3" name="SaveCode">
    <vt:r8>926540553569793</vt:r8>
  </property>
</Properties>
</file>